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esktop\Baseball Stuff\MLB Team Projections\PECOTA\2018\"/>
    </mc:Choice>
  </mc:AlternateContent>
  <xr:revisionPtr revIDLastSave="0" documentId="8_{9DD5AA8C-8313-4CB2-94DF-870989ECA227}" xr6:coauthVersionLast="44" xr6:coauthVersionMax="44" xr10:uidLastSave="{00000000-0000-0000-0000-000000000000}"/>
  <bookViews>
    <workbookView xWindow="28680" yWindow="-7170" windowWidth="29040" windowHeight="15840" activeTab="2"/>
  </bookViews>
  <sheets>
    <sheet name="Release Notes" sheetId="1" r:id="rId1"/>
    <sheet name="Hitters" sheetId="2" r:id="rId2"/>
    <sheet name="Pitchers" sheetId="3" r:id="rId3"/>
  </sheets>
  <definedNames>
    <definedName name="_xlnm._FilterDatabase" localSheetId="1" hidden="1">Hitters!$A$1:$BC$1076</definedName>
    <definedName name="_xlnm._FilterDatabase" localSheetId="2" hidden="1">Pitchers!$A$1:$AU$1130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111" i="3" l="1"/>
  <c r="J1111" i="3"/>
  <c r="A1111" i="3"/>
  <c r="AU1110" i="3"/>
  <c r="J1110" i="3"/>
  <c r="A1110" i="3"/>
  <c r="AU1109" i="3"/>
  <c r="J1109" i="3"/>
  <c r="A1109" i="3"/>
  <c r="AU1108" i="3"/>
  <c r="J1108" i="3"/>
  <c r="A1108" i="3"/>
  <c r="AU1107" i="3"/>
  <c r="J1107" i="3"/>
  <c r="A1107" i="3"/>
  <c r="AU1106" i="3"/>
  <c r="J1106" i="3"/>
  <c r="A1106" i="3"/>
  <c r="AU1105" i="3"/>
  <c r="J1105" i="3"/>
  <c r="A1105" i="3"/>
  <c r="AU1104" i="3"/>
  <c r="J1104" i="3"/>
  <c r="A1104" i="3"/>
  <c r="AU1103" i="3"/>
  <c r="J1103" i="3"/>
  <c r="A1103" i="3"/>
  <c r="AU1102" i="3"/>
  <c r="J1102" i="3"/>
  <c r="A1102" i="3"/>
  <c r="AU1101" i="3"/>
  <c r="J1101" i="3"/>
  <c r="A1101" i="3"/>
  <c r="AU1100" i="3"/>
  <c r="J1100" i="3"/>
  <c r="A1100" i="3"/>
  <c r="AU1099" i="3"/>
  <c r="J1099" i="3"/>
  <c r="A1099" i="3"/>
  <c r="AU1098" i="3"/>
  <c r="J1098" i="3"/>
  <c r="A1098" i="3"/>
  <c r="AU1097" i="3"/>
  <c r="J1097" i="3"/>
  <c r="A1097" i="3"/>
  <c r="AU1096" i="3"/>
  <c r="J1096" i="3"/>
  <c r="A1096" i="3"/>
  <c r="AU1095" i="3"/>
  <c r="J1095" i="3"/>
  <c r="A1095" i="3"/>
  <c r="AU1094" i="3"/>
  <c r="J1094" i="3"/>
  <c r="A1094" i="3"/>
  <c r="AU1093" i="3"/>
  <c r="J1093" i="3"/>
  <c r="A1093" i="3"/>
  <c r="AU1092" i="3"/>
  <c r="J1092" i="3"/>
  <c r="A1092" i="3"/>
  <c r="AU1091" i="3"/>
  <c r="J1091" i="3"/>
  <c r="A1091" i="3"/>
  <c r="AU1090" i="3"/>
  <c r="J1090" i="3"/>
  <c r="A1090" i="3"/>
  <c r="AU1089" i="3"/>
  <c r="J1089" i="3"/>
  <c r="A1089" i="3"/>
  <c r="AU1088" i="3"/>
  <c r="J1088" i="3"/>
  <c r="A1088" i="3"/>
  <c r="AU1087" i="3"/>
  <c r="J1087" i="3"/>
  <c r="A1087" i="3"/>
  <c r="AU1086" i="3"/>
  <c r="J1086" i="3"/>
  <c r="A1086" i="3"/>
  <c r="AU1085" i="3"/>
  <c r="J1085" i="3"/>
  <c r="A1085" i="3"/>
  <c r="AU1084" i="3"/>
  <c r="J1084" i="3"/>
  <c r="A1084" i="3"/>
  <c r="AU1083" i="3"/>
  <c r="J1083" i="3"/>
  <c r="A1083" i="3"/>
  <c r="AU1082" i="3"/>
  <c r="J1082" i="3"/>
  <c r="A1082" i="3"/>
  <c r="AU1081" i="3"/>
  <c r="J1081" i="3"/>
  <c r="A1081" i="3"/>
  <c r="AU1080" i="3"/>
  <c r="J1080" i="3"/>
  <c r="A1080" i="3"/>
  <c r="AU1079" i="3"/>
  <c r="J1079" i="3"/>
  <c r="A1079" i="3"/>
  <c r="AU1078" i="3"/>
  <c r="J1078" i="3"/>
  <c r="A1078" i="3"/>
  <c r="AU1077" i="3"/>
  <c r="J1077" i="3"/>
  <c r="A1077" i="3"/>
  <c r="AU1076" i="3"/>
  <c r="J1076" i="3"/>
  <c r="A1076" i="3"/>
  <c r="AU1075" i="3"/>
  <c r="J1075" i="3"/>
  <c r="A1075" i="3"/>
  <c r="AU1074" i="3"/>
  <c r="J1074" i="3"/>
  <c r="A1074" i="3"/>
  <c r="AU1073" i="3"/>
  <c r="J1073" i="3"/>
  <c r="A1073" i="3"/>
  <c r="AU1072" i="3"/>
  <c r="J1072" i="3"/>
  <c r="A1072" i="3"/>
  <c r="AU1071" i="3"/>
  <c r="J1071" i="3"/>
  <c r="A1071" i="3"/>
  <c r="AU1070" i="3"/>
  <c r="J1070" i="3"/>
  <c r="A1070" i="3"/>
  <c r="AU1069" i="3"/>
  <c r="J1069" i="3"/>
  <c r="A1069" i="3"/>
  <c r="AU1068" i="3"/>
  <c r="J1068" i="3"/>
  <c r="A1068" i="3"/>
  <c r="AU1067" i="3"/>
  <c r="J1067" i="3"/>
  <c r="A1067" i="3"/>
  <c r="AU1066" i="3"/>
  <c r="J1066" i="3"/>
  <c r="A1066" i="3"/>
  <c r="AU1065" i="3"/>
  <c r="J1065" i="3"/>
  <c r="A1065" i="3"/>
  <c r="AU1064" i="3"/>
  <c r="J1064" i="3"/>
  <c r="A1064" i="3"/>
  <c r="AU1063" i="3"/>
  <c r="J1063" i="3"/>
  <c r="A1063" i="3"/>
  <c r="AU1062" i="3"/>
  <c r="J1062" i="3"/>
  <c r="A1062" i="3"/>
  <c r="AU1061" i="3"/>
  <c r="J1061" i="3"/>
  <c r="A1061" i="3"/>
  <c r="AU1060" i="3"/>
  <c r="J1060" i="3"/>
  <c r="A1060" i="3"/>
  <c r="AU1059" i="3"/>
  <c r="J1059" i="3"/>
  <c r="A1059" i="3"/>
  <c r="AU1058" i="3"/>
  <c r="J1058" i="3"/>
  <c r="A1058" i="3"/>
  <c r="AU1057" i="3"/>
  <c r="J1057" i="3"/>
  <c r="A1057" i="3"/>
  <c r="AU1056" i="3"/>
  <c r="J1056" i="3"/>
  <c r="A1056" i="3"/>
  <c r="AU1055" i="3"/>
  <c r="J1055" i="3"/>
  <c r="A1055" i="3"/>
  <c r="AU1054" i="3"/>
  <c r="J1054" i="3"/>
  <c r="A1054" i="3"/>
  <c r="AU1053" i="3"/>
  <c r="J1053" i="3"/>
  <c r="A1053" i="3"/>
  <c r="AU1052" i="3"/>
  <c r="J1052" i="3"/>
  <c r="A1052" i="3"/>
  <c r="AU1051" i="3"/>
  <c r="J1051" i="3"/>
  <c r="A1051" i="3"/>
  <c r="AU1050" i="3"/>
  <c r="J1050" i="3"/>
  <c r="A1050" i="3"/>
  <c r="AU1049" i="3"/>
  <c r="J1049" i="3"/>
  <c r="A1049" i="3"/>
  <c r="AU1048" i="3"/>
  <c r="J1048" i="3"/>
  <c r="A1048" i="3"/>
  <c r="AU1047" i="3"/>
  <c r="J1047" i="3"/>
  <c r="A1047" i="3"/>
  <c r="AU1046" i="3"/>
  <c r="J1046" i="3"/>
  <c r="A1046" i="3"/>
  <c r="AU1045" i="3"/>
  <c r="J1045" i="3"/>
  <c r="A1045" i="3"/>
  <c r="AU1044" i="3"/>
  <c r="J1044" i="3"/>
  <c r="A1044" i="3"/>
  <c r="AU1043" i="3"/>
  <c r="J1043" i="3"/>
  <c r="A1043" i="3"/>
  <c r="AU1042" i="3"/>
  <c r="J1042" i="3"/>
  <c r="A1042" i="3"/>
  <c r="AU1041" i="3"/>
  <c r="J1041" i="3"/>
  <c r="A1041" i="3"/>
  <c r="AU1040" i="3"/>
  <c r="J1040" i="3"/>
  <c r="A1040" i="3"/>
  <c r="AU1039" i="3"/>
  <c r="J1039" i="3"/>
  <c r="A1039" i="3"/>
  <c r="AU1038" i="3"/>
  <c r="J1038" i="3"/>
  <c r="A1038" i="3"/>
  <c r="AU1037" i="3"/>
  <c r="J1037" i="3"/>
  <c r="A1037" i="3"/>
  <c r="AU1036" i="3"/>
  <c r="J1036" i="3"/>
  <c r="A1036" i="3"/>
  <c r="AU1035" i="3"/>
  <c r="J1035" i="3"/>
  <c r="A1035" i="3"/>
  <c r="AU1034" i="3"/>
  <c r="J1034" i="3"/>
  <c r="A1034" i="3"/>
  <c r="AU1033" i="3"/>
  <c r="J1033" i="3"/>
  <c r="A1033" i="3"/>
  <c r="AU1032" i="3"/>
  <c r="J1032" i="3"/>
  <c r="A1032" i="3"/>
  <c r="AU1031" i="3"/>
  <c r="J1031" i="3"/>
  <c r="A1031" i="3"/>
  <c r="AU1030" i="3"/>
  <c r="J1030" i="3"/>
  <c r="A1030" i="3"/>
  <c r="AU1029" i="3"/>
  <c r="J1029" i="3"/>
  <c r="A1029" i="3"/>
  <c r="AU1028" i="3"/>
  <c r="J1028" i="3"/>
  <c r="A1028" i="3"/>
  <c r="AU1027" i="3"/>
  <c r="J1027" i="3"/>
  <c r="A1027" i="3"/>
  <c r="AU1026" i="3"/>
  <c r="J1026" i="3"/>
  <c r="A1026" i="3"/>
  <c r="AU1025" i="3"/>
  <c r="J1025" i="3"/>
  <c r="A1025" i="3"/>
  <c r="AU1024" i="3"/>
  <c r="J1024" i="3"/>
  <c r="A1024" i="3"/>
  <c r="AU1023" i="3"/>
  <c r="J1023" i="3"/>
  <c r="A1023" i="3"/>
  <c r="AU1022" i="3"/>
  <c r="J1022" i="3"/>
  <c r="A1022" i="3"/>
  <c r="AU1021" i="3"/>
  <c r="J1021" i="3"/>
  <c r="A1021" i="3"/>
  <c r="AU1020" i="3"/>
  <c r="J1020" i="3"/>
  <c r="A1020" i="3"/>
  <c r="AU1019" i="3"/>
  <c r="J1019" i="3"/>
  <c r="A1019" i="3"/>
  <c r="AU1018" i="3"/>
  <c r="J1018" i="3"/>
  <c r="A1018" i="3"/>
  <c r="AU1017" i="3"/>
  <c r="J1017" i="3"/>
  <c r="A1017" i="3"/>
  <c r="AU1016" i="3"/>
  <c r="J1016" i="3"/>
  <c r="A1016" i="3"/>
  <c r="AU1015" i="3"/>
  <c r="J1015" i="3"/>
  <c r="A1015" i="3"/>
  <c r="AU1014" i="3"/>
  <c r="J1014" i="3"/>
  <c r="A1014" i="3"/>
  <c r="AU1013" i="3"/>
  <c r="J1013" i="3"/>
  <c r="A1013" i="3"/>
  <c r="AU1012" i="3"/>
  <c r="J1012" i="3"/>
  <c r="A1012" i="3"/>
  <c r="AU1011" i="3"/>
  <c r="J1011" i="3"/>
  <c r="A1011" i="3"/>
  <c r="AU1010" i="3"/>
  <c r="J1010" i="3"/>
  <c r="A1010" i="3"/>
  <c r="AU1009" i="3"/>
  <c r="J1009" i="3"/>
  <c r="A1009" i="3"/>
  <c r="AU1008" i="3"/>
  <c r="J1008" i="3"/>
  <c r="A1008" i="3"/>
  <c r="AU1007" i="3"/>
  <c r="J1007" i="3"/>
  <c r="A1007" i="3"/>
  <c r="AU1006" i="3"/>
  <c r="J1006" i="3"/>
  <c r="A1006" i="3"/>
  <c r="AU1005" i="3"/>
  <c r="J1005" i="3"/>
  <c r="A1005" i="3"/>
  <c r="AU1004" i="3"/>
  <c r="J1004" i="3"/>
  <c r="A1004" i="3"/>
  <c r="AU1003" i="3"/>
  <c r="J1003" i="3"/>
  <c r="A1003" i="3"/>
  <c r="AU1002" i="3"/>
  <c r="J1002" i="3"/>
  <c r="A1002" i="3"/>
  <c r="AU1001" i="3"/>
  <c r="J1001" i="3"/>
  <c r="A1001" i="3"/>
  <c r="AU1000" i="3"/>
  <c r="J1000" i="3"/>
  <c r="A1000" i="3"/>
  <c r="AU999" i="3"/>
  <c r="J999" i="3"/>
  <c r="A999" i="3"/>
  <c r="AU998" i="3"/>
  <c r="J998" i="3"/>
  <c r="A998" i="3"/>
  <c r="AU997" i="3"/>
  <c r="J997" i="3"/>
  <c r="A997" i="3"/>
  <c r="AU996" i="3"/>
  <c r="J996" i="3"/>
  <c r="A996" i="3"/>
  <c r="AU995" i="3"/>
  <c r="J995" i="3"/>
  <c r="A995" i="3"/>
  <c r="AU994" i="3"/>
  <c r="J994" i="3"/>
  <c r="A994" i="3"/>
  <c r="AU993" i="3"/>
  <c r="J993" i="3"/>
  <c r="A993" i="3"/>
  <c r="AU992" i="3"/>
  <c r="J992" i="3"/>
  <c r="A992" i="3"/>
  <c r="AU991" i="3"/>
  <c r="J991" i="3"/>
  <c r="A991" i="3"/>
  <c r="AU990" i="3"/>
  <c r="J990" i="3"/>
  <c r="A990" i="3"/>
  <c r="AU989" i="3"/>
  <c r="J989" i="3"/>
  <c r="A989" i="3"/>
  <c r="AU988" i="3"/>
  <c r="J988" i="3"/>
  <c r="A988" i="3"/>
  <c r="AU987" i="3"/>
  <c r="J987" i="3"/>
  <c r="A987" i="3"/>
  <c r="AU986" i="3"/>
  <c r="J986" i="3"/>
  <c r="A986" i="3"/>
  <c r="AU985" i="3"/>
  <c r="J985" i="3"/>
  <c r="A985" i="3"/>
  <c r="AU984" i="3"/>
  <c r="J984" i="3"/>
  <c r="A984" i="3"/>
  <c r="AU983" i="3"/>
  <c r="J983" i="3"/>
  <c r="A983" i="3"/>
  <c r="AU982" i="3"/>
  <c r="J982" i="3"/>
  <c r="A982" i="3"/>
  <c r="AU981" i="3"/>
  <c r="J981" i="3"/>
  <c r="A981" i="3"/>
  <c r="AU980" i="3"/>
  <c r="J980" i="3"/>
  <c r="A980" i="3"/>
  <c r="AU979" i="3"/>
  <c r="J979" i="3"/>
  <c r="A979" i="3"/>
  <c r="AU978" i="3"/>
  <c r="J978" i="3"/>
  <c r="A978" i="3"/>
  <c r="AU977" i="3"/>
  <c r="J977" i="3"/>
  <c r="A977" i="3"/>
  <c r="AU976" i="3"/>
  <c r="J976" i="3"/>
  <c r="A976" i="3"/>
  <c r="AU975" i="3"/>
  <c r="J975" i="3"/>
  <c r="A975" i="3"/>
  <c r="AU974" i="3"/>
  <c r="J974" i="3"/>
  <c r="A974" i="3"/>
  <c r="AU973" i="3"/>
  <c r="J973" i="3"/>
  <c r="A973" i="3"/>
  <c r="AU972" i="3"/>
  <c r="J972" i="3"/>
  <c r="A972" i="3"/>
  <c r="AU971" i="3"/>
  <c r="J971" i="3"/>
  <c r="A971" i="3"/>
  <c r="AU970" i="3"/>
  <c r="J970" i="3"/>
  <c r="A970" i="3"/>
  <c r="AU969" i="3"/>
  <c r="J969" i="3"/>
  <c r="A969" i="3"/>
  <c r="AU968" i="3"/>
  <c r="J968" i="3"/>
  <c r="A968" i="3"/>
  <c r="AU967" i="3"/>
  <c r="J967" i="3"/>
  <c r="A967" i="3"/>
  <c r="AU966" i="3"/>
  <c r="J966" i="3"/>
  <c r="A966" i="3"/>
  <c r="AU965" i="3"/>
  <c r="J965" i="3"/>
  <c r="A965" i="3"/>
  <c r="AU964" i="3"/>
  <c r="J964" i="3"/>
  <c r="A964" i="3"/>
  <c r="AU963" i="3"/>
  <c r="J963" i="3"/>
  <c r="A963" i="3"/>
  <c r="AU962" i="3"/>
  <c r="J962" i="3"/>
  <c r="A962" i="3"/>
  <c r="AU961" i="3"/>
  <c r="J961" i="3"/>
  <c r="A961" i="3"/>
  <c r="AU960" i="3"/>
  <c r="J960" i="3"/>
  <c r="A960" i="3"/>
  <c r="AU959" i="3"/>
  <c r="J959" i="3"/>
  <c r="A959" i="3"/>
  <c r="AU958" i="3"/>
  <c r="J958" i="3"/>
  <c r="A958" i="3"/>
  <c r="AU957" i="3"/>
  <c r="J957" i="3"/>
  <c r="A957" i="3"/>
  <c r="AU956" i="3"/>
  <c r="J956" i="3"/>
  <c r="A956" i="3"/>
  <c r="AU955" i="3"/>
  <c r="J955" i="3"/>
  <c r="A955" i="3"/>
  <c r="AU954" i="3"/>
  <c r="J954" i="3"/>
  <c r="A954" i="3"/>
  <c r="AU953" i="3"/>
  <c r="J953" i="3"/>
  <c r="A953" i="3"/>
  <c r="AU952" i="3"/>
  <c r="J952" i="3"/>
  <c r="A952" i="3"/>
  <c r="AU951" i="3"/>
  <c r="J951" i="3"/>
  <c r="A951" i="3"/>
  <c r="AU950" i="3"/>
  <c r="J950" i="3"/>
  <c r="A950" i="3"/>
  <c r="AU949" i="3"/>
  <c r="J949" i="3"/>
  <c r="A949" i="3"/>
  <c r="AU948" i="3"/>
  <c r="J948" i="3"/>
  <c r="A948" i="3"/>
  <c r="AU947" i="3"/>
  <c r="J947" i="3"/>
  <c r="A947" i="3"/>
  <c r="AU946" i="3"/>
  <c r="J946" i="3"/>
  <c r="A946" i="3"/>
  <c r="AU945" i="3"/>
  <c r="J945" i="3"/>
  <c r="A945" i="3"/>
  <c r="AU944" i="3"/>
  <c r="J944" i="3"/>
  <c r="A944" i="3"/>
  <c r="AU943" i="3"/>
  <c r="J943" i="3"/>
  <c r="A943" i="3"/>
  <c r="AU942" i="3"/>
  <c r="J942" i="3"/>
  <c r="A942" i="3"/>
  <c r="AU941" i="3"/>
  <c r="J941" i="3"/>
  <c r="A941" i="3"/>
  <c r="AU940" i="3"/>
  <c r="J940" i="3"/>
  <c r="A940" i="3"/>
  <c r="AU939" i="3"/>
  <c r="J939" i="3"/>
  <c r="A939" i="3"/>
  <c r="AU938" i="3"/>
  <c r="J938" i="3"/>
  <c r="A938" i="3"/>
  <c r="AU937" i="3"/>
  <c r="J937" i="3"/>
  <c r="A937" i="3"/>
  <c r="AU936" i="3"/>
  <c r="J936" i="3"/>
  <c r="A936" i="3"/>
  <c r="AU935" i="3"/>
  <c r="J935" i="3"/>
  <c r="A935" i="3"/>
  <c r="AU934" i="3"/>
  <c r="J934" i="3"/>
  <c r="A934" i="3"/>
  <c r="AU933" i="3"/>
  <c r="J933" i="3"/>
  <c r="A933" i="3"/>
  <c r="AU932" i="3"/>
  <c r="J932" i="3"/>
  <c r="A932" i="3"/>
  <c r="AU931" i="3"/>
  <c r="J931" i="3"/>
  <c r="A931" i="3"/>
  <c r="AU930" i="3"/>
  <c r="J930" i="3"/>
  <c r="A930" i="3"/>
  <c r="AU929" i="3"/>
  <c r="J929" i="3"/>
  <c r="A929" i="3"/>
  <c r="AU928" i="3"/>
  <c r="J928" i="3"/>
  <c r="A928" i="3"/>
  <c r="AU927" i="3"/>
  <c r="J927" i="3"/>
  <c r="A927" i="3"/>
  <c r="AU926" i="3"/>
  <c r="J926" i="3"/>
  <c r="A926" i="3"/>
  <c r="AU925" i="3"/>
  <c r="J925" i="3"/>
  <c r="A925" i="3"/>
  <c r="AU924" i="3"/>
  <c r="J924" i="3"/>
  <c r="A924" i="3"/>
  <c r="AU923" i="3"/>
  <c r="J923" i="3"/>
  <c r="A923" i="3"/>
  <c r="AU922" i="3"/>
  <c r="J922" i="3"/>
  <c r="A922" i="3"/>
  <c r="AU921" i="3"/>
  <c r="J921" i="3"/>
  <c r="A921" i="3"/>
  <c r="AU920" i="3"/>
  <c r="J920" i="3"/>
  <c r="A920" i="3"/>
  <c r="AU919" i="3"/>
  <c r="J919" i="3"/>
  <c r="A919" i="3"/>
  <c r="AU918" i="3"/>
  <c r="J918" i="3"/>
  <c r="A918" i="3"/>
  <c r="AU917" i="3"/>
  <c r="J917" i="3"/>
  <c r="A917" i="3"/>
  <c r="AU916" i="3"/>
  <c r="J916" i="3"/>
  <c r="A916" i="3"/>
  <c r="AU915" i="3"/>
  <c r="J915" i="3"/>
  <c r="A915" i="3"/>
  <c r="AU914" i="3"/>
  <c r="J914" i="3"/>
  <c r="A914" i="3"/>
  <c r="AU913" i="3"/>
  <c r="J913" i="3"/>
  <c r="A913" i="3"/>
  <c r="AU912" i="3"/>
  <c r="J912" i="3"/>
  <c r="A912" i="3"/>
  <c r="AU911" i="3"/>
  <c r="J911" i="3"/>
  <c r="A911" i="3"/>
  <c r="AU910" i="3"/>
  <c r="J910" i="3"/>
  <c r="A910" i="3"/>
  <c r="AU909" i="3"/>
  <c r="J909" i="3"/>
  <c r="A909" i="3"/>
  <c r="AU908" i="3"/>
  <c r="J908" i="3"/>
  <c r="A908" i="3"/>
  <c r="AU907" i="3"/>
  <c r="J907" i="3"/>
  <c r="A907" i="3"/>
  <c r="AU906" i="3"/>
  <c r="J906" i="3"/>
  <c r="A906" i="3"/>
  <c r="AU905" i="3"/>
  <c r="J905" i="3"/>
  <c r="A905" i="3"/>
  <c r="AU904" i="3"/>
  <c r="J904" i="3"/>
  <c r="A904" i="3"/>
  <c r="AU903" i="3"/>
  <c r="J903" i="3"/>
  <c r="A903" i="3"/>
  <c r="AU902" i="3"/>
  <c r="J902" i="3"/>
  <c r="A902" i="3"/>
  <c r="AU901" i="3"/>
  <c r="J901" i="3"/>
  <c r="A901" i="3"/>
  <c r="AU900" i="3"/>
  <c r="J900" i="3"/>
  <c r="A900" i="3"/>
  <c r="AU899" i="3"/>
  <c r="J899" i="3"/>
  <c r="A899" i="3"/>
  <c r="AU898" i="3"/>
  <c r="J898" i="3"/>
  <c r="A898" i="3"/>
  <c r="AU897" i="3"/>
  <c r="J897" i="3"/>
  <c r="A897" i="3"/>
  <c r="AU896" i="3"/>
  <c r="J896" i="3"/>
  <c r="A896" i="3"/>
  <c r="AU895" i="3"/>
  <c r="J895" i="3"/>
  <c r="A895" i="3"/>
  <c r="AU894" i="3"/>
  <c r="J894" i="3"/>
  <c r="A894" i="3"/>
  <c r="AU893" i="3"/>
  <c r="J893" i="3"/>
  <c r="A893" i="3"/>
  <c r="AU892" i="3"/>
  <c r="J892" i="3"/>
  <c r="A892" i="3"/>
  <c r="AU891" i="3"/>
  <c r="J891" i="3"/>
  <c r="A891" i="3"/>
  <c r="AU890" i="3"/>
  <c r="J890" i="3"/>
  <c r="A890" i="3"/>
  <c r="AU889" i="3"/>
  <c r="J889" i="3"/>
  <c r="A889" i="3"/>
  <c r="AU888" i="3"/>
  <c r="J888" i="3"/>
  <c r="A888" i="3"/>
  <c r="AU887" i="3"/>
  <c r="J887" i="3"/>
  <c r="A887" i="3"/>
  <c r="AU886" i="3"/>
  <c r="J886" i="3"/>
  <c r="A886" i="3"/>
  <c r="AU885" i="3"/>
  <c r="J885" i="3"/>
  <c r="A885" i="3"/>
  <c r="AU884" i="3"/>
  <c r="J884" i="3"/>
  <c r="A884" i="3"/>
  <c r="AU883" i="3"/>
  <c r="J883" i="3"/>
  <c r="A883" i="3"/>
  <c r="AU882" i="3"/>
  <c r="J882" i="3"/>
  <c r="A882" i="3"/>
  <c r="AU881" i="3"/>
  <c r="J881" i="3"/>
  <c r="A881" i="3"/>
  <c r="AU880" i="3"/>
  <c r="J880" i="3"/>
  <c r="A880" i="3"/>
  <c r="AU879" i="3"/>
  <c r="J879" i="3"/>
  <c r="A879" i="3"/>
  <c r="AU878" i="3"/>
  <c r="J878" i="3"/>
  <c r="A878" i="3"/>
  <c r="AU877" i="3"/>
  <c r="J877" i="3"/>
  <c r="A877" i="3"/>
  <c r="AU876" i="3"/>
  <c r="J876" i="3"/>
  <c r="A876" i="3"/>
  <c r="AU875" i="3"/>
  <c r="J875" i="3"/>
  <c r="A875" i="3"/>
  <c r="AU874" i="3"/>
  <c r="J874" i="3"/>
  <c r="A874" i="3"/>
  <c r="AU873" i="3"/>
  <c r="J873" i="3"/>
  <c r="A873" i="3"/>
  <c r="AU872" i="3"/>
  <c r="J872" i="3"/>
  <c r="A872" i="3"/>
  <c r="AU871" i="3"/>
  <c r="J871" i="3"/>
  <c r="A871" i="3"/>
  <c r="AU870" i="3"/>
  <c r="J870" i="3"/>
  <c r="A870" i="3"/>
  <c r="AU869" i="3"/>
  <c r="J869" i="3"/>
  <c r="A869" i="3"/>
  <c r="AU868" i="3"/>
  <c r="J868" i="3"/>
  <c r="A868" i="3"/>
  <c r="AU867" i="3"/>
  <c r="J867" i="3"/>
  <c r="A867" i="3"/>
  <c r="AU866" i="3"/>
  <c r="J866" i="3"/>
  <c r="A866" i="3"/>
  <c r="AU865" i="3"/>
  <c r="J865" i="3"/>
  <c r="A865" i="3"/>
  <c r="AU864" i="3"/>
  <c r="J864" i="3"/>
  <c r="A864" i="3"/>
  <c r="AU863" i="3"/>
  <c r="J863" i="3"/>
  <c r="A863" i="3"/>
  <c r="AU862" i="3"/>
  <c r="J862" i="3"/>
  <c r="A862" i="3"/>
  <c r="AU861" i="3"/>
  <c r="J861" i="3"/>
  <c r="A861" i="3"/>
  <c r="AU860" i="3"/>
  <c r="J860" i="3"/>
  <c r="A860" i="3"/>
  <c r="AU859" i="3"/>
  <c r="J859" i="3"/>
  <c r="A859" i="3"/>
  <c r="AU858" i="3"/>
  <c r="J858" i="3"/>
  <c r="A858" i="3"/>
  <c r="AU857" i="3"/>
  <c r="J857" i="3"/>
  <c r="A857" i="3"/>
  <c r="AU856" i="3"/>
  <c r="J856" i="3"/>
  <c r="A856" i="3"/>
  <c r="AU855" i="3"/>
  <c r="J855" i="3"/>
  <c r="A855" i="3"/>
  <c r="AU854" i="3"/>
  <c r="J854" i="3"/>
  <c r="A854" i="3"/>
  <c r="AU853" i="3"/>
  <c r="J853" i="3"/>
  <c r="A853" i="3"/>
  <c r="AU852" i="3"/>
  <c r="J852" i="3"/>
  <c r="A852" i="3"/>
  <c r="AU851" i="3"/>
  <c r="J851" i="3"/>
  <c r="A851" i="3"/>
  <c r="AU850" i="3"/>
  <c r="J850" i="3"/>
  <c r="A850" i="3"/>
  <c r="AU849" i="3"/>
  <c r="J849" i="3"/>
  <c r="A849" i="3"/>
  <c r="AU848" i="3"/>
  <c r="J848" i="3"/>
  <c r="A848" i="3"/>
  <c r="AU847" i="3"/>
  <c r="J847" i="3"/>
  <c r="A847" i="3"/>
  <c r="AU846" i="3"/>
  <c r="J846" i="3"/>
  <c r="A846" i="3"/>
  <c r="AU845" i="3"/>
  <c r="J845" i="3"/>
  <c r="A845" i="3"/>
  <c r="AU844" i="3"/>
  <c r="J844" i="3"/>
  <c r="A844" i="3"/>
  <c r="AU843" i="3"/>
  <c r="J843" i="3"/>
  <c r="A843" i="3"/>
  <c r="AU842" i="3"/>
  <c r="J842" i="3"/>
  <c r="A842" i="3"/>
  <c r="AU841" i="3"/>
  <c r="J841" i="3"/>
  <c r="A841" i="3"/>
  <c r="AU840" i="3"/>
  <c r="J840" i="3"/>
  <c r="A840" i="3"/>
  <c r="AU839" i="3"/>
  <c r="J839" i="3"/>
  <c r="A839" i="3"/>
  <c r="AU838" i="3"/>
  <c r="J838" i="3"/>
  <c r="A838" i="3"/>
  <c r="AU837" i="3"/>
  <c r="J837" i="3"/>
  <c r="A837" i="3"/>
  <c r="AU836" i="3"/>
  <c r="J836" i="3"/>
  <c r="A836" i="3"/>
  <c r="AU835" i="3"/>
  <c r="J835" i="3"/>
  <c r="A835" i="3"/>
  <c r="AU834" i="3"/>
  <c r="J834" i="3"/>
  <c r="A834" i="3"/>
  <c r="AU833" i="3"/>
  <c r="J833" i="3"/>
  <c r="A833" i="3"/>
  <c r="AU832" i="3"/>
  <c r="J832" i="3"/>
  <c r="A832" i="3"/>
  <c r="AU831" i="3"/>
  <c r="J831" i="3"/>
  <c r="A831" i="3"/>
  <c r="AU830" i="3"/>
  <c r="J830" i="3"/>
  <c r="A830" i="3"/>
  <c r="AU829" i="3"/>
  <c r="J829" i="3"/>
  <c r="A829" i="3"/>
  <c r="AU828" i="3"/>
  <c r="J828" i="3"/>
  <c r="A828" i="3"/>
  <c r="AU827" i="3"/>
  <c r="J827" i="3"/>
  <c r="A827" i="3"/>
  <c r="AU826" i="3"/>
  <c r="J826" i="3"/>
  <c r="A826" i="3"/>
  <c r="AU825" i="3"/>
  <c r="J825" i="3"/>
  <c r="A825" i="3"/>
  <c r="AU824" i="3"/>
  <c r="J824" i="3"/>
  <c r="A824" i="3"/>
  <c r="AU823" i="3"/>
  <c r="J823" i="3"/>
  <c r="A823" i="3"/>
  <c r="AU822" i="3"/>
  <c r="J822" i="3"/>
  <c r="A822" i="3"/>
  <c r="AU821" i="3"/>
  <c r="J821" i="3"/>
  <c r="A821" i="3"/>
  <c r="AU820" i="3"/>
  <c r="J820" i="3"/>
  <c r="A820" i="3"/>
  <c r="AU819" i="3"/>
  <c r="J819" i="3"/>
  <c r="A819" i="3"/>
  <c r="AU818" i="3"/>
  <c r="J818" i="3"/>
  <c r="A818" i="3"/>
  <c r="AU817" i="3"/>
  <c r="J817" i="3"/>
  <c r="A817" i="3"/>
  <c r="AU816" i="3"/>
  <c r="J816" i="3"/>
  <c r="A816" i="3"/>
  <c r="AU815" i="3"/>
  <c r="J815" i="3"/>
  <c r="A815" i="3"/>
  <c r="AU814" i="3"/>
  <c r="J814" i="3"/>
  <c r="A814" i="3"/>
  <c r="AU813" i="3"/>
  <c r="J813" i="3"/>
  <c r="A813" i="3"/>
  <c r="AU812" i="3"/>
  <c r="J812" i="3"/>
  <c r="A812" i="3"/>
  <c r="AU811" i="3"/>
  <c r="J811" i="3"/>
  <c r="A811" i="3"/>
  <c r="AU810" i="3"/>
  <c r="J810" i="3"/>
  <c r="A810" i="3"/>
  <c r="AU809" i="3"/>
  <c r="J809" i="3"/>
  <c r="A809" i="3"/>
  <c r="AU808" i="3"/>
  <c r="J808" i="3"/>
  <c r="A808" i="3"/>
  <c r="AU807" i="3"/>
  <c r="J807" i="3"/>
  <c r="A807" i="3"/>
  <c r="AU806" i="3"/>
  <c r="J806" i="3"/>
  <c r="A806" i="3"/>
  <c r="AU805" i="3"/>
  <c r="J805" i="3"/>
  <c r="A805" i="3"/>
  <c r="AU804" i="3"/>
  <c r="J804" i="3"/>
  <c r="A804" i="3"/>
  <c r="AU803" i="3"/>
  <c r="J803" i="3"/>
  <c r="A803" i="3"/>
  <c r="AU802" i="3"/>
  <c r="J802" i="3"/>
  <c r="A802" i="3"/>
  <c r="AU801" i="3"/>
  <c r="J801" i="3"/>
  <c r="A801" i="3"/>
  <c r="AU800" i="3"/>
  <c r="J800" i="3"/>
  <c r="A800" i="3"/>
  <c r="AU799" i="3"/>
  <c r="J799" i="3"/>
  <c r="A799" i="3"/>
  <c r="AU798" i="3"/>
  <c r="J798" i="3"/>
  <c r="A798" i="3"/>
  <c r="AU797" i="3"/>
  <c r="J797" i="3"/>
  <c r="A797" i="3"/>
  <c r="AU796" i="3"/>
  <c r="J796" i="3"/>
  <c r="A796" i="3"/>
  <c r="AU795" i="3"/>
  <c r="J795" i="3"/>
  <c r="A795" i="3"/>
  <c r="AU794" i="3"/>
  <c r="J794" i="3"/>
  <c r="A794" i="3"/>
  <c r="AU793" i="3"/>
  <c r="J793" i="3"/>
  <c r="A793" i="3"/>
  <c r="AU792" i="3"/>
  <c r="J792" i="3"/>
  <c r="A792" i="3"/>
  <c r="AU791" i="3"/>
  <c r="J791" i="3"/>
  <c r="A791" i="3"/>
  <c r="AU790" i="3"/>
  <c r="J790" i="3"/>
  <c r="A790" i="3"/>
  <c r="AU789" i="3"/>
  <c r="J789" i="3"/>
  <c r="A789" i="3"/>
  <c r="AU788" i="3"/>
  <c r="J788" i="3"/>
  <c r="A788" i="3"/>
  <c r="AU787" i="3"/>
  <c r="J787" i="3"/>
  <c r="A787" i="3"/>
  <c r="AU786" i="3"/>
  <c r="J786" i="3"/>
  <c r="A786" i="3"/>
  <c r="AU785" i="3"/>
  <c r="J785" i="3"/>
  <c r="A785" i="3"/>
  <c r="AU784" i="3"/>
  <c r="J784" i="3"/>
  <c r="A784" i="3"/>
  <c r="AU783" i="3"/>
  <c r="J783" i="3"/>
  <c r="A783" i="3"/>
  <c r="AU782" i="3"/>
  <c r="J782" i="3"/>
  <c r="A782" i="3"/>
  <c r="AU781" i="3"/>
  <c r="J781" i="3"/>
  <c r="A781" i="3"/>
  <c r="AU780" i="3"/>
  <c r="J780" i="3"/>
  <c r="A780" i="3"/>
  <c r="AU779" i="3"/>
  <c r="J779" i="3"/>
  <c r="A779" i="3"/>
  <c r="AU778" i="3"/>
  <c r="J778" i="3"/>
  <c r="A778" i="3"/>
  <c r="AU777" i="3"/>
  <c r="J777" i="3"/>
  <c r="A777" i="3"/>
  <c r="AU776" i="3"/>
  <c r="J776" i="3"/>
  <c r="A776" i="3"/>
  <c r="AU775" i="3"/>
  <c r="J775" i="3"/>
  <c r="A775" i="3"/>
  <c r="AU774" i="3"/>
  <c r="J774" i="3"/>
  <c r="A774" i="3"/>
  <c r="AU773" i="3"/>
  <c r="J773" i="3"/>
  <c r="A773" i="3"/>
  <c r="AU772" i="3"/>
  <c r="J772" i="3"/>
  <c r="A772" i="3"/>
  <c r="AU771" i="3"/>
  <c r="J771" i="3"/>
  <c r="A771" i="3"/>
  <c r="AU770" i="3"/>
  <c r="J770" i="3"/>
  <c r="A770" i="3"/>
  <c r="AU769" i="3"/>
  <c r="J769" i="3"/>
  <c r="A769" i="3"/>
  <c r="AU768" i="3"/>
  <c r="J768" i="3"/>
  <c r="A768" i="3"/>
  <c r="AU767" i="3"/>
  <c r="J767" i="3"/>
  <c r="A767" i="3"/>
  <c r="AU766" i="3"/>
  <c r="J766" i="3"/>
  <c r="A766" i="3"/>
  <c r="AU765" i="3"/>
  <c r="J765" i="3"/>
  <c r="A765" i="3"/>
  <c r="AU764" i="3"/>
  <c r="J764" i="3"/>
  <c r="A764" i="3"/>
  <c r="AU763" i="3"/>
  <c r="J763" i="3"/>
  <c r="A763" i="3"/>
  <c r="AU762" i="3"/>
  <c r="J762" i="3"/>
  <c r="A762" i="3"/>
  <c r="AU761" i="3"/>
  <c r="J761" i="3"/>
  <c r="A761" i="3"/>
  <c r="AU760" i="3"/>
  <c r="J760" i="3"/>
  <c r="A760" i="3"/>
  <c r="AU759" i="3"/>
  <c r="J759" i="3"/>
  <c r="A759" i="3"/>
  <c r="AU758" i="3"/>
  <c r="J758" i="3"/>
  <c r="A758" i="3"/>
  <c r="AU757" i="3"/>
  <c r="J757" i="3"/>
  <c r="A757" i="3"/>
  <c r="AU756" i="3"/>
  <c r="J756" i="3"/>
  <c r="A756" i="3"/>
  <c r="AU755" i="3"/>
  <c r="J755" i="3"/>
  <c r="A755" i="3"/>
  <c r="AU754" i="3"/>
  <c r="J754" i="3"/>
  <c r="A754" i="3"/>
  <c r="AU753" i="3"/>
  <c r="J753" i="3"/>
  <c r="A753" i="3"/>
  <c r="AU752" i="3"/>
  <c r="J752" i="3"/>
  <c r="A752" i="3"/>
  <c r="AU751" i="3"/>
  <c r="J751" i="3"/>
  <c r="A751" i="3"/>
  <c r="AU750" i="3"/>
  <c r="J750" i="3"/>
  <c r="A750" i="3"/>
  <c r="AU749" i="3"/>
  <c r="J749" i="3"/>
  <c r="A749" i="3"/>
  <c r="AU748" i="3"/>
  <c r="J748" i="3"/>
  <c r="A748" i="3"/>
  <c r="AU747" i="3"/>
  <c r="J747" i="3"/>
  <c r="A747" i="3"/>
  <c r="AU746" i="3"/>
  <c r="J746" i="3"/>
  <c r="A746" i="3"/>
  <c r="AU745" i="3"/>
  <c r="J745" i="3"/>
  <c r="A745" i="3"/>
  <c r="AU744" i="3"/>
  <c r="J744" i="3"/>
  <c r="A744" i="3"/>
  <c r="AU743" i="3"/>
  <c r="J743" i="3"/>
  <c r="A743" i="3"/>
  <c r="AU742" i="3"/>
  <c r="J742" i="3"/>
  <c r="A742" i="3"/>
  <c r="AU741" i="3"/>
  <c r="J741" i="3"/>
  <c r="A741" i="3"/>
  <c r="AU740" i="3"/>
  <c r="J740" i="3"/>
  <c r="A740" i="3"/>
  <c r="AU739" i="3"/>
  <c r="J739" i="3"/>
  <c r="A739" i="3"/>
  <c r="AU738" i="3"/>
  <c r="J738" i="3"/>
  <c r="A738" i="3"/>
  <c r="AU737" i="3"/>
  <c r="J737" i="3"/>
  <c r="A737" i="3"/>
  <c r="AU736" i="3"/>
  <c r="J736" i="3"/>
  <c r="A736" i="3"/>
  <c r="AU735" i="3"/>
  <c r="J735" i="3"/>
  <c r="A735" i="3"/>
  <c r="AU734" i="3"/>
  <c r="J734" i="3"/>
  <c r="A734" i="3"/>
  <c r="AU733" i="3"/>
  <c r="J733" i="3"/>
  <c r="A733" i="3"/>
  <c r="AU732" i="3"/>
  <c r="J732" i="3"/>
  <c r="A732" i="3"/>
  <c r="AU731" i="3"/>
  <c r="J731" i="3"/>
  <c r="A731" i="3"/>
  <c r="AU730" i="3"/>
  <c r="J730" i="3"/>
  <c r="A730" i="3"/>
  <c r="AU729" i="3"/>
  <c r="J729" i="3"/>
  <c r="A729" i="3"/>
  <c r="AU728" i="3"/>
  <c r="J728" i="3"/>
  <c r="A728" i="3"/>
  <c r="AU727" i="3"/>
  <c r="J727" i="3"/>
  <c r="A727" i="3"/>
  <c r="AU726" i="3"/>
  <c r="J726" i="3"/>
  <c r="A726" i="3"/>
  <c r="AU725" i="3"/>
  <c r="J725" i="3"/>
  <c r="A725" i="3"/>
  <c r="AU724" i="3"/>
  <c r="J724" i="3"/>
  <c r="A724" i="3"/>
  <c r="AU723" i="3"/>
  <c r="J723" i="3"/>
  <c r="A723" i="3"/>
  <c r="AU722" i="3"/>
  <c r="J722" i="3"/>
  <c r="A722" i="3"/>
  <c r="AU721" i="3"/>
  <c r="J721" i="3"/>
  <c r="A721" i="3"/>
  <c r="AU720" i="3"/>
  <c r="J720" i="3"/>
  <c r="A720" i="3"/>
  <c r="AU719" i="3"/>
  <c r="J719" i="3"/>
  <c r="A719" i="3"/>
  <c r="AU718" i="3"/>
  <c r="J718" i="3"/>
  <c r="A718" i="3"/>
  <c r="AU717" i="3"/>
  <c r="J717" i="3"/>
  <c r="A717" i="3"/>
  <c r="AU716" i="3"/>
  <c r="J716" i="3"/>
  <c r="A716" i="3"/>
  <c r="AU715" i="3"/>
  <c r="J715" i="3"/>
  <c r="A715" i="3"/>
  <c r="AU714" i="3"/>
  <c r="J714" i="3"/>
  <c r="A714" i="3"/>
  <c r="AU713" i="3"/>
  <c r="J713" i="3"/>
  <c r="A713" i="3"/>
  <c r="AU712" i="3"/>
  <c r="J712" i="3"/>
  <c r="A712" i="3"/>
  <c r="AU711" i="3"/>
  <c r="J711" i="3"/>
  <c r="A711" i="3"/>
  <c r="AU710" i="3"/>
  <c r="J710" i="3"/>
  <c r="A710" i="3"/>
  <c r="AU709" i="3"/>
  <c r="J709" i="3"/>
  <c r="A709" i="3"/>
  <c r="AU708" i="3"/>
  <c r="J708" i="3"/>
  <c r="A708" i="3"/>
  <c r="AU707" i="3"/>
  <c r="J707" i="3"/>
  <c r="A707" i="3"/>
  <c r="AU706" i="3"/>
  <c r="J706" i="3"/>
  <c r="A706" i="3"/>
  <c r="AU705" i="3"/>
  <c r="J705" i="3"/>
  <c r="A705" i="3"/>
  <c r="AU704" i="3"/>
  <c r="J704" i="3"/>
  <c r="A704" i="3"/>
  <c r="AU703" i="3"/>
  <c r="J703" i="3"/>
  <c r="A703" i="3"/>
  <c r="AU702" i="3"/>
  <c r="J702" i="3"/>
  <c r="A702" i="3"/>
  <c r="AU701" i="3"/>
  <c r="J701" i="3"/>
  <c r="A701" i="3"/>
  <c r="AU700" i="3"/>
  <c r="J700" i="3"/>
  <c r="A700" i="3"/>
  <c r="AU699" i="3"/>
  <c r="J699" i="3"/>
  <c r="A699" i="3"/>
  <c r="AU698" i="3"/>
  <c r="J698" i="3"/>
  <c r="A698" i="3"/>
  <c r="AU697" i="3"/>
  <c r="J697" i="3"/>
  <c r="A697" i="3"/>
  <c r="AU696" i="3"/>
  <c r="J696" i="3"/>
  <c r="A696" i="3"/>
  <c r="AU695" i="3"/>
  <c r="J695" i="3"/>
  <c r="A695" i="3"/>
  <c r="AU694" i="3"/>
  <c r="J694" i="3"/>
  <c r="A694" i="3"/>
  <c r="AU693" i="3"/>
  <c r="J693" i="3"/>
  <c r="A693" i="3"/>
  <c r="AU692" i="3"/>
  <c r="J692" i="3"/>
  <c r="A692" i="3"/>
  <c r="AU691" i="3"/>
  <c r="J691" i="3"/>
  <c r="A691" i="3"/>
  <c r="AU690" i="3"/>
  <c r="J690" i="3"/>
  <c r="A690" i="3"/>
  <c r="AU689" i="3"/>
  <c r="J689" i="3"/>
  <c r="A689" i="3"/>
  <c r="AU688" i="3"/>
  <c r="J688" i="3"/>
  <c r="A688" i="3"/>
  <c r="AU687" i="3"/>
  <c r="J687" i="3"/>
  <c r="A687" i="3"/>
  <c r="AU686" i="3"/>
  <c r="J686" i="3"/>
  <c r="A686" i="3"/>
  <c r="AU685" i="3"/>
  <c r="J685" i="3"/>
  <c r="A685" i="3"/>
  <c r="AU684" i="3"/>
  <c r="J684" i="3"/>
  <c r="A684" i="3"/>
  <c r="AU683" i="3"/>
  <c r="J683" i="3"/>
  <c r="A683" i="3"/>
  <c r="AU682" i="3"/>
  <c r="J682" i="3"/>
  <c r="A682" i="3"/>
  <c r="AU681" i="3"/>
  <c r="J681" i="3"/>
  <c r="A681" i="3"/>
  <c r="AU680" i="3"/>
  <c r="J680" i="3"/>
  <c r="A680" i="3"/>
  <c r="AU679" i="3"/>
  <c r="J679" i="3"/>
  <c r="A679" i="3"/>
  <c r="AU678" i="3"/>
  <c r="J678" i="3"/>
  <c r="A678" i="3"/>
  <c r="AU677" i="3"/>
  <c r="J677" i="3"/>
  <c r="A677" i="3"/>
  <c r="AU676" i="3"/>
  <c r="J676" i="3"/>
  <c r="A676" i="3"/>
  <c r="AU675" i="3"/>
  <c r="J675" i="3"/>
  <c r="A675" i="3"/>
  <c r="AU674" i="3"/>
  <c r="J674" i="3"/>
  <c r="A674" i="3"/>
  <c r="AU673" i="3"/>
  <c r="J673" i="3"/>
  <c r="A673" i="3"/>
  <c r="AU672" i="3"/>
  <c r="J672" i="3"/>
  <c r="A672" i="3"/>
  <c r="AU671" i="3"/>
  <c r="J671" i="3"/>
  <c r="A671" i="3"/>
  <c r="AU670" i="3"/>
  <c r="J670" i="3"/>
  <c r="A670" i="3"/>
  <c r="AU669" i="3"/>
  <c r="J669" i="3"/>
  <c r="A669" i="3"/>
  <c r="AU668" i="3"/>
  <c r="J668" i="3"/>
  <c r="A668" i="3"/>
  <c r="AU667" i="3"/>
  <c r="J667" i="3"/>
  <c r="A667" i="3"/>
  <c r="AU666" i="3"/>
  <c r="J666" i="3"/>
  <c r="A666" i="3"/>
  <c r="AU665" i="3"/>
  <c r="J665" i="3"/>
  <c r="A665" i="3"/>
  <c r="AU664" i="3"/>
  <c r="J664" i="3"/>
  <c r="A664" i="3"/>
  <c r="AU663" i="3"/>
  <c r="J663" i="3"/>
  <c r="A663" i="3"/>
  <c r="AU662" i="3"/>
  <c r="J662" i="3"/>
  <c r="A662" i="3"/>
  <c r="AU661" i="3"/>
  <c r="J661" i="3"/>
  <c r="A661" i="3"/>
  <c r="AU660" i="3"/>
  <c r="J660" i="3"/>
  <c r="A660" i="3"/>
  <c r="AU659" i="3"/>
  <c r="J659" i="3"/>
  <c r="A659" i="3"/>
  <c r="AU658" i="3"/>
  <c r="J658" i="3"/>
  <c r="A658" i="3"/>
  <c r="AU657" i="3"/>
  <c r="J657" i="3"/>
  <c r="A657" i="3"/>
  <c r="AU656" i="3"/>
  <c r="J656" i="3"/>
  <c r="A656" i="3"/>
  <c r="AU655" i="3"/>
  <c r="J655" i="3"/>
  <c r="A655" i="3"/>
  <c r="AU654" i="3"/>
  <c r="J654" i="3"/>
  <c r="A654" i="3"/>
  <c r="AU653" i="3"/>
  <c r="J653" i="3"/>
  <c r="A653" i="3"/>
  <c r="AU652" i="3"/>
  <c r="J652" i="3"/>
  <c r="A652" i="3"/>
  <c r="AU651" i="3"/>
  <c r="J651" i="3"/>
  <c r="A651" i="3"/>
  <c r="AU650" i="3"/>
  <c r="J650" i="3"/>
  <c r="A650" i="3"/>
  <c r="AU649" i="3"/>
  <c r="J649" i="3"/>
  <c r="A649" i="3"/>
  <c r="AU648" i="3"/>
  <c r="J648" i="3"/>
  <c r="A648" i="3"/>
  <c r="AU647" i="3"/>
  <c r="J647" i="3"/>
  <c r="A647" i="3"/>
  <c r="AU646" i="3"/>
  <c r="J646" i="3"/>
  <c r="A646" i="3"/>
  <c r="AU645" i="3"/>
  <c r="J645" i="3"/>
  <c r="A645" i="3"/>
  <c r="AU644" i="3"/>
  <c r="J644" i="3"/>
  <c r="A644" i="3"/>
  <c r="AU643" i="3"/>
  <c r="J643" i="3"/>
  <c r="A643" i="3"/>
  <c r="AU642" i="3"/>
  <c r="J642" i="3"/>
  <c r="A642" i="3"/>
  <c r="AU641" i="3"/>
  <c r="J641" i="3"/>
  <c r="A641" i="3"/>
  <c r="AU640" i="3"/>
  <c r="J640" i="3"/>
  <c r="A640" i="3"/>
  <c r="AU639" i="3"/>
  <c r="J639" i="3"/>
  <c r="A639" i="3"/>
  <c r="AU638" i="3"/>
  <c r="J638" i="3"/>
  <c r="A638" i="3"/>
  <c r="AU637" i="3"/>
  <c r="J637" i="3"/>
  <c r="A637" i="3"/>
  <c r="AU636" i="3"/>
  <c r="J636" i="3"/>
  <c r="A636" i="3"/>
  <c r="AU635" i="3"/>
  <c r="J635" i="3"/>
  <c r="A635" i="3"/>
  <c r="AU634" i="3"/>
  <c r="J634" i="3"/>
  <c r="A634" i="3"/>
  <c r="AU633" i="3"/>
  <c r="J633" i="3"/>
  <c r="A633" i="3"/>
  <c r="AU632" i="3"/>
  <c r="J632" i="3"/>
  <c r="A632" i="3"/>
  <c r="AU631" i="3"/>
  <c r="J631" i="3"/>
  <c r="A631" i="3"/>
  <c r="AU630" i="3"/>
  <c r="J630" i="3"/>
  <c r="A630" i="3"/>
  <c r="AU629" i="3"/>
  <c r="J629" i="3"/>
  <c r="A629" i="3"/>
  <c r="AU628" i="3"/>
  <c r="J628" i="3"/>
  <c r="A628" i="3"/>
  <c r="AU627" i="3"/>
  <c r="J627" i="3"/>
  <c r="A627" i="3"/>
  <c r="AU626" i="3"/>
  <c r="J626" i="3"/>
  <c r="A626" i="3"/>
  <c r="AU625" i="3"/>
  <c r="J625" i="3"/>
  <c r="A625" i="3"/>
  <c r="AU624" i="3"/>
  <c r="J624" i="3"/>
  <c r="A624" i="3"/>
  <c r="AU623" i="3"/>
  <c r="J623" i="3"/>
  <c r="A623" i="3"/>
  <c r="AU622" i="3"/>
  <c r="J622" i="3"/>
  <c r="A622" i="3"/>
  <c r="AU621" i="3"/>
  <c r="J621" i="3"/>
  <c r="A621" i="3"/>
  <c r="AU620" i="3"/>
  <c r="J620" i="3"/>
  <c r="A620" i="3"/>
  <c r="AU619" i="3"/>
  <c r="J619" i="3"/>
  <c r="A619" i="3"/>
  <c r="AU618" i="3"/>
  <c r="J618" i="3"/>
  <c r="A618" i="3"/>
  <c r="AU617" i="3"/>
  <c r="J617" i="3"/>
  <c r="A617" i="3"/>
  <c r="AU616" i="3"/>
  <c r="J616" i="3"/>
  <c r="A616" i="3"/>
  <c r="AU615" i="3"/>
  <c r="J615" i="3"/>
  <c r="A615" i="3"/>
  <c r="AU614" i="3"/>
  <c r="J614" i="3"/>
  <c r="A614" i="3"/>
  <c r="AU613" i="3"/>
  <c r="J613" i="3"/>
  <c r="A613" i="3"/>
  <c r="AU612" i="3"/>
  <c r="J612" i="3"/>
  <c r="A612" i="3"/>
  <c r="AU611" i="3"/>
  <c r="J611" i="3"/>
  <c r="A611" i="3"/>
  <c r="AU610" i="3"/>
  <c r="J610" i="3"/>
  <c r="A610" i="3"/>
  <c r="AU609" i="3"/>
  <c r="J609" i="3"/>
  <c r="A609" i="3"/>
  <c r="AU608" i="3"/>
  <c r="J608" i="3"/>
  <c r="A608" i="3"/>
  <c r="AU607" i="3"/>
  <c r="J607" i="3"/>
  <c r="A607" i="3"/>
  <c r="AU606" i="3"/>
  <c r="J606" i="3"/>
  <c r="A606" i="3"/>
  <c r="AU605" i="3"/>
  <c r="J605" i="3"/>
  <c r="A605" i="3"/>
  <c r="AU604" i="3"/>
  <c r="J604" i="3"/>
  <c r="A604" i="3"/>
  <c r="AU603" i="3"/>
  <c r="J603" i="3"/>
  <c r="A603" i="3"/>
  <c r="AU602" i="3"/>
  <c r="J602" i="3"/>
  <c r="A602" i="3"/>
  <c r="AU601" i="3"/>
  <c r="J601" i="3"/>
  <c r="A601" i="3"/>
  <c r="AU600" i="3"/>
  <c r="J600" i="3"/>
  <c r="A600" i="3"/>
  <c r="AU599" i="3"/>
  <c r="J599" i="3"/>
  <c r="A599" i="3"/>
  <c r="AU598" i="3"/>
  <c r="J598" i="3"/>
  <c r="A598" i="3"/>
  <c r="AU597" i="3"/>
  <c r="J597" i="3"/>
  <c r="A597" i="3"/>
  <c r="AU596" i="3"/>
  <c r="J596" i="3"/>
  <c r="A596" i="3"/>
  <c r="AU595" i="3"/>
  <c r="J595" i="3"/>
  <c r="A595" i="3"/>
  <c r="AU594" i="3"/>
  <c r="J594" i="3"/>
  <c r="A594" i="3"/>
  <c r="AU593" i="3"/>
  <c r="J593" i="3"/>
  <c r="A593" i="3"/>
  <c r="AU592" i="3"/>
  <c r="J592" i="3"/>
  <c r="A592" i="3"/>
  <c r="AU591" i="3"/>
  <c r="J591" i="3"/>
  <c r="A591" i="3"/>
  <c r="AU590" i="3"/>
  <c r="J590" i="3"/>
  <c r="A590" i="3"/>
  <c r="AU589" i="3"/>
  <c r="J589" i="3"/>
  <c r="A589" i="3"/>
  <c r="AU588" i="3"/>
  <c r="J588" i="3"/>
  <c r="A588" i="3"/>
  <c r="AU587" i="3"/>
  <c r="J587" i="3"/>
  <c r="A587" i="3"/>
  <c r="AU586" i="3"/>
  <c r="J586" i="3"/>
  <c r="A586" i="3"/>
  <c r="AU585" i="3"/>
  <c r="J585" i="3"/>
  <c r="A585" i="3"/>
  <c r="AU584" i="3"/>
  <c r="J584" i="3"/>
  <c r="A584" i="3"/>
  <c r="AU583" i="3"/>
  <c r="J583" i="3"/>
  <c r="A583" i="3"/>
  <c r="AU582" i="3"/>
  <c r="J582" i="3"/>
  <c r="A582" i="3"/>
  <c r="AU581" i="3"/>
  <c r="J581" i="3"/>
  <c r="A581" i="3"/>
  <c r="AU580" i="3"/>
  <c r="J580" i="3"/>
  <c r="A580" i="3"/>
  <c r="AU579" i="3"/>
  <c r="J579" i="3"/>
  <c r="A579" i="3"/>
  <c r="AU578" i="3"/>
  <c r="J578" i="3"/>
  <c r="A578" i="3"/>
  <c r="AU577" i="3"/>
  <c r="J577" i="3"/>
  <c r="A577" i="3"/>
  <c r="AU576" i="3"/>
  <c r="J576" i="3"/>
  <c r="A576" i="3"/>
  <c r="AU575" i="3"/>
  <c r="J575" i="3"/>
  <c r="A575" i="3"/>
  <c r="AU574" i="3"/>
  <c r="J574" i="3"/>
  <c r="A574" i="3"/>
  <c r="AU573" i="3"/>
  <c r="J573" i="3"/>
  <c r="A573" i="3"/>
  <c r="AU572" i="3"/>
  <c r="J572" i="3"/>
  <c r="A572" i="3"/>
  <c r="AU571" i="3"/>
  <c r="J571" i="3"/>
  <c r="A571" i="3"/>
  <c r="AU570" i="3"/>
  <c r="J570" i="3"/>
  <c r="A570" i="3"/>
  <c r="AU569" i="3"/>
  <c r="J569" i="3"/>
  <c r="A569" i="3"/>
  <c r="AU568" i="3"/>
  <c r="J568" i="3"/>
  <c r="A568" i="3"/>
  <c r="AU567" i="3"/>
  <c r="J567" i="3"/>
  <c r="A567" i="3"/>
  <c r="AU566" i="3"/>
  <c r="J566" i="3"/>
  <c r="A566" i="3"/>
  <c r="AU565" i="3"/>
  <c r="J565" i="3"/>
  <c r="A565" i="3"/>
  <c r="AU564" i="3"/>
  <c r="J564" i="3"/>
  <c r="A564" i="3"/>
  <c r="AU563" i="3"/>
  <c r="J563" i="3"/>
  <c r="A563" i="3"/>
  <c r="AU562" i="3"/>
  <c r="J562" i="3"/>
  <c r="A562" i="3"/>
  <c r="AU561" i="3"/>
  <c r="J561" i="3"/>
  <c r="A561" i="3"/>
  <c r="AU560" i="3"/>
  <c r="J560" i="3"/>
  <c r="A560" i="3"/>
  <c r="AU559" i="3"/>
  <c r="J559" i="3"/>
  <c r="A559" i="3"/>
  <c r="AU558" i="3"/>
  <c r="J558" i="3"/>
  <c r="A558" i="3"/>
  <c r="AU557" i="3"/>
  <c r="J557" i="3"/>
  <c r="A557" i="3"/>
  <c r="AU556" i="3"/>
  <c r="J556" i="3"/>
  <c r="A556" i="3"/>
  <c r="AU555" i="3"/>
  <c r="J555" i="3"/>
  <c r="A555" i="3"/>
  <c r="AU554" i="3"/>
  <c r="J554" i="3"/>
  <c r="A554" i="3"/>
  <c r="AU553" i="3"/>
  <c r="J553" i="3"/>
  <c r="A553" i="3"/>
  <c r="AU552" i="3"/>
  <c r="J552" i="3"/>
  <c r="A552" i="3"/>
  <c r="AU551" i="3"/>
  <c r="J551" i="3"/>
  <c r="A551" i="3"/>
  <c r="AU550" i="3"/>
  <c r="J550" i="3"/>
  <c r="A550" i="3"/>
  <c r="AU549" i="3"/>
  <c r="J549" i="3"/>
  <c r="A549" i="3"/>
  <c r="AU548" i="3"/>
  <c r="J548" i="3"/>
  <c r="A548" i="3"/>
  <c r="AU547" i="3"/>
  <c r="J547" i="3"/>
  <c r="A547" i="3"/>
  <c r="AU546" i="3"/>
  <c r="J546" i="3"/>
  <c r="A546" i="3"/>
  <c r="AU545" i="3"/>
  <c r="J545" i="3"/>
  <c r="A545" i="3"/>
  <c r="AU544" i="3"/>
  <c r="J544" i="3"/>
  <c r="A544" i="3"/>
  <c r="AU543" i="3"/>
  <c r="J543" i="3"/>
  <c r="A543" i="3"/>
  <c r="AU542" i="3"/>
  <c r="J542" i="3"/>
  <c r="A542" i="3"/>
  <c r="AU541" i="3"/>
  <c r="J541" i="3"/>
  <c r="A541" i="3"/>
  <c r="AU540" i="3"/>
  <c r="J540" i="3"/>
  <c r="A540" i="3"/>
  <c r="AU539" i="3"/>
  <c r="J539" i="3"/>
  <c r="A539" i="3"/>
  <c r="AU538" i="3"/>
  <c r="J538" i="3"/>
  <c r="A538" i="3"/>
  <c r="AU537" i="3"/>
  <c r="J537" i="3"/>
  <c r="A537" i="3"/>
  <c r="AU536" i="3"/>
  <c r="J536" i="3"/>
  <c r="A536" i="3"/>
  <c r="AU535" i="3"/>
  <c r="J535" i="3"/>
  <c r="A535" i="3"/>
  <c r="AU534" i="3"/>
  <c r="J534" i="3"/>
  <c r="A534" i="3"/>
  <c r="AU533" i="3"/>
  <c r="J533" i="3"/>
  <c r="A533" i="3"/>
  <c r="AU532" i="3"/>
  <c r="J532" i="3"/>
  <c r="A532" i="3"/>
  <c r="AU531" i="3"/>
  <c r="J531" i="3"/>
  <c r="A531" i="3"/>
  <c r="AU530" i="3"/>
  <c r="J530" i="3"/>
  <c r="A530" i="3"/>
  <c r="AU529" i="3"/>
  <c r="J529" i="3"/>
  <c r="A529" i="3"/>
  <c r="AU528" i="3"/>
  <c r="J528" i="3"/>
  <c r="A528" i="3"/>
  <c r="AU527" i="3"/>
  <c r="J527" i="3"/>
  <c r="A527" i="3"/>
  <c r="AU526" i="3"/>
  <c r="J526" i="3"/>
  <c r="A526" i="3"/>
  <c r="AU525" i="3"/>
  <c r="J525" i="3"/>
  <c r="A525" i="3"/>
  <c r="AU524" i="3"/>
  <c r="J524" i="3"/>
  <c r="A524" i="3"/>
  <c r="AU523" i="3"/>
  <c r="J523" i="3"/>
  <c r="A523" i="3"/>
  <c r="AU522" i="3"/>
  <c r="J522" i="3"/>
  <c r="A522" i="3"/>
  <c r="AU521" i="3"/>
  <c r="J521" i="3"/>
  <c r="A521" i="3"/>
  <c r="AU520" i="3"/>
  <c r="J520" i="3"/>
  <c r="A520" i="3"/>
  <c r="AU519" i="3"/>
  <c r="J519" i="3"/>
  <c r="A519" i="3"/>
  <c r="AU518" i="3"/>
  <c r="J518" i="3"/>
  <c r="A518" i="3"/>
  <c r="AU517" i="3"/>
  <c r="J517" i="3"/>
  <c r="A517" i="3"/>
  <c r="AU516" i="3"/>
  <c r="J516" i="3"/>
  <c r="A516" i="3"/>
  <c r="AU515" i="3"/>
  <c r="J515" i="3"/>
  <c r="A515" i="3"/>
  <c r="AU514" i="3"/>
  <c r="J514" i="3"/>
  <c r="A514" i="3"/>
  <c r="AU513" i="3"/>
  <c r="J513" i="3"/>
  <c r="A513" i="3"/>
  <c r="AU512" i="3"/>
  <c r="J512" i="3"/>
  <c r="A512" i="3"/>
  <c r="AU511" i="3"/>
  <c r="J511" i="3"/>
  <c r="A511" i="3"/>
  <c r="AU510" i="3"/>
  <c r="J510" i="3"/>
  <c r="A510" i="3"/>
  <c r="AU509" i="3"/>
  <c r="J509" i="3"/>
  <c r="A509" i="3"/>
  <c r="AU508" i="3"/>
  <c r="J508" i="3"/>
  <c r="A508" i="3"/>
  <c r="AU507" i="3"/>
  <c r="J507" i="3"/>
  <c r="A507" i="3"/>
  <c r="AU506" i="3"/>
  <c r="J506" i="3"/>
  <c r="A506" i="3"/>
  <c r="AU505" i="3"/>
  <c r="J505" i="3"/>
  <c r="A505" i="3"/>
  <c r="AU504" i="3"/>
  <c r="J504" i="3"/>
  <c r="A504" i="3"/>
  <c r="AU503" i="3"/>
  <c r="J503" i="3"/>
  <c r="A503" i="3"/>
  <c r="AU502" i="3"/>
  <c r="J502" i="3"/>
  <c r="A502" i="3"/>
  <c r="AU501" i="3"/>
  <c r="J501" i="3"/>
  <c r="A501" i="3"/>
  <c r="AU500" i="3"/>
  <c r="J500" i="3"/>
  <c r="A500" i="3"/>
  <c r="AU499" i="3"/>
  <c r="J499" i="3"/>
  <c r="A499" i="3"/>
  <c r="AU498" i="3"/>
  <c r="J498" i="3"/>
  <c r="A498" i="3"/>
  <c r="AU497" i="3"/>
  <c r="J497" i="3"/>
  <c r="A497" i="3"/>
  <c r="AU496" i="3"/>
  <c r="J496" i="3"/>
  <c r="A496" i="3"/>
  <c r="AU495" i="3"/>
  <c r="J495" i="3"/>
  <c r="A495" i="3"/>
  <c r="AU494" i="3"/>
  <c r="J494" i="3"/>
  <c r="A494" i="3"/>
  <c r="AU493" i="3"/>
  <c r="J493" i="3"/>
  <c r="A493" i="3"/>
  <c r="AU492" i="3"/>
  <c r="J492" i="3"/>
  <c r="A492" i="3"/>
  <c r="AU491" i="3"/>
  <c r="J491" i="3"/>
  <c r="A491" i="3"/>
  <c r="AU490" i="3"/>
  <c r="J490" i="3"/>
  <c r="A490" i="3"/>
  <c r="AU489" i="3"/>
  <c r="J489" i="3"/>
  <c r="A489" i="3"/>
  <c r="AU488" i="3"/>
  <c r="J488" i="3"/>
  <c r="A488" i="3"/>
  <c r="AU487" i="3"/>
  <c r="J487" i="3"/>
  <c r="A487" i="3"/>
  <c r="AU486" i="3"/>
  <c r="J486" i="3"/>
  <c r="A486" i="3"/>
  <c r="AU485" i="3"/>
  <c r="J485" i="3"/>
  <c r="A485" i="3"/>
  <c r="AU484" i="3"/>
  <c r="J484" i="3"/>
  <c r="A484" i="3"/>
  <c r="AU483" i="3"/>
  <c r="J483" i="3"/>
  <c r="A483" i="3"/>
  <c r="AU482" i="3"/>
  <c r="J482" i="3"/>
  <c r="A482" i="3"/>
  <c r="AU481" i="3"/>
  <c r="J481" i="3"/>
  <c r="A481" i="3"/>
  <c r="AU480" i="3"/>
  <c r="J480" i="3"/>
  <c r="A480" i="3"/>
  <c r="AU479" i="3"/>
  <c r="J479" i="3"/>
  <c r="A479" i="3"/>
  <c r="AU478" i="3"/>
  <c r="J478" i="3"/>
  <c r="A478" i="3"/>
  <c r="AU477" i="3"/>
  <c r="J477" i="3"/>
  <c r="A477" i="3"/>
  <c r="AU476" i="3"/>
  <c r="J476" i="3"/>
  <c r="A476" i="3"/>
  <c r="AU475" i="3"/>
  <c r="J475" i="3"/>
  <c r="A475" i="3"/>
  <c r="AU474" i="3"/>
  <c r="J474" i="3"/>
  <c r="A474" i="3"/>
  <c r="AU473" i="3"/>
  <c r="J473" i="3"/>
  <c r="A473" i="3"/>
  <c r="AU472" i="3"/>
  <c r="J472" i="3"/>
  <c r="A472" i="3"/>
  <c r="AU471" i="3"/>
  <c r="J471" i="3"/>
  <c r="A471" i="3"/>
  <c r="AU470" i="3"/>
  <c r="J470" i="3"/>
  <c r="A470" i="3"/>
  <c r="AU469" i="3"/>
  <c r="J469" i="3"/>
  <c r="A469" i="3"/>
  <c r="AU468" i="3"/>
  <c r="J468" i="3"/>
  <c r="A468" i="3"/>
  <c r="AU467" i="3"/>
  <c r="J467" i="3"/>
  <c r="A467" i="3"/>
  <c r="AU466" i="3"/>
  <c r="J466" i="3"/>
  <c r="A466" i="3"/>
  <c r="AU465" i="3"/>
  <c r="J465" i="3"/>
  <c r="A465" i="3"/>
  <c r="AU464" i="3"/>
  <c r="J464" i="3"/>
  <c r="A464" i="3"/>
  <c r="AU463" i="3"/>
  <c r="J463" i="3"/>
  <c r="A463" i="3"/>
  <c r="AU462" i="3"/>
  <c r="J462" i="3"/>
  <c r="A462" i="3"/>
  <c r="AU461" i="3"/>
  <c r="J461" i="3"/>
  <c r="A461" i="3"/>
  <c r="AU460" i="3"/>
  <c r="J460" i="3"/>
  <c r="A460" i="3"/>
  <c r="AU459" i="3"/>
  <c r="J459" i="3"/>
  <c r="A459" i="3"/>
  <c r="AU458" i="3"/>
  <c r="J458" i="3"/>
  <c r="A458" i="3"/>
  <c r="AU457" i="3"/>
  <c r="J457" i="3"/>
  <c r="A457" i="3"/>
  <c r="AU456" i="3"/>
  <c r="J456" i="3"/>
  <c r="A456" i="3"/>
  <c r="AU455" i="3"/>
  <c r="J455" i="3"/>
  <c r="A455" i="3"/>
  <c r="AU454" i="3"/>
  <c r="J454" i="3"/>
  <c r="A454" i="3"/>
  <c r="AU453" i="3"/>
  <c r="J453" i="3"/>
  <c r="A453" i="3"/>
  <c r="AU452" i="3"/>
  <c r="J452" i="3"/>
  <c r="A452" i="3"/>
  <c r="AU451" i="3"/>
  <c r="J451" i="3"/>
  <c r="A451" i="3"/>
  <c r="AU450" i="3"/>
  <c r="J450" i="3"/>
  <c r="A450" i="3"/>
  <c r="AU449" i="3"/>
  <c r="J449" i="3"/>
  <c r="A449" i="3"/>
  <c r="AU448" i="3"/>
  <c r="J448" i="3"/>
  <c r="A448" i="3"/>
  <c r="AU447" i="3"/>
  <c r="J447" i="3"/>
  <c r="A447" i="3"/>
  <c r="AU446" i="3"/>
  <c r="J446" i="3"/>
  <c r="A446" i="3"/>
  <c r="AU445" i="3"/>
  <c r="J445" i="3"/>
  <c r="A445" i="3"/>
  <c r="AU444" i="3"/>
  <c r="J444" i="3"/>
  <c r="A444" i="3"/>
  <c r="AU443" i="3"/>
  <c r="J443" i="3"/>
  <c r="A443" i="3"/>
  <c r="AU442" i="3"/>
  <c r="J442" i="3"/>
  <c r="A442" i="3"/>
  <c r="AU441" i="3"/>
  <c r="J441" i="3"/>
  <c r="A441" i="3"/>
  <c r="AU440" i="3"/>
  <c r="J440" i="3"/>
  <c r="A440" i="3"/>
  <c r="AU439" i="3"/>
  <c r="J439" i="3"/>
  <c r="A439" i="3"/>
  <c r="AU438" i="3"/>
  <c r="J438" i="3"/>
  <c r="A438" i="3"/>
  <c r="AU437" i="3"/>
  <c r="J437" i="3"/>
  <c r="A437" i="3"/>
  <c r="AU436" i="3"/>
  <c r="J436" i="3"/>
  <c r="A436" i="3"/>
  <c r="AU435" i="3"/>
  <c r="J435" i="3"/>
  <c r="A435" i="3"/>
  <c r="AU434" i="3"/>
  <c r="J434" i="3"/>
  <c r="A434" i="3"/>
  <c r="AU433" i="3"/>
  <c r="J433" i="3"/>
  <c r="A433" i="3"/>
  <c r="AU432" i="3"/>
  <c r="J432" i="3"/>
  <c r="A432" i="3"/>
  <c r="AU431" i="3"/>
  <c r="J431" i="3"/>
  <c r="A431" i="3"/>
  <c r="AU430" i="3"/>
  <c r="J430" i="3"/>
  <c r="A430" i="3"/>
  <c r="AU429" i="3"/>
  <c r="J429" i="3"/>
  <c r="A429" i="3"/>
  <c r="AU428" i="3"/>
  <c r="J428" i="3"/>
  <c r="A428" i="3"/>
  <c r="AU427" i="3"/>
  <c r="J427" i="3"/>
  <c r="A427" i="3"/>
  <c r="AU426" i="3"/>
  <c r="J426" i="3"/>
  <c r="A426" i="3"/>
  <c r="AU425" i="3"/>
  <c r="J425" i="3"/>
  <c r="A425" i="3"/>
  <c r="AU424" i="3"/>
  <c r="J424" i="3"/>
  <c r="A424" i="3"/>
  <c r="AU423" i="3"/>
  <c r="J423" i="3"/>
  <c r="A423" i="3"/>
  <c r="AU422" i="3"/>
  <c r="J422" i="3"/>
  <c r="A422" i="3"/>
  <c r="AU421" i="3"/>
  <c r="J421" i="3"/>
  <c r="A421" i="3"/>
  <c r="AU420" i="3"/>
  <c r="J420" i="3"/>
  <c r="A420" i="3"/>
  <c r="AU419" i="3"/>
  <c r="J419" i="3"/>
  <c r="A419" i="3"/>
  <c r="AU418" i="3"/>
  <c r="J418" i="3"/>
  <c r="A418" i="3"/>
  <c r="AU417" i="3"/>
  <c r="J417" i="3"/>
  <c r="A417" i="3"/>
  <c r="AU416" i="3"/>
  <c r="J416" i="3"/>
  <c r="A416" i="3"/>
  <c r="AU415" i="3"/>
  <c r="J415" i="3"/>
  <c r="A415" i="3"/>
  <c r="AU414" i="3"/>
  <c r="J414" i="3"/>
  <c r="A414" i="3"/>
  <c r="AU413" i="3"/>
  <c r="J413" i="3"/>
  <c r="A413" i="3"/>
  <c r="AU412" i="3"/>
  <c r="J412" i="3"/>
  <c r="A412" i="3"/>
  <c r="AU411" i="3"/>
  <c r="J411" i="3"/>
  <c r="A411" i="3"/>
  <c r="AU410" i="3"/>
  <c r="J410" i="3"/>
  <c r="A410" i="3"/>
  <c r="AU409" i="3"/>
  <c r="J409" i="3"/>
  <c r="A409" i="3"/>
  <c r="AU408" i="3"/>
  <c r="J408" i="3"/>
  <c r="A408" i="3"/>
  <c r="AU407" i="3"/>
  <c r="J407" i="3"/>
  <c r="A407" i="3"/>
  <c r="AU406" i="3"/>
  <c r="J406" i="3"/>
  <c r="A406" i="3"/>
  <c r="AU405" i="3"/>
  <c r="J405" i="3"/>
  <c r="A405" i="3"/>
  <c r="AU404" i="3"/>
  <c r="J404" i="3"/>
  <c r="A404" i="3"/>
  <c r="AU403" i="3"/>
  <c r="J403" i="3"/>
  <c r="A403" i="3"/>
  <c r="AU402" i="3"/>
  <c r="J402" i="3"/>
  <c r="A402" i="3"/>
  <c r="AU401" i="3"/>
  <c r="J401" i="3"/>
  <c r="A401" i="3"/>
  <c r="AU400" i="3"/>
  <c r="J400" i="3"/>
  <c r="A400" i="3"/>
  <c r="AU399" i="3"/>
  <c r="J399" i="3"/>
  <c r="A399" i="3"/>
  <c r="AU398" i="3"/>
  <c r="J398" i="3"/>
  <c r="A398" i="3"/>
  <c r="AU397" i="3"/>
  <c r="J397" i="3"/>
  <c r="A397" i="3"/>
  <c r="AU396" i="3"/>
  <c r="J396" i="3"/>
  <c r="A396" i="3"/>
  <c r="AU395" i="3"/>
  <c r="J395" i="3"/>
  <c r="A395" i="3"/>
  <c r="AU394" i="3"/>
  <c r="J394" i="3"/>
  <c r="A394" i="3"/>
  <c r="AU393" i="3"/>
  <c r="J393" i="3"/>
  <c r="A393" i="3"/>
  <c r="AU392" i="3"/>
  <c r="J392" i="3"/>
  <c r="A392" i="3"/>
  <c r="AU391" i="3"/>
  <c r="J391" i="3"/>
  <c r="A391" i="3"/>
  <c r="AU390" i="3"/>
  <c r="J390" i="3"/>
  <c r="A390" i="3"/>
  <c r="AU389" i="3"/>
  <c r="J389" i="3"/>
  <c r="A389" i="3"/>
  <c r="AU388" i="3"/>
  <c r="J388" i="3"/>
  <c r="A388" i="3"/>
  <c r="AU387" i="3"/>
  <c r="J387" i="3"/>
  <c r="A387" i="3"/>
  <c r="AU386" i="3"/>
  <c r="J386" i="3"/>
  <c r="A386" i="3"/>
  <c r="AU385" i="3"/>
  <c r="J385" i="3"/>
  <c r="A385" i="3"/>
  <c r="AU384" i="3"/>
  <c r="J384" i="3"/>
  <c r="A384" i="3"/>
  <c r="AU383" i="3"/>
  <c r="J383" i="3"/>
  <c r="A383" i="3"/>
  <c r="AU382" i="3"/>
  <c r="J382" i="3"/>
  <c r="A382" i="3"/>
  <c r="AU381" i="3"/>
  <c r="J381" i="3"/>
  <c r="A381" i="3"/>
  <c r="AU380" i="3"/>
  <c r="J380" i="3"/>
  <c r="A380" i="3"/>
  <c r="AU379" i="3"/>
  <c r="J379" i="3"/>
  <c r="A379" i="3"/>
  <c r="AU378" i="3"/>
  <c r="J378" i="3"/>
  <c r="A378" i="3"/>
  <c r="AU377" i="3"/>
  <c r="J377" i="3"/>
  <c r="A377" i="3"/>
  <c r="AU376" i="3"/>
  <c r="J376" i="3"/>
  <c r="A376" i="3"/>
  <c r="AU375" i="3"/>
  <c r="J375" i="3"/>
  <c r="A375" i="3"/>
  <c r="AU374" i="3"/>
  <c r="J374" i="3"/>
  <c r="A374" i="3"/>
  <c r="AU373" i="3"/>
  <c r="J373" i="3"/>
  <c r="A373" i="3"/>
  <c r="AU372" i="3"/>
  <c r="J372" i="3"/>
  <c r="A372" i="3"/>
  <c r="AU371" i="3"/>
  <c r="J371" i="3"/>
  <c r="A371" i="3"/>
  <c r="AU370" i="3"/>
  <c r="J370" i="3"/>
  <c r="A370" i="3"/>
  <c r="AU369" i="3"/>
  <c r="J369" i="3"/>
  <c r="A369" i="3"/>
  <c r="AU368" i="3"/>
  <c r="J368" i="3"/>
  <c r="A368" i="3"/>
  <c r="AU367" i="3"/>
  <c r="J367" i="3"/>
  <c r="A367" i="3"/>
  <c r="AU366" i="3"/>
  <c r="J366" i="3"/>
  <c r="A366" i="3"/>
  <c r="AU365" i="3"/>
  <c r="J365" i="3"/>
  <c r="A365" i="3"/>
  <c r="AU364" i="3"/>
  <c r="J364" i="3"/>
  <c r="A364" i="3"/>
  <c r="AU363" i="3"/>
  <c r="J363" i="3"/>
  <c r="A363" i="3"/>
  <c r="AU362" i="3"/>
  <c r="J362" i="3"/>
  <c r="A362" i="3"/>
  <c r="AU361" i="3"/>
  <c r="J361" i="3"/>
  <c r="A361" i="3"/>
  <c r="AU360" i="3"/>
  <c r="J360" i="3"/>
  <c r="A360" i="3"/>
  <c r="AU359" i="3"/>
  <c r="J359" i="3"/>
  <c r="A359" i="3"/>
  <c r="AU358" i="3"/>
  <c r="J358" i="3"/>
  <c r="A358" i="3"/>
  <c r="AU357" i="3"/>
  <c r="J357" i="3"/>
  <c r="A357" i="3"/>
  <c r="AU356" i="3"/>
  <c r="J356" i="3"/>
  <c r="A356" i="3"/>
  <c r="AU355" i="3"/>
  <c r="J355" i="3"/>
  <c r="A355" i="3"/>
  <c r="AU354" i="3"/>
  <c r="J354" i="3"/>
  <c r="A354" i="3"/>
  <c r="AU353" i="3"/>
  <c r="J353" i="3"/>
  <c r="A353" i="3"/>
  <c r="AU352" i="3"/>
  <c r="J352" i="3"/>
  <c r="A352" i="3"/>
  <c r="AU351" i="3"/>
  <c r="J351" i="3"/>
  <c r="A351" i="3"/>
  <c r="AU350" i="3"/>
  <c r="J350" i="3"/>
  <c r="A350" i="3"/>
  <c r="AU349" i="3"/>
  <c r="J349" i="3"/>
  <c r="A349" i="3"/>
  <c r="AU348" i="3"/>
  <c r="J348" i="3"/>
  <c r="A348" i="3"/>
  <c r="AU347" i="3"/>
  <c r="J347" i="3"/>
  <c r="A347" i="3"/>
  <c r="AU346" i="3"/>
  <c r="J346" i="3"/>
  <c r="A346" i="3"/>
  <c r="AU345" i="3"/>
  <c r="J345" i="3"/>
  <c r="A345" i="3"/>
  <c r="AU344" i="3"/>
  <c r="J344" i="3"/>
  <c r="A344" i="3"/>
  <c r="AU343" i="3"/>
  <c r="J343" i="3"/>
  <c r="A343" i="3"/>
  <c r="AU342" i="3"/>
  <c r="J342" i="3"/>
  <c r="A342" i="3"/>
  <c r="AU341" i="3"/>
  <c r="J341" i="3"/>
  <c r="A341" i="3"/>
  <c r="AU340" i="3"/>
  <c r="J340" i="3"/>
  <c r="A340" i="3"/>
  <c r="AU339" i="3"/>
  <c r="J339" i="3"/>
  <c r="A339" i="3"/>
  <c r="AU338" i="3"/>
  <c r="J338" i="3"/>
  <c r="A338" i="3"/>
  <c r="AU337" i="3"/>
  <c r="J337" i="3"/>
  <c r="A337" i="3"/>
  <c r="AU336" i="3"/>
  <c r="J336" i="3"/>
  <c r="A336" i="3"/>
  <c r="AU335" i="3"/>
  <c r="J335" i="3"/>
  <c r="A335" i="3"/>
  <c r="AU334" i="3"/>
  <c r="J334" i="3"/>
  <c r="A334" i="3"/>
  <c r="AU333" i="3"/>
  <c r="J333" i="3"/>
  <c r="A333" i="3"/>
  <c r="AU332" i="3"/>
  <c r="J332" i="3"/>
  <c r="A332" i="3"/>
  <c r="AU331" i="3"/>
  <c r="J331" i="3"/>
  <c r="A331" i="3"/>
  <c r="AU330" i="3"/>
  <c r="J330" i="3"/>
  <c r="A330" i="3"/>
  <c r="AU329" i="3"/>
  <c r="J329" i="3"/>
  <c r="A329" i="3"/>
  <c r="AU328" i="3"/>
  <c r="J328" i="3"/>
  <c r="A328" i="3"/>
  <c r="AU327" i="3"/>
  <c r="J327" i="3"/>
  <c r="A327" i="3"/>
  <c r="AU326" i="3"/>
  <c r="J326" i="3"/>
  <c r="A326" i="3"/>
  <c r="AU325" i="3"/>
  <c r="J325" i="3"/>
  <c r="A325" i="3"/>
  <c r="AU324" i="3"/>
  <c r="J324" i="3"/>
  <c r="A324" i="3"/>
  <c r="AU323" i="3"/>
  <c r="J323" i="3"/>
  <c r="A323" i="3"/>
  <c r="AU322" i="3"/>
  <c r="J322" i="3"/>
  <c r="A322" i="3"/>
  <c r="AU321" i="3"/>
  <c r="J321" i="3"/>
  <c r="A321" i="3"/>
  <c r="AU320" i="3"/>
  <c r="J320" i="3"/>
  <c r="A320" i="3"/>
  <c r="AU319" i="3"/>
  <c r="J319" i="3"/>
  <c r="A319" i="3"/>
  <c r="AU318" i="3"/>
  <c r="J318" i="3"/>
  <c r="A318" i="3"/>
  <c r="AU317" i="3"/>
  <c r="J317" i="3"/>
  <c r="A317" i="3"/>
  <c r="AU316" i="3"/>
  <c r="J316" i="3"/>
  <c r="A316" i="3"/>
  <c r="AU315" i="3"/>
  <c r="J315" i="3"/>
  <c r="A315" i="3"/>
  <c r="AU314" i="3"/>
  <c r="J314" i="3"/>
  <c r="A314" i="3"/>
  <c r="AU313" i="3"/>
  <c r="J313" i="3"/>
  <c r="A313" i="3"/>
  <c r="AU312" i="3"/>
  <c r="J312" i="3"/>
  <c r="A312" i="3"/>
  <c r="AU311" i="3"/>
  <c r="J311" i="3"/>
  <c r="A311" i="3"/>
  <c r="AU310" i="3"/>
  <c r="J310" i="3"/>
  <c r="A310" i="3"/>
  <c r="AU309" i="3"/>
  <c r="J309" i="3"/>
  <c r="A309" i="3"/>
  <c r="AU308" i="3"/>
  <c r="J308" i="3"/>
  <c r="A308" i="3"/>
  <c r="AU307" i="3"/>
  <c r="J307" i="3"/>
  <c r="A307" i="3"/>
  <c r="AU306" i="3"/>
  <c r="J306" i="3"/>
  <c r="A306" i="3"/>
  <c r="AU305" i="3"/>
  <c r="J305" i="3"/>
  <c r="A305" i="3"/>
  <c r="AU304" i="3"/>
  <c r="J304" i="3"/>
  <c r="A304" i="3"/>
  <c r="AU303" i="3"/>
  <c r="J303" i="3"/>
  <c r="A303" i="3"/>
  <c r="AU302" i="3"/>
  <c r="J302" i="3"/>
  <c r="A302" i="3"/>
  <c r="AU301" i="3"/>
  <c r="J301" i="3"/>
  <c r="A301" i="3"/>
  <c r="AU300" i="3"/>
  <c r="J300" i="3"/>
  <c r="A300" i="3"/>
  <c r="AU299" i="3"/>
  <c r="J299" i="3"/>
  <c r="A299" i="3"/>
  <c r="AU298" i="3"/>
  <c r="J298" i="3"/>
  <c r="A298" i="3"/>
  <c r="AU297" i="3"/>
  <c r="J297" i="3"/>
  <c r="A297" i="3"/>
  <c r="AU296" i="3"/>
  <c r="J296" i="3"/>
  <c r="A296" i="3"/>
  <c r="AU295" i="3"/>
  <c r="J295" i="3"/>
  <c r="A295" i="3"/>
  <c r="AU294" i="3"/>
  <c r="J294" i="3"/>
  <c r="A294" i="3"/>
  <c r="AU293" i="3"/>
  <c r="J293" i="3"/>
  <c r="A293" i="3"/>
  <c r="AU292" i="3"/>
  <c r="J292" i="3"/>
  <c r="A292" i="3"/>
  <c r="AU291" i="3"/>
  <c r="J291" i="3"/>
  <c r="A291" i="3"/>
  <c r="AU290" i="3"/>
  <c r="J290" i="3"/>
  <c r="A290" i="3"/>
  <c r="AU289" i="3"/>
  <c r="J289" i="3"/>
  <c r="A289" i="3"/>
  <c r="AU288" i="3"/>
  <c r="J288" i="3"/>
  <c r="A288" i="3"/>
  <c r="AU287" i="3"/>
  <c r="J287" i="3"/>
  <c r="A287" i="3"/>
  <c r="AU286" i="3"/>
  <c r="J286" i="3"/>
  <c r="A286" i="3"/>
  <c r="AU285" i="3"/>
  <c r="J285" i="3"/>
  <c r="A285" i="3"/>
  <c r="AU284" i="3"/>
  <c r="J284" i="3"/>
  <c r="A284" i="3"/>
  <c r="AU283" i="3"/>
  <c r="J283" i="3"/>
  <c r="A283" i="3"/>
  <c r="AU282" i="3"/>
  <c r="J282" i="3"/>
  <c r="A282" i="3"/>
  <c r="AU281" i="3"/>
  <c r="J281" i="3"/>
  <c r="A281" i="3"/>
  <c r="AU280" i="3"/>
  <c r="J280" i="3"/>
  <c r="A280" i="3"/>
  <c r="AU279" i="3"/>
  <c r="J279" i="3"/>
  <c r="A279" i="3"/>
  <c r="AU278" i="3"/>
  <c r="J278" i="3"/>
  <c r="A278" i="3"/>
  <c r="AU277" i="3"/>
  <c r="J277" i="3"/>
  <c r="A277" i="3"/>
  <c r="AU276" i="3"/>
  <c r="J276" i="3"/>
  <c r="A276" i="3"/>
  <c r="AU275" i="3"/>
  <c r="J275" i="3"/>
  <c r="A275" i="3"/>
  <c r="AU274" i="3"/>
  <c r="J274" i="3"/>
  <c r="A274" i="3"/>
  <c r="AU273" i="3"/>
  <c r="J273" i="3"/>
  <c r="A273" i="3"/>
  <c r="AU272" i="3"/>
  <c r="J272" i="3"/>
  <c r="A272" i="3"/>
  <c r="AU271" i="3"/>
  <c r="J271" i="3"/>
  <c r="A271" i="3"/>
  <c r="AU270" i="3"/>
  <c r="J270" i="3"/>
  <c r="A270" i="3"/>
  <c r="AU269" i="3"/>
  <c r="J269" i="3"/>
  <c r="A269" i="3"/>
  <c r="AU268" i="3"/>
  <c r="J268" i="3"/>
  <c r="A268" i="3"/>
  <c r="AU267" i="3"/>
  <c r="J267" i="3"/>
  <c r="A267" i="3"/>
  <c r="AU266" i="3"/>
  <c r="J266" i="3"/>
  <c r="A266" i="3"/>
  <c r="AU265" i="3"/>
  <c r="J265" i="3"/>
  <c r="A265" i="3"/>
  <c r="AU264" i="3"/>
  <c r="J264" i="3"/>
  <c r="A264" i="3"/>
  <c r="AU263" i="3"/>
  <c r="J263" i="3"/>
  <c r="A263" i="3"/>
  <c r="AU262" i="3"/>
  <c r="J262" i="3"/>
  <c r="A262" i="3"/>
  <c r="AU261" i="3"/>
  <c r="J261" i="3"/>
  <c r="A261" i="3"/>
  <c r="AU260" i="3"/>
  <c r="J260" i="3"/>
  <c r="A260" i="3"/>
  <c r="AU259" i="3"/>
  <c r="J259" i="3"/>
  <c r="A259" i="3"/>
  <c r="AU258" i="3"/>
  <c r="J258" i="3"/>
  <c r="A258" i="3"/>
  <c r="AU257" i="3"/>
  <c r="J257" i="3"/>
  <c r="A257" i="3"/>
  <c r="AU256" i="3"/>
  <c r="J256" i="3"/>
  <c r="A256" i="3"/>
  <c r="AU255" i="3"/>
  <c r="J255" i="3"/>
  <c r="A255" i="3"/>
  <c r="AU254" i="3"/>
  <c r="J254" i="3"/>
  <c r="A254" i="3"/>
  <c r="AU253" i="3"/>
  <c r="J253" i="3"/>
  <c r="A253" i="3"/>
  <c r="AU252" i="3"/>
  <c r="J252" i="3"/>
  <c r="A252" i="3"/>
  <c r="AU251" i="3"/>
  <c r="J251" i="3"/>
  <c r="A251" i="3"/>
  <c r="AU250" i="3"/>
  <c r="J250" i="3"/>
  <c r="A250" i="3"/>
  <c r="AU249" i="3"/>
  <c r="J249" i="3"/>
  <c r="A249" i="3"/>
  <c r="AU248" i="3"/>
  <c r="J248" i="3"/>
  <c r="A248" i="3"/>
  <c r="AU247" i="3"/>
  <c r="J247" i="3"/>
  <c r="A247" i="3"/>
  <c r="AU246" i="3"/>
  <c r="J246" i="3"/>
  <c r="A246" i="3"/>
  <c r="AU245" i="3"/>
  <c r="J245" i="3"/>
  <c r="A245" i="3"/>
  <c r="AU244" i="3"/>
  <c r="J244" i="3"/>
  <c r="A244" i="3"/>
  <c r="AU243" i="3"/>
  <c r="J243" i="3"/>
  <c r="A243" i="3"/>
  <c r="AU242" i="3"/>
  <c r="J242" i="3"/>
  <c r="A242" i="3"/>
  <c r="AU241" i="3"/>
  <c r="J241" i="3"/>
  <c r="A241" i="3"/>
  <c r="AU240" i="3"/>
  <c r="J240" i="3"/>
  <c r="A240" i="3"/>
  <c r="AU239" i="3"/>
  <c r="J239" i="3"/>
  <c r="A239" i="3"/>
  <c r="AU238" i="3"/>
  <c r="J238" i="3"/>
  <c r="A238" i="3"/>
  <c r="AU237" i="3"/>
  <c r="J237" i="3"/>
  <c r="A237" i="3"/>
  <c r="AU236" i="3"/>
  <c r="J236" i="3"/>
  <c r="A236" i="3"/>
  <c r="AU235" i="3"/>
  <c r="J235" i="3"/>
  <c r="A235" i="3"/>
  <c r="AU234" i="3"/>
  <c r="J234" i="3"/>
  <c r="A234" i="3"/>
  <c r="AU233" i="3"/>
  <c r="J233" i="3"/>
  <c r="A233" i="3"/>
  <c r="AU232" i="3"/>
  <c r="J232" i="3"/>
  <c r="A232" i="3"/>
  <c r="AU231" i="3"/>
  <c r="J231" i="3"/>
  <c r="A231" i="3"/>
  <c r="AU230" i="3"/>
  <c r="J230" i="3"/>
  <c r="A230" i="3"/>
  <c r="AU229" i="3"/>
  <c r="J229" i="3"/>
  <c r="A229" i="3"/>
  <c r="AU228" i="3"/>
  <c r="J228" i="3"/>
  <c r="A228" i="3"/>
  <c r="AU227" i="3"/>
  <c r="J227" i="3"/>
  <c r="A227" i="3"/>
  <c r="AU226" i="3"/>
  <c r="J226" i="3"/>
  <c r="A226" i="3"/>
  <c r="AU225" i="3"/>
  <c r="J225" i="3"/>
  <c r="A225" i="3"/>
  <c r="AU224" i="3"/>
  <c r="J224" i="3"/>
  <c r="A224" i="3"/>
  <c r="AU223" i="3"/>
  <c r="J223" i="3"/>
  <c r="A223" i="3"/>
  <c r="AU222" i="3"/>
  <c r="J222" i="3"/>
  <c r="A222" i="3"/>
  <c r="AU221" i="3"/>
  <c r="J221" i="3"/>
  <c r="A221" i="3"/>
  <c r="AU220" i="3"/>
  <c r="J220" i="3"/>
  <c r="A220" i="3"/>
  <c r="AU219" i="3"/>
  <c r="J219" i="3"/>
  <c r="A219" i="3"/>
  <c r="AU218" i="3"/>
  <c r="J218" i="3"/>
  <c r="A218" i="3"/>
  <c r="AU217" i="3"/>
  <c r="J217" i="3"/>
  <c r="A217" i="3"/>
  <c r="AU216" i="3"/>
  <c r="J216" i="3"/>
  <c r="A216" i="3"/>
  <c r="AU215" i="3"/>
  <c r="J215" i="3"/>
  <c r="A215" i="3"/>
  <c r="AU214" i="3"/>
  <c r="J214" i="3"/>
  <c r="A214" i="3"/>
  <c r="AU213" i="3"/>
  <c r="J213" i="3"/>
  <c r="A213" i="3"/>
  <c r="AU212" i="3"/>
  <c r="J212" i="3"/>
  <c r="A212" i="3"/>
  <c r="AU211" i="3"/>
  <c r="J211" i="3"/>
  <c r="A211" i="3"/>
  <c r="AU210" i="3"/>
  <c r="J210" i="3"/>
  <c r="A210" i="3"/>
  <c r="AU209" i="3"/>
  <c r="J209" i="3"/>
  <c r="A209" i="3"/>
  <c r="AU208" i="3"/>
  <c r="J208" i="3"/>
  <c r="A208" i="3"/>
  <c r="AU207" i="3"/>
  <c r="J207" i="3"/>
  <c r="A207" i="3"/>
  <c r="AU206" i="3"/>
  <c r="J206" i="3"/>
  <c r="A206" i="3"/>
  <c r="AU205" i="3"/>
  <c r="J205" i="3"/>
  <c r="A205" i="3"/>
  <c r="AU204" i="3"/>
  <c r="J204" i="3"/>
  <c r="A204" i="3"/>
  <c r="AU203" i="3"/>
  <c r="J203" i="3"/>
  <c r="A203" i="3"/>
  <c r="AU202" i="3"/>
  <c r="J202" i="3"/>
  <c r="A202" i="3"/>
  <c r="AU201" i="3"/>
  <c r="J201" i="3"/>
  <c r="A201" i="3"/>
  <c r="AU200" i="3"/>
  <c r="J200" i="3"/>
  <c r="A200" i="3"/>
  <c r="AU199" i="3"/>
  <c r="J199" i="3"/>
  <c r="A199" i="3"/>
  <c r="AU198" i="3"/>
  <c r="J198" i="3"/>
  <c r="A198" i="3"/>
  <c r="AU197" i="3"/>
  <c r="J197" i="3"/>
  <c r="A197" i="3"/>
  <c r="AU196" i="3"/>
  <c r="J196" i="3"/>
  <c r="A196" i="3"/>
  <c r="AU195" i="3"/>
  <c r="J195" i="3"/>
  <c r="A195" i="3"/>
  <c r="AU194" i="3"/>
  <c r="J194" i="3"/>
  <c r="A194" i="3"/>
  <c r="AU193" i="3"/>
  <c r="J193" i="3"/>
  <c r="A193" i="3"/>
  <c r="AU192" i="3"/>
  <c r="J192" i="3"/>
  <c r="A192" i="3"/>
  <c r="AU191" i="3"/>
  <c r="J191" i="3"/>
  <c r="A191" i="3"/>
  <c r="AU190" i="3"/>
  <c r="J190" i="3"/>
  <c r="A190" i="3"/>
  <c r="AU189" i="3"/>
  <c r="J189" i="3"/>
  <c r="A189" i="3"/>
  <c r="AU188" i="3"/>
  <c r="J188" i="3"/>
  <c r="A188" i="3"/>
  <c r="AU187" i="3"/>
  <c r="J187" i="3"/>
  <c r="A187" i="3"/>
  <c r="AU186" i="3"/>
  <c r="J186" i="3"/>
  <c r="A186" i="3"/>
  <c r="AU185" i="3"/>
  <c r="J185" i="3"/>
  <c r="A185" i="3"/>
  <c r="AU184" i="3"/>
  <c r="J184" i="3"/>
  <c r="A184" i="3"/>
  <c r="AU183" i="3"/>
  <c r="J183" i="3"/>
  <c r="A183" i="3"/>
  <c r="AU182" i="3"/>
  <c r="J182" i="3"/>
  <c r="A182" i="3"/>
  <c r="AU181" i="3"/>
  <c r="J181" i="3"/>
  <c r="A181" i="3"/>
  <c r="AU180" i="3"/>
  <c r="J180" i="3"/>
  <c r="A180" i="3"/>
  <c r="AU179" i="3"/>
  <c r="J179" i="3"/>
  <c r="A179" i="3"/>
  <c r="AU178" i="3"/>
  <c r="J178" i="3"/>
  <c r="A178" i="3"/>
  <c r="AU177" i="3"/>
  <c r="J177" i="3"/>
  <c r="A177" i="3"/>
  <c r="AU176" i="3"/>
  <c r="J176" i="3"/>
  <c r="A176" i="3"/>
  <c r="AU175" i="3"/>
  <c r="J175" i="3"/>
  <c r="A175" i="3"/>
  <c r="AU174" i="3"/>
  <c r="J174" i="3"/>
  <c r="A174" i="3"/>
  <c r="AU173" i="3"/>
  <c r="J173" i="3"/>
  <c r="A173" i="3"/>
  <c r="AU172" i="3"/>
  <c r="J172" i="3"/>
  <c r="A172" i="3"/>
  <c r="AU171" i="3"/>
  <c r="J171" i="3"/>
  <c r="A171" i="3"/>
  <c r="AU170" i="3"/>
  <c r="J170" i="3"/>
  <c r="A170" i="3"/>
  <c r="AU169" i="3"/>
  <c r="J169" i="3"/>
  <c r="A169" i="3"/>
  <c r="AU168" i="3"/>
  <c r="J168" i="3"/>
  <c r="A168" i="3"/>
  <c r="AU167" i="3"/>
  <c r="J167" i="3"/>
  <c r="A167" i="3"/>
  <c r="AU166" i="3"/>
  <c r="J166" i="3"/>
  <c r="A166" i="3"/>
  <c r="AU165" i="3"/>
  <c r="J165" i="3"/>
  <c r="A165" i="3"/>
  <c r="AU164" i="3"/>
  <c r="J164" i="3"/>
  <c r="A164" i="3"/>
  <c r="AU163" i="3"/>
  <c r="J163" i="3"/>
  <c r="A163" i="3"/>
  <c r="AU162" i="3"/>
  <c r="J162" i="3"/>
  <c r="A162" i="3"/>
  <c r="AU161" i="3"/>
  <c r="J161" i="3"/>
  <c r="A161" i="3"/>
  <c r="AU160" i="3"/>
  <c r="J160" i="3"/>
  <c r="A160" i="3"/>
  <c r="AU159" i="3"/>
  <c r="J159" i="3"/>
  <c r="A159" i="3"/>
  <c r="AU158" i="3"/>
  <c r="J158" i="3"/>
  <c r="A158" i="3"/>
  <c r="AU157" i="3"/>
  <c r="J157" i="3"/>
  <c r="A157" i="3"/>
  <c r="AU156" i="3"/>
  <c r="J156" i="3"/>
  <c r="A156" i="3"/>
  <c r="AU155" i="3"/>
  <c r="J155" i="3"/>
  <c r="A155" i="3"/>
  <c r="AU154" i="3"/>
  <c r="J154" i="3"/>
  <c r="A154" i="3"/>
  <c r="AU153" i="3"/>
  <c r="J153" i="3"/>
  <c r="A153" i="3"/>
  <c r="AU152" i="3"/>
  <c r="J152" i="3"/>
  <c r="A152" i="3"/>
  <c r="AU151" i="3"/>
  <c r="J151" i="3"/>
  <c r="A151" i="3"/>
  <c r="AU150" i="3"/>
  <c r="J150" i="3"/>
  <c r="A150" i="3"/>
  <c r="AU149" i="3"/>
  <c r="J149" i="3"/>
  <c r="A149" i="3"/>
  <c r="AU148" i="3"/>
  <c r="J148" i="3"/>
  <c r="A148" i="3"/>
  <c r="AU147" i="3"/>
  <c r="J147" i="3"/>
  <c r="A147" i="3"/>
  <c r="AU146" i="3"/>
  <c r="J146" i="3"/>
  <c r="A146" i="3"/>
  <c r="AU145" i="3"/>
  <c r="J145" i="3"/>
  <c r="A145" i="3"/>
  <c r="AU144" i="3"/>
  <c r="J144" i="3"/>
  <c r="A144" i="3"/>
  <c r="AU143" i="3"/>
  <c r="J143" i="3"/>
  <c r="A143" i="3"/>
  <c r="AU142" i="3"/>
  <c r="J142" i="3"/>
  <c r="A142" i="3"/>
  <c r="AU141" i="3"/>
  <c r="J141" i="3"/>
  <c r="A141" i="3"/>
  <c r="AU140" i="3"/>
  <c r="J140" i="3"/>
  <c r="A140" i="3"/>
  <c r="AU139" i="3"/>
  <c r="J139" i="3"/>
  <c r="A139" i="3"/>
  <c r="AU138" i="3"/>
  <c r="J138" i="3"/>
  <c r="A138" i="3"/>
  <c r="AU137" i="3"/>
  <c r="J137" i="3"/>
  <c r="A137" i="3"/>
  <c r="AU136" i="3"/>
  <c r="J136" i="3"/>
  <c r="A136" i="3"/>
  <c r="AU135" i="3"/>
  <c r="J135" i="3"/>
  <c r="A135" i="3"/>
  <c r="AU134" i="3"/>
  <c r="J134" i="3"/>
  <c r="A134" i="3"/>
  <c r="AU133" i="3"/>
  <c r="J133" i="3"/>
  <c r="A133" i="3"/>
  <c r="AU132" i="3"/>
  <c r="J132" i="3"/>
  <c r="A132" i="3"/>
  <c r="AU131" i="3"/>
  <c r="J131" i="3"/>
  <c r="A131" i="3"/>
  <c r="AU130" i="3"/>
  <c r="J130" i="3"/>
  <c r="A130" i="3"/>
  <c r="AU129" i="3"/>
  <c r="J129" i="3"/>
  <c r="A129" i="3"/>
  <c r="AU128" i="3"/>
  <c r="J128" i="3"/>
  <c r="A128" i="3"/>
  <c r="AU127" i="3"/>
  <c r="J127" i="3"/>
  <c r="A127" i="3"/>
  <c r="AU126" i="3"/>
  <c r="J126" i="3"/>
  <c r="A126" i="3"/>
  <c r="AU125" i="3"/>
  <c r="J125" i="3"/>
  <c r="A125" i="3"/>
  <c r="AU124" i="3"/>
  <c r="J124" i="3"/>
  <c r="A124" i="3"/>
  <c r="AU123" i="3"/>
  <c r="J123" i="3"/>
  <c r="A123" i="3"/>
  <c r="AU122" i="3"/>
  <c r="J122" i="3"/>
  <c r="A122" i="3"/>
  <c r="AU121" i="3"/>
  <c r="J121" i="3"/>
  <c r="A121" i="3"/>
  <c r="AU120" i="3"/>
  <c r="J120" i="3"/>
  <c r="A120" i="3"/>
  <c r="AU119" i="3"/>
  <c r="J119" i="3"/>
  <c r="A119" i="3"/>
  <c r="AU118" i="3"/>
  <c r="J118" i="3"/>
  <c r="A118" i="3"/>
  <c r="AU117" i="3"/>
  <c r="J117" i="3"/>
  <c r="A117" i="3"/>
  <c r="AU116" i="3"/>
  <c r="J116" i="3"/>
  <c r="A116" i="3"/>
  <c r="AU115" i="3"/>
  <c r="J115" i="3"/>
  <c r="A115" i="3"/>
  <c r="AU114" i="3"/>
  <c r="J114" i="3"/>
  <c r="A114" i="3"/>
  <c r="AU113" i="3"/>
  <c r="J113" i="3"/>
  <c r="A113" i="3"/>
  <c r="AU112" i="3"/>
  <c r="J112" i="3"/>
  <c r="A112" i="3"/>
  <c r="AU111" i="3"/>
  <c r="J111" i="3"/>
  <c r="A111" i="3"/>
  <c r="AU110" i="3"/>
  <c r="J110" i="3"/>
  <c r="A110" i="3"/>
  <c r="AU109" i="3"/>
  <c r="J109" i="3"/>
  <c r="A109" i="3"/>
  <c r="AU108" i="3"/>
  <c r="J108" i="3"/>
  <c r="A108" i="3"/>
  <c r="AU107" i="3"/>
  <c r="J107" i="3"/>
  <c r="A107" i="3"/>
  <c r="AU106" i="3"/>
  <c r="J106" i="3"/>
  <c r="A106" i="3"/>
  <c r="AU105" i="3"/>
  <c r="J105" i="3"/>
  <c r="A105" i="3"/>
  <c r="AU104" i="3"/>
  <c r="J104" i="3"/>
  <c r="A104" i="3"/>
  <c r="AU103" i="3"/>
  <c r="J103" i="3"/>
  <c r="A103" i="3"/>
  <c r="AU102" i="3"/>
  <c r="J102" i="3"/>
  <c r="A102" i="3"/>
  <c r="AU101" i="3"/>
  <c r="J101" i="3"/>
  <c r="A101" i="3"/>
  <c r="AU100" i="3"/>
  <c r="J100" i="3"/>
  <c r="A100" i="3"/>
  <c r="AU99" i="3"/>
  <c r="J99" i="3"/>
  <c r="A99" i="3"/>
  <c r="AU98" i="3"/>
  <c r="J98" i="3"/>
  <c r="A98" i="3"/>
  <c r="AU97" i="3"/>
  <c r="J97" i="3"/>
  <c r="A97" i="3"/>
  <c r="AU96" i="3"/>
  <c r="J96" i="3"/>
  <c r="A96" i="3"/>
  <c r="AU95" i="3"/>
  <c r="J95" i="3"/>
  <c r="A95" i="3"/>
  <c r="AU94" i="3"/>
  <c r="J94" i="3"/>
  <c r="A94" i="3"/>
  <c r="AU93" i="3"/>
  <c r="J93" i="3"/>
  <c r="A93" i="3"/>
  <c r="AU92" i="3"/>
  <c r="J92" i="3"/>
  <c r="A92" i="3"/>
  <c r="AU91" i="3"/>
  <c r="J91" i="3"/>
  <c r="A91" i="3"/>
  <c r="AU90" i="3"/>
  <c r="J90" i="3"/>
  <c r="A90" i="3"/>
  <c r="AU89" i="3"/>
  <c r="J89" i="3"/>
  <c r="A89" i="3"/>
  <c r="AU88" i="3"/>
  <c r="J88" i="3"/>
  <c r="A88" i="3"/>
  <c r="AU87" i="3"/>
  <c r="J87" i="3"/>
  <c r="A87" i="3"/>
  <c r="AU86" i="3"/>
  <c r="J86" i="3"/>
  <c r="A86" i="3"/>
  <c r="AU85" i="3"/>
  <c r="J85" i="3"/>
  <c r="A85" i="3"/>
  <c r="AU84" i="3"/>
  <c r="J84" i="3"/>
  <c r="A84" i="3"/>
  <c r="AU83" i="3"/>
  <c r="J83" i="3"/>
  <c r="A83" i="3"/>
  <c r="AU82" i="3"/>
  <c r="J82" i="3"/>
  <c r="A82" i="3"/>
  <c r="AU81" i="3"/>
  <c r="J81" i="3"/>
  <c r="A81" i="3"/>
  <c r="AU80" i="3"/>
  <c r="J80" i="3"/>
  <c r="A80" i="3"/>
  <c r="AU79" i="3"/>
  <c r="J79" i="3"/>
  <c r="A79" i="3"/>
  <c r="AU78" i="3"/>
  <c r="J78" i="3"/>
  <c r="A78" i="3"/>
  <c r="AU77" i="3"/>
  <c r="J77" i="3"/>
  <c r="A77" i="3"/>
  <c r="AU76" i="3"/>
  <c r="J76" i="3"/>
  <c r="A76" i="3"/>
  <c r="AU75" i="3"/>
  <c r="J75" i="3"/>
  <c r="A75" i="3"/>
  <c r="AU74" i="3"/>
  <c r="J74" i="3"/>
  <c r="A74" i="3"/>
  <c r="AU73" i="3"/>
  <c r="J73" i="3"/>
  <c r="A73" i="3"/>
  <c r="AU72" i="3"/>
  <c r="J72" i="3"/>
  <c r="A72" i="3"/>
  <c r="AU71" i="3"/>
  <c r="J71" i="3"/>
  <c r="A71" i="3"/>
  <c r="AU70" i="3"/>
  <c r="J70" i="3"/>
  <c r="A70" i="3"/>
  <c r="AU69" i="3"/>
  <c r="J69" i="3"/>
  <c r="A69" i="3"/>
  <c r="AU68" i="3"/>
  <c r="J68" i="3"/>
  <c r="A68" i="3"/>
  <c r="AU67" i="3"/>
  <c r="J67" i="3"/>
  <c r="A67" i="3"/>
  <c r="AU66" i="3"/>
  <c r="J66" i="3"/>
  <c r="A66" i="3"/>
  <c r="AU65" i="3"/>
  <c r="J65" i="3"/>
  <c r="A65" i="3"/>
  <c r="AU64" i="3"/>
  <c r="J64" i="3"/>
  <c r="A64" i="3"/>
  <c r="AU63" i="3"/>
  <c r="J63" i="3"/>
  <c r="A63" i="3"/>
  <c r="AU62" i="3"/>
  <c r="J62" i="3"/>
  <c r="A62" i="3"/>
  <c r="AU61" i="3"/>
  <c r="J61" i="3"/>
  <c r="A61" i="3"/>
  <c r="AU60" i="3"/>
  <c r="J60" i="3"/>
  <c r="A60" i="3"/>
  <c r="AU59" i="3"/>
  <c r="J59" i="3"/>
  <c r="A59" i="3"/>
  <c r="AU58" i="3"/>
  <c r="J58" i="3"/>
  <c r="A58" i="3"/>
  <c r="AU57" i="3"/>
  <c r="J57" i="3"/>
  <c r="A57" i="3"/>
  <c r="AU56" i="3"/>
  <c r="J56" i="3"/>
  <c r="A56" i="3"/>
  <c r="AU55" i="3"/>
  <c r="J55" i="3"/>
  <c r="A55" i="3"/>
  <c r="AU54" i="3"/>
  <c r="J54" i="3"/>
  <c r="A54" i="3"/>
  <c r="AU53" i="3"/>
  <c r="J53" i="3"/>
  <c r="A53" i="3"/>
  <c r="AU52" i="3"/>
  <c r="J52" i="3"/>
  <c r="A52" i="3"/>
  <c r="AU51" i="3"/>
  <c r="J51" i="3"/>
  <c r="A51" i="3"/>
  <c r="AU50" i="3"/>
  <c r="J50" i="3"/>
  <c r="A50" i="3"/>
  <c r="AU49" i="3"/>
  <c r="J49" i="3"/>
  <c r="A49" i="3"/>
  <c r="AU48" i="3"/>
  <c r="J48" i="3"/>
  <c r="A48" i="3"/>
  <c r="AU47" i="3"/>
  <c r="J47" i="3"/>
  <c r="A47" i="3"/>
  <c r="AU46" i="3"/>
  <c r="J46" i="3"/>
  <c r="A46" i="3"/>
  <c r="AU45" i="3"/>
  <c r="J45" i="3"/>
  <c r="A45" i="3"/>
  <c r="AU44" i="3"/>
  <c r="J44" i="3"/>
  <c r="A44" i="3"/>
  <c r="AU43" i="3"/>
  <c r="J43" i="3"/>
  <c r="A43" i="3"/>
  <c r="AU42" i="3"/>
  <c r="J42" i="3"/>
  <c r="A42" i="3"/>
  <c r="AU41" i="3"/>
  <c r="J41" i="3"/>
  <c r="A41" i="3"/>
  <c r="AU40" i="3"/>
  <c r="J40" i="3"/>
  <c r="A40" i="3"/>
  <c r="AU39" i="3"/>
  <c r="J39" i="3"/>
  <c r="A39" i="3"/>
  <c r="AU38" i="3"/>
  <c r="J38" i="3"/>
  <c r="A38" i="3"/>
  <c r="AU37" i="3"/>
  <c r="J37" i="3"/>
  <c r="A37" i="3"/>
  <c r="AU36" i="3"/>
  <c r="J36" i="3"/>
  <c r="A36" i="3"/>
  <c r="AU35" i="3"/>
  <c r="J35" i="3"/>
  <c r="A35" i="3"/>
  <c r="AU34" i="3"/>
  <c r="J34" i="3"/>
  <c r="A34" i="3"/>
  <c r="AU33" i="3"/>
  <c r="J33" i="3"/>
  <c r="A33" i="3"/>
  <c r="AU32" i="3"/>
  <c r="J32" i="3"/>
  <c r="A32" i="3"/>
  <c r="AU31" i="3"/>
  <c r="J31" i="3"/>
  <c r="A31" i="3"/>
  <c r="AU30" i="3"/>
  <c r="J30" i="3"/>
  <c r="A30" i="3"/>
  <c r="AU29" i="3"/>
  <c r="J29" i="3"/>
  <c r="A29" i="3"/>
  <c r="AU28" i="3"/>
  <c r="J28" i="3"/>
  <c r="A28" i="3"/>
  <c r="AU27" i="3"/>
  <c r="J27" i="3"/>
  <c r="A27" i="3"/>
  <c r="AU26" i="3"/>
  <c r="J26" i="3"/>
  <c r="A26" i="3"/>
  <c r="AU25" i="3"/>
  <c r="J25" i="3"/>
  <c r="A25" i="3"/>
  <c r="AU24" i="3"/>
  <c r="J24" i="3"/>
  <c r="A24" i="3"/>
  <c r="AU23" i="3"/>
  <c r="J23" i="3"/>
  <c r="A23" i="3"/>
  <c r="AU22" i="3"/>
  <c r="J22" i="3"/>
  <c r="A22" i="3"/>
  <c r="AU21" i="3"/>
  <c r="J21" i="3"/>
  <c r="A21" i="3"/>
  <c r="AU20" i="3"/>
  <c r="J20" i="3"/>
  <c r="A20" i="3"/>
  <c r="AU19" i="3"/>
  <c r="J19" i="3"/>
  <c r="A19" i="3"/>
  <c r="AU18" i="3"/>
  <c r="J18" i="3"/>
  <c r="A18" i="3"/>
  <c r="AU17" i="3"/>
  <c r="J17" i="3"/>
  <c r="A17" i="3"/>
  <c r="AU16" i="3"/>
  <c r="J16" i="3"/>
  <c r="A16" i="3"/>
  <c r="AU15" i="3"/>
  <c r="J15" i="3"/>
  <c r="A15" i="3"/>
  <c r="AU14" i="3"/>
  <c r="J14" i="3"/>
  <c r="A14" i="3"/>
  <c r="AU13" i="3"/>
  <c r="J13" i="3"/>
  <c r="A13" i="3"/>
  <c r="AU12" i="3"/>
  <c r="J12" i="3"/>
  <c r="A12" i="3"/>
  <c r="AU11" i="3"/>
  <c r="J11" i="3"/>
  <c r="A11" i="3"/>
  <c r="AU10" i="3"/>
  <c r="J10" i="3"/>
  <c r="A10" i="3"/>
  <c r="AU9" i="3"/>
  <c r="J9" i="3"/>
  <c r="A9" i="3"/>
  <c r="AU8" i="3"/>
  <c r="J8" i="3"/>
  <c r="A8" i="3"/>
  <c r="AU7" i="3"/>
  <c r="J7" i="3"/>
  <c r="A7" i="3"/>
  <c r="AU6" i="3"/>
  <c r="J6" i="3"/>
  <c r="A6" i="3"/>
  <c r="AU5" i="3"/>
  <c r="J5" i="3"/>
  <c r="A5" i="3"/>
  <c r="AU4" i="3"/>
  <c r="J4" i="3"/>
  <c r="A4" i="3"/>
  <c r="AU3" i="3"/>
  <c r="J3" i="3"/>
  <c r="A3" i="3"/>
  <c r="AU2" i="3"/>
  <c r="J2" i="3"/>
  <c r="A2" i="3"/>
  <c r="BD1020" i="2"/>
  <c r="K1020" i="2"/>
  <c r="A1020" i="2"/>
  <c r="BD1019" i="2"/>
  <c r="K1019" i="2"/>
  <c r="A1019" i="2"/>
  <c r="BD1018" i="2"/>
  <c r="K1018" i="2"/>
  <c r="A1018" i="2"/>
  <c r="BD1017" i="2"/>
  <c r="K1017" i="2"/>
  <c r="A1017" i="2"/>
  <c r="BD1016" i="2"/>
  <c r="K1016" i="2"/>
  <c r="A1016" i="2"/>
  <c r="BD1015" i="2"/>
  <c r="K1015" i="2"/>
  <c r="A1015" i="2"/>
  <c r="BD1014" i="2"/>
  <c r="K1014" i="2"/>
  <c r="A1014" i="2"/>
  <c r="BD1013" i="2"/>
  <c r="K1013" i="2"/>
  <c r="A1013" i="2"/>
  <c r="BD1012" i="2"/>
  <c r="K1012" i="2"/>
  <c r="A1012" i="2"/>
  <c r="BD1011" i="2"/>
  <c r="K1011" i="2"/>
  <c r="A1011" i="2"/>
  <c r="BD1010" i="2"/>
  <c r="K1010" i="2"/>
  <c r="A1010" i="2"/>
  <c r="BD1009" i="2"/>
  <c r="K1009" i="2"/>
  <c r="A1009" i="2"/>
  <c r="BD1008" i="2"/>
  <c r="K1008" i="2"/>
  <c r="A1008" i="2"/>
  <c r="BD1007" i="2"/>
  <c r="K1007" i="2"/>
  <c r="A1007" i="2"/>
  <c r="BD1006" i="2"/>
  <c r="K1006" i="2"/>
  <c r="A1006" i="2"/>
  <c r="BD1005" i="2"/>
  <c r="K1005" i="2"/>
  <c r="A1005" i="2"/>
  <c r="BD1004" i="2"/>
  <c r="K1004" i="2"/>
  <c r="A1004" i="2"/>
  <c r="BD1003" i="2"/>
  <c r="K1003" i="2"/>
  <c r="A1003" i="2"/>
  <c r="BD1002" i="2"/>
  <c r="K1002" i="2"/>
  <c r="A1002" i="2"/>
  <c r="BD1001" i="2"/>
  <c r="K1001" i="2"/>
  <c r="A1001" i="2"/>
  <c r="BD1000" i="2"/>
  <c r="K1000" i="2"/>
  <c r="A1000" i="2"/>
  <c r="BD999" i="2"/>
  <c r="K999" i="2"/>
  <c r="A999" i="2"/>
  <c r="BD998" i="2"/>
  <c r="K998" i="2"/>
  <c r="A998" i="2"/>
  <c r="BD997" i="2"/>
  <c r="K997" i="2"/>
  <c r="A997" i="2"/>
  <c r="BD996" i="2"/>
  <c r="K996" i="2"/>
  <c r="A996" i="2"/>
  <c r="BD995" i="2"/>
  <c r="K995" i="2"/>
  <c r="A995" i="2"/>
  <c r="BD994" i="2"/>
  <c r="K994" i="2"/>
  <c r="A994" i="2"/>
  <c r="BD993" i="2"/>
  <c r="K993" i="2"/>
  <c r="A993" i="2"/>
  <c r="BD992" i="2"/>
  <c r="K992" i="2"/>
  <c r="A992" i="2"/>
  <c r="BD991" i="2"/>
  <c r="K991" i="2"/>
  <c r="A991" i="2"/>
  <c r="BD990" i="2"/>
  <c r="K990" i="2"/>
  <c r="A990" i="2"/>
  <c r="BD989" i="2"/>
  <c r="K989" i="2"/>
  <c r="A989" i="2"/>
  <c r="BD988" i="2"/>
  <c r="K988" i="2"/>
  <c r="A988" i="2"/>
  <c r="BD987" i="2"/>
  <c r="K987" i="2"/>
  <c r="A987" i="2"/>
  <c r="BD986" i="2"/>
  <c r="K986" i="2"/>
  <c r="A986" i="2"/>
  <c r="BD985" i="2"/>
  <c r="K985" i="2"/>
  <c r="A985" i="2"/>
  <c r="BD984" i="2"/>
  <c r="K984" i="2"/>
  <c r="A984" i="2"/>
  <c r="BD983" i="2"/>
  <c r="K983" i="2"/>
  <c r="A983" i="2"/>
  <c r="BD982" i="2"/>
  <c r="K982" i="2"/>
  <c r="A982" i="2"/>
  <c r="BD981" i="2"/>
  <c r="K981" i="2"/>
  <c r="A981" i="2"/>
  <c r="BD980" i="2"/>
  <c r="K980" i="2"/>
  <c r="A980" i="2"/>
  <c r="BD979" i="2"/>
  <c r="K979" i="2"/>
  <c r="A979" i="2"/>
  <c r="BD978" i="2"/>
  <c r="K978" i="2"/>
  <c r="A978" i="2"/>
  <c r="BD977" i="2"/>
  <c r="K977" i="2"/>
  <c r="A977" i="2"/>
  <c r="BD976" i="2"/>
  <c r="K976" i="2"/>
  <c r="A976" i="2"/>
  <c r="BD975" i="2"/>
  <c r="K975" i="2"/>
  <c r="A975" i="2"/>
  <c r="BD974" i="2"/>
  <c r="K974" i="2"/>
  <c r="A974" i="2"/>
  <c r="BD973" i="2"/>
  <c r="K973" i="2"/>
  <c r="A973" i="2"/>
  <c r="BD972" i="2"/>
  <c r="K972" i="2"/>
  <c r="A972" i="2"/>
  <c r="BD971" i="2"/>
  <c r="K971" i="2"/>
  <c r="A971" i="2"/>
  <c r="BD970" i="2"/>
  <c r="K970" i="2"/>
  <c r="A970" i="2"/>
  <c r="BD969" i="2"/>
  <c r="K969" i="2"/>
  <c r="A969" i="2"/>
  <c r="BD968" i="2"/>
  <c r="K968" i="2"/>
  <c r="A968" i="2"/>
  <c r="BD967" i="2"/>
  <c r="K967" i="2"/>
  <c r="A967" i="2"/>
  <c r="BD966" i="2"/>
  <c r="K966" i="2"/>
  <c r="A966" i="2"/>
  <c r="BD965" i="2"/>
  <c r="K965" i="2"/>
  <c r="A965" i="2"/>
  <c r="BD964" i="2"/>
  <c r="K964" i="2"/>
  <c r="A964" i="2"/>
  <c r="BD963" i="2"/>
  <c r="K963" i="2"/>
  <c r="A963" i="2"/>
  <c r="BD962" i="2"/>
  <c r="K962" i="2"/>
  <c r="A962" i="2"/>
  <c r="BD961" i="2"/>
  <c r="K961" i="2"/>
  <c r="A961" i="2"/>
  <c r="BD960" i="2"/>
  <c r="K960" i="2"/>
  <c r="A960" i="2"/>
  <c r="BD959" i="2"/>
  <c r="K959" i="2"/>
  <c r="A959" i="2"/>
  <c r="BD958" i="2"/>
  <c r="K958" i="2"/>
  <c r="A958" i="2"/>
  <c r="BD957" i="2"/>
  <c r="K957" i="2"/>
  <c r="A957" i="2"/>
  <c r="BD956" i="2"/>
  <c r="K956" i="2"/>
  <c r="A956" i="2"/>
  <c r="BD955" i="2"/>
  <c r="K955" i="2"/>
  <c r="A955" i="2"/>
  <c r="BD954" i="2"/>
  <c r="K954" i="2"/>
  <c r="A954" i="2"/>
  <c r="BD953" i="2"/>
  <c r="K953" i="2"/>
  <c r="A953" i="2"/>
  <c r="BD952" i="2"/>
  <c r="K952" i="2"/>
  <c r="A952" i="2"/>
  <c r="BD951" i="2"/>
  <c r="K951" i="2"/>
  <c r="A951" i="2"/>
  <c r="BD950" i="2"/>
  <c r="K950" i="2"/>
  <c r="A950" i="2"/>
  <c r="BD949" i="2"/>
  <c r="K949" i="2"/>
  <c r="A949" i="2"/>
  <c r="BD948" i="2"/>
  <c r="K948" i="2"/>
  <c r="A948" i="2"/>
  <c r="BD947" i="2"/>
  <c r="K947" i="2"/>
  <c r="A947" i="2"/>
  <c r="BD946" i="2"/>
  <c r="K946" i="2"/>
  <c r="A946" i="2"/>
  <c r="BD945" i="2"/>
  <c r="K945" i="2"/>
  <c r="A945" i="2"/>
  <c r="BD944" i="2"/>
  <c r="K944" i="2"/>
  <c r="A944" i="2"/>
  <c r="BD943" i="2"/>
  <c r="K943" i="2"/>
  <c r="A943" i="2"/>
  <c r="BD942" i="2"/>
  <c r="K942" i="2"/>
  <c r="A942" i="2"/>
  <c r="BD941" i="2"/>
  <c r="K941" i="2"/>
  <c r="A941" i="2"/>
  <c r="BD940" i="2"/>
  <c r="K940" i="2"/>
  <c r="A940" i="2"/>
  <c r="BD939" i="2"/>
  <c r="K939" i="2"/>
  <c r="A939" i="2"/>
  <c r="BD938" i="2"/>
  <c r="K938" i="2"/>
  <c r="A938" i="2"/>
  <c r="BD937" i="2"/>
  <c r="K937" i="2"/>
  <c r="A937" i="2"/>
  <c r="BD936" i="2"/>
  <c r="K936" i="2"/>
  <c r="A936" i="2"/>
  <c r="BD935" i="2"/>
  <c r="K935" i="2"/>
  <c r="A935" i="2"/>
  <c r="BD934" i="2"/>
  <c r="K934" i="2"/>
  <c r="A934" i="2"/>
  <c r="BD933" i="2"/>
  <c r="K933" i="2"/>
  <c r="A933" i="2"/>
  <c r="BD932" i="2"/>
  <c r="K932" i="2"/>
  <c r="A932" i="2"/>
  <c r="BD931" i="2"/>
  <c r="K931" i="2"/>
  <c r="A931" i="2"/>
  <c r="BD930" i="2"/>
  <c r="K930" i="2"/>
  <c r="A930" i="2"/>
  <c r="BD929" i="2"/>
  <c r="K929" i="2"/>
  <c r="A929" i="2"/>
  <c r="BD928" i="2"/>
  <c r="K928" i="2"/>
  <c r="A928" i="2"/>
  <c r="BD927" i="2"/>
  <c r="K927" i="2"/>
  <c r="A927" i="2"/>
  <c r="BD926" i="2"/>
  <c r="K926" i="2"/>
  <c r="A926" i="2"/>
  <c r="BD925" i="2"/>
  <c r="K925" i="2"/>
  <c r="A925" i="2"/>
  <c r="BD924" i="2"/>
  <c r="K924" i="2"/>
  <c r="A924" i="2"/>
  <c r="BD923" i="2"/>
  <c r="K923" i="2"/>
  <c r="A923" i="2"/>
  <c r="BD922" i="2"/>
  <c r="K922" i="2"/>
  <c r="A922" i="2"/>
  <c r="BD921" i="2"/>
  <c r="K921" i="2"/>
  <c r="A921" i="2"/>
  <c r="BD920" i="2"/>
  <c r="K920" i="2"/>
  <c r="A920" i="2"/>
  <c r="BD919" i="2"/>
  <c r="K919" i="2"/>
  <c r="A919" i="2"/>
  <c r="BD918" i="2"/>
  <c r="K918" i="2"/>
  <c r="A918" i="2"/>
  <c r="BD917" i="2"/>
  <c r="K917" i="2"/>
  <c r="A917" i="2"/>
  <c r="BD916" i="2"/>
  <c r="K916" i="2"/>
  <c r="A916" i="2"/>
  <c r="BD915" i="2"/>
  <c r="K915" i="2"/>
  <c r="A915" i="2"/>
  <c r="BD914" i="2"/>
  <c r="K914" i="2"/>
  <c r="A914" i="2"/>
  <c r="BD913" i="2"/>
  <c r="K913" i="2"/>
  <c r="A913" i="2"/>
  <c r="BD912" i="2"/>
  <c r="K912" i="2"/>
  <c r="A912" i="2"/>
  <c r="BD911" i="2"/>
  <c r="K911" i="2"/>
  <c r="A911" i="2"/>
  <c r="BD910" i="2"/>
  <c r="K910" i="2"/>
  <c r="A910" i="2"/>
  <c r="BD909" i="2"/>
  <c r="K909" i="2"/>
  <c r="A909" i="2"/>
  <c r="BD908" i="2"/>
  <c r="K908" i="2"/>
  <c r="A908" i="2"/>
  <c r="BD907" i="2"/>
  <c r="K907" i="2"/>
  <c r="A907" i="2"/>
  <c r="BD906" i="2"/>
  <c r="K906" i="2"/>
  <c r="A906" i="2"/>
  <c r="BD905" i="2"/>
  <c r="K905" i="2"/>
  <c r="A905" i="2"/>
  <c r="BD904" i="2"/>
  <c r="K904" i="2"/>
  <c r="A904" i="2"/>
  <c r="BD903" i="2"/>
  <c r="K903" i="2"/>
  <c r="A903" i="2"/>
  <c r="BD902" i="2"/>
  <c r="K902" i="2"/>
  <c r="A902" i="2"/>
  <c r="BD901" i="2"/>
  <c r="K901" i="2"/>
  <c r="A901" i="2"/>
  <c r="BD900" i="2"/>
  <c r="K900" i="2"/>
  <c r="A900" i="2"/>
  <c r="BD899" i="2"/>
  <c r="K899" i="2"/>
  <c r="A899" i="2"/>
  <c r="BD898" i="2"/>
  <c r="K898" i="2"/>
  <c r="A898" i="2"/>
  <c r="BD897" i="2"/>
  <c r="K897" i="2"/>
  <c r="A897" i="2"/>
  <c r="BD896" i="2"/>
  <c r="K896" i="2"/>
  <c r="A896" i="2"/>
  <c r="BD895" i="2"/>
  <c r="K895" i="2"/>
  <c r="A895" i="2"/>
  <c r="BD894" i="2"/>
  <c r="K894" i="2"/>
  <c r="A894" i="2"/>
  <c r="BD893" i="2"/>
  <c r="K893" i="2"/>
  <c r="A893" i="2"/>
  <c r="BD892" i="2"/>
  <c r="K892" i="2"/>
  <c r="A892" i="2"/>
  <c r="BD891" i="2"/>
  <c r="K891" i="2"/>
  <c r="A891" i="2"/>
  <c r="BD890" i="2"/>
  <c r="K890" i="2"/>
  <c r="A890" i="2"/>
  <c r="BD889" i="2"/>
  <c r="K889" i="2"/>
  <c r="A889" i="2"/>
  <c r="BD888" i="2"/>
  <c r="K888" i="2"/>
  <c r="A888" i="2"/>
  <c r="BD887" i="2"/>
  <c r="K887" i="2"/>
  <c r="A887" i="2"/>
  <c r="BD886" i="2"/>
  <c r="K886" i="2"/>
  <c r="A886" i="2"/>
  <c r="BD885" i="2"/>
  <c r="K885" i="2"/>
  <c r="A885" i="2"/>
  <c r="BD884" i="2"/>
  <c r="K884" i="2"/>
  <c r="A884" i="2"/>
  <c r="BD883" i="2"/>
  <c r="K883" i="2"/>
  <c r="A883" i="2"/>
  <c r="BD882" i="2"/>
  <c r="K882" i="2"/>
  <c r="A882" i="2"/>
  <c r="BD881" i="2"/>
  <c r="K881" i="2"/>
  <c r="A881" i="2"/>
  <c r="BD880" i="2"/>
  <c r="K880" i="2"/>
  <c r="A880" i="2"/>
  <c r="BD879" i="2"/>
  <c r="K879" i="2"/>
  <c r="A879" i="2"/>
  <c r="BD878" i="2"/>
  <c r="K878" i="2"/>
  <c r="A878" i="2"/>
  <c r="BD877" i="2"/>
  <c r="K877" i="2"/>
  <c r="A877" i="2"/>
  <c r="BD876" i="2"/>
  <c r="K876" i="2"/>
  <c r="A876" i="2"/>
  <c r="BD875" i="2"/>
  <c r="K875" i="2"/>
  <c r="A875" i="2"/>
  <c r="BD874" i="2"/>
  <c r="K874" i="2"/>
  <c r="A874" i="2"/>
  <c r="BD873" i="2"/>
  <c r="K873" i="2"/>
  <c r="A873" i="2"/>
  <c r="BD872" i="2"/>
  <c r="K872" i="2"/>
  <c r="A872" i="2"/>
  <c r="BD871" i="2"/>
  <c r="K871" i="2"/>
  <c r="A871" i="2"/>
  <c r="BD870" i="2"/>
  <c r="K870" i="2"/>
  <c r="A870" i="2"/>
  <c r="BD869" i="2"/>
  <c r="K869" i="2"/>
  <c r="A869" i="2"/>
  <c r="BD868" i="2"/>
  <c r="K868" i="2"/>
  <c r="A868" i="2"/>
  <c r="BD867" i="2"/>
  <c r="K867" i="2"/>
  <c r="A867" i="2"/>
  <c r="BD866" i="2"/>
  <c r="K866" i="2"/>
  <c r="A866" i="2"/>
  <c r="BD865" i="2"/>
  <c r="K865" i="2"/>
  <c r="A865" i="2"/>
  <c r="BD864" i="2"/>
  <c r="K864" i="2"/>
  <c r="A864" i="2"/>
  <c r="BD863" i="2"/>
  <c r="K863" i="2"/>
  <c r="A863" i="2"/>
  <c r="BD862" i="2"/>
  <c r="K862" i="2"/>
  <c r="A862" i="2"/>
  <c r="BD861" i="2"/>
  <c r="K861" i="2"/>
  <c r="A861" i="2"/>
  <c r="BD860" i="2"/>
  <c r="K860" i="2"/>
  <c r="A860" i="2"/>
  <c r="BD859" i="2"/>
  <c r="K859" i="2"/>
  <c r="A859" i="2"/>
  <c r="BD858" i="2"/>
  <c r="K858" i="2"/>
  <c r="A858" i="2"/>
  <c r="BD857" i="2"/>
  <c r="K857" i="2"/>
  <c r="A857" i="2"/>
  <c r="BD856" i="2"/>
  <c r="K856" i="2"/>
  <c r="A856" i="2"/>
  <c r="BD855" i="2"/>
  <c r="K855" i="2"/>
  <c r="A855" i="2"/>
  <c r="BD854" i="2"/>
  <c r="K854" i="2"/>
  <c r="A854" i="2"/>
  <c r="BD853" i="2"/>
  <c r="K853" i="2"/>
  <c r="A853" i="2"/>
  <c r="BD852" i="2"/>
  <c r="K852" i="2"/>
  <c r="A852" i="2"/>
  <c r="BD851" i="2"/>
  <c r="K851" i="2"/>
  <c r="A851" i="2"/>
  <c r="BD850" i="2"/>
  <c r="K850" i="2"/>
  <c r="A850" i="2"/>
  <c r="BD849" i="2"/>
  <c r="K849" i="2"/>
  <c r="A849" i="2"/>
  <c r="BD848" i="2"/>
  <c r="K848" i="2"/>
  <c r="A848" i="2"/>
  <c r="BD847" i="2"/>
  <c r="K847" i="2"/>
  <c r="A847" i="2"/>
  <c r="BD846" i="2"/>
  <c r="K846" i="2"/>
  <c r="A846" i="2"/>
  <c r="BD845" i="2"/>
  <c r="K845" i="2"/>
  <c r="A845" i="2"/>
  <c r="BD844" i="2"/>
  <c r="K844" i="2"/>
  <c r="A844" i="2"/>
  <c r="BD843" i="2"/>
  <c r="K843" i="2"/>
  <c r="A843" i="2"/>
  <c r="BD842" i="2"/>
  <c r="K842" i="2"/>
  <c r="A842" i="2"/>
  <c r="BD841" i="2"/>
  <c r="K841" i="2"/>
  <c r="A841" i="2"/>
  <c r="BD840" i="2"/>
  <c r="K840" i="2"/>
  <c r="A840" i="2"/>
  <c r="BD839" i="2"/>
  <c r="K839" i="2"/>
  <c r="A839" i="2"/>
  <c r="BD838" i="2"/>
  <c r="K838" i="2"/>
  <c r="A838" i="2"/>
  <c r="BD837" i="2"/>
  <c r="K837" i="2"/>
  <c r="A837" i="2"/>
  <c r="BD836" i="2"/>
  <c r="K836" i="2"/>
  <c r="A836" i="2"/>
  <c r="BD835" i="2"/>
  <c r="K835" i="2"/>
  <c r="A835" i="2"/>
  <c r="BD834" i="2"/>
  <c r="K834" i="2"/>
  <c r="A834" i="2"/>
  <c r="BD833" i="2"/>
  <c r="K833" i="2"/>
  <c r="A833" i="2"/>
  <c r="BD832" i="2"/>
  <c r="K832" i="2"/>
  <c r="A832" i="2"/>
  <c r="BD831" i="2"/>
  <c r="K831" i="2"/>
  <c r="A831" i="2"/>
  <c r="BD830" i="2"/>
  <c r="K830" i="2"/>
  <c r="A830" i="2"/>
  <c r="BD829" i="2"/>
  <c r="K829" i="2"/>
  <c r="A829" i="2"/>
  <c r="BD828" i="2"/>
  <c r="K828" i="2"/>
  <c r="A828" i="2"/>
  <c r="BD827" i="2"/>
  <c r="K827" i="2"/>
  <c r="A827" i="2"/>
  <c r="BD826" i="2"/>
  <c r="K826" i="2"/>
  <c r="A826" i="2"/>
  <c r="BD825" i="2"/>
  <c r="K825" i="2"/>
  <c r="A825" i="2"/>
  <c r="BD824" i="2"/>
  <c r="K824" i="2"/>
  <c r="A824" i="2"/>
  <c r="BD823" i="2"/>
  <c r="K823" i="2"/>
  <c r="A823" i="2"/>
  <c r="BD822" i="2"/>
  <c r="K822" i="2"/>
  <c r="A822" i="2"/>
  <c r="BD821" i="2"/>
  <c r="K821" i="2"/>
  <c r="A821" i="2"/>
  <c r="BD820" i="2"/>
  <c r="K820" i="2"/>
  <c r="A820" i="2"/>
  <c r="BD819" i="2"/>
  <c r="K819" i="2"/>
  <c r="A819" i="2"/>
  <c r="BD818" i="2"/>
  <c r="K818" i="2"/>
  <c r="A818" i="2"/>
  <c r="BD817" i="2"/>
  <c r="K817" i="2"/>
  <c r="A817" i="2"/>
  <c r="BD816" i="2"/>
  <c r="K816" i="2"/>
  <c r="A816" i="2"/>
  <c r="BD815" i="2"/>
  <c r="K815" i="2"/>
  <c r="A815" i="2"/>
  <c r="BD814" i="2"/>
  <c r="K814" i="2"/>
  <c r="A814" i="2"/>
  <c r="BD813" i="2"/>
  <c r="K813" i="2"/>
  <c r="A813" i="2"/>
  <c r="BD812" i="2"/>
  <c r="K812" i="2"/>
  <c r="A812" i="2"/>
  <c r="BD811" i="2"/>
  <c r="K811" i="2"/>
  <c r="A811" i="2"/>
  <c r="BD810" i="2"/>
  <c r="K810" i="2"/>
  <c r="A810" i="2"/>
  <c r="BD809" i="2"/>
  <c r="K809" i="2"/>
  <c r="A809" i="2"/>
  <c r="BD808" i="2"/>
  <c r="K808" i="2"/>
  <c r="A808" i="2"/>
  <c r="BD807" i="2"/>
  <c r="K807" i="2"/>
  <c r="A807" i="2"/>
  <c r="BD806" i="2"/>
  <c r="K806" i="2"/>
  <c r="A806" i="2"/>
  <c r="BD805" i="2"/>
  <c r="K805" i="2"/>
  <c r="A805" i="2"/>
  <c r="BD804" i="2"/>
  <c r="K804" i="2"/>
  <c r="A804" i="2"/>
  <c r="BD803" i="2"/>
  <c r="K803" i="2"/>
  <c r="A803" i="2"/>
  <c r="BD802" i="2"/>
  <c r="K802" i="2"/>
  <c r="A802" i="2"/>
  <c r="BD801" i="2"/>
  <c r="K801" i="2"/>
  <c r="A801" i="2"/>
  <c r="BD800" i="2"/>
  <c r="K800" i="2"/>
  <c r="A800" i="2"/>
  <c r="BD799" i="2"/>
  <c r="K799" i="2"/>
  <c r="A799" i="2"/>
  <c r="BD798" i="2"/>
  <c r="K798" i="2"/>
  <c r="A798" i="2"/>
  <c r="BD797" i="2"/>
  <c r="K797" i="2"/>
  <c r="A797" i="2"/>
  <c r="BD796" i="2"/>
  <c r="K796" i="2"/>
  <c r="A796" i="2"/>
  <c r="BD795" i="2"/>
  <c r="K795" i="2"/>
  <c r="A795" i="2"/>
  <c r="BD794" i="2"/>
  <c r="K794" i="2"/>
  <c r="A794" i="2"/>
  <c r="BD793" i="2"/>
  <c r="K793" i="2"/>
  <c r="A793" i="2"/>
  <c r="BD792" i="2"/>
  <c r="K792" i="2"/>
  <c r="A792" i="2"/>
  <c r="BD791" i="2"/>
  <c r="K791" i="2"/>
  <c r="A791" i="2"/>
  <c r="BD790" i="2"/>
  <c r="K790" i="2"/>
  <c r="A790" i="2"/>
  <c r="BD789" i="2"/>
  <c r="K789" i="2"/>
  <c r="A789" i="2"/>
  <c r="BD788" i="2"/>
  <c r="K788" i="2"/>
  <c r="A788" i="2"/>
  <c r="BD787" i="2"/>
  <c r="K787" i="2"/>
  <c r="A787" i="2"/>
  <c r="BD786" i="2"/>
  <c r="K786" i="2"/>
  <c r="A786" i="2"/>
  <c r="BD785" i="2"/>
  <c r="K785" i="2"/>
  <c r="A785" i="2"/>
  <c r="BD784" i="2"/>
  <c r="K784" i="2"/>
  <c r="A784" i="2"/>
  <c r="BD783" i="2"/>
  <c r="K783" i="2"/>
  <c r="A783" i="2"/>
  <c r="BD782" i="2"/>
  <c r="K782" i="2"/>
  <c r="A782" i="2"/>
  <c r="BD781" i="2"/>
  <c r="K781" i="2"/>
  <c r="A781" i="2"/>
  <c r="BD780" i="2"/>
  <c r="K780" i="2"/>
  <c r="A780" i="2"/>
  <c r="BD779" i="2"/>
  <c r="K779" i="2"/>
  <c r="A779" i="2"/>
  <c r="BD778" i="2"/>
  <c r="K778" i="2"/>
  <c r="A778" i="2"/>
  <c r="BD777" i="2"/>
  <c r="K777" i="2"/>
  <c r="A777" i="2"/>
  <c r="BD776" i="2"/>
  <c r="K776" i="2"/>
  <c r="A776" i="2"/>
  <c r="BD775" i="2"/>
  <c r="K775" i="2"/>
  <c r="A775" i="2"/>
  <c r="BD774" i="2"/>
  <c r="K774" i="2"/>
  <c r="A774" i="2"/>
  <c r="BD773" i="2"/>
  <c r="K773" i="2"/>
  <c r="A773" i="2"/>
  <c r="BD772" i="2"/>
  <c r="K772" i="2"/>
  <c r="A772" i="2"/>
  <c r="BD771" i="2"/>
  <c r="K771" i="2"/>
  <c r="A771" i="2"/>
  <c r="BD770" i="2"/>
  <c r="K770" i="2"/>
  <c r="A770" i="2"/>
  <c r="BD769" i="2"/>
  <c r="K769" i="2"/>
  <c r="A769" i="2"/>
  <c r="BD768" i="2"/>
  <c r="K768" i="2"/>
  <c r="A768" i="2"/>
  <c r="BD767" i="2"/>
  <c r="K767" i="2"/>
  <c r="A767" i="2"/>
  <c r="BD766" i="2"/>
  <c r="K766" i="2"/>
  <c r="A766" i="2"/>
  <c r="BD765" i="2"/>
  <c r="K765" i="2"/>
  <c r="A765" i="2"/>
  <c r="BD764" i="2"/>
  <c r="K764" i="2"/>
  <c r="A764" i="2"/>
  <c r="BD763" i="2"/>
  <c r="K763" i="2"/>
  <c r="A763" i="2"/>
  <c r="BD762" i="2"/>
  <c r="K762" i="2"/>
  <c r="A762" i="2"/>
  <c r="BD761" i="2"/>
  <c r="K761" i="2"/>
  <c r="A761" i="2"/>
  <c r="BD760" i="2"/>
  <c r="K760" i="2"/>
  <c r="A760" i="2"/>
  <c r="BD759" i="2"/>
  <c r="K759" i="2"/>
  <c r="A759" i="2"/>
  <c r="BD758" i="2"/>
  <c r="K758" i="2"/>
  <c r="A758" i="2"/>
  <c r="BD757" i="2"/>
  <c r="K757" i="2"/>
  <c r="A757" i="2"/>
  <c r="BD756" i="2"/>
  <c r="K756" i="2"/>
  <c r="A756" i="2"/>
  <c r="BD755" i="2"/>
  <c r="K755" i="2"/>
  <c r="A755" i="2"/>
  <c r="BD754" i="2"/>
  <c r="K754" i="2"/>
  <c r="A754" i="2"/>
  <c r="BD753" i="2"/>
  <c r="K753" i="2"/>
  <c r="A753" i="2"/>
  <c r="BD752" i="2"/>
  <c r="K752" i="2"/>
  <c r="A752" i="2"/>
  <c r="BD751" i="2"/>
  <c r="K751" i="2"/>
  <c r="A751" i="2"/>
  <c r="BD750" i="2"/>
  <c r="K750" i="2"/>
  <c r="A750" i="2"/>
  <c r="BD749" i="2"/>
  <c r="K749" i="2"/>
  <c r="A749" i="2"/>
  <c r="BD748" i="2"/>
  <c r="K748" i="2"/>
  <c r="A748" i="2"/>
  <c r="BD747" i="2"/>
  <c r="K747" i="2"/>
  <c r="A747" i="2"/>
  <c r="BD746" i="2"/>
  <c r="K746" i="2"/>
  <c r="A746" i="2"/>
  <c r="BD745" i="2"/>
  <c r="K745" i="2"/>
  <c r="A745" i="2"/>
  <c r="BD744" i="2"/>
  <c r="K744" i="2"/>
  <c r="A744" i="2"/>
  <c r="BD743" i="2"/>
  <c r="K743" i="2"/>
  <c r="A743" i="2"/>
  <c r="BD742" i="2"/>
  <c r="K742" i="2"/>
  <c r="A742" i="2"/>
  <c r="BD741" i="2"/>
  <c r="K741" i="2"/>
  <c r="A741" i="2"/>
  <c r="BD740" i="2"/>
  <c r="K740" i="2"/>
  <c r="A740" i="2"/>
  <c r="BD739" i="2"/>
  <c r="K739" i="2"/>
  <c r="A739" i="2"/>
  <c r="BD738" i="2"/>
  <c r="K738" i="2"/>
  <c r="A738" i="2"/>
  <c r="BD737" i="2"/>
  <c r="K737" i="2"/>
  <c r="A737" i="2"/>
  <c r="BD736" i="2"/>
  <c r="K736" i="2"/>
  <c r="A736" i="2"/>
  <c r="BD735" i="2"/>
  <c r="K735" i="2"/>
  <c r="A735" i="2"/>
  <c r="BD734" i="2"/>
  <c r="K734" i="2"/>
  <c r="A734" i="2"/>
  <c r="BD733" i="2"/>
  <c r="K733" i="2"/>
  <c r="A733" i="2"/>
  <c r="BD732" i="2"/>
  <c r="K732" i="2"/>
  <c r="A732" i="2"/>
  <c r="BD731" i="2"/>
  <c r="K731" i="2"/>
  <c r="A731" i="2"/>
  <c r="BD730" i="2"/>
  <c r="K730" i="2"/>
  <c r="A730" i="2"/>
  <c r="BD729" i="2"/>
  <c r="K729" i="2"/>
  <c r="A729" i="2"/>
  <c r="BD728" i="2"/>
  <c r="K728" i="2"/>
  <c r="A728" i="2"/>
  <c r="BD727" i="2"/>
  <c r="K727" i="2"/>
  <c r="A727" i="2"/>
  <c r="BD726" i="2"/>
  <c r="K726" i="2"/>
  <c r="A726" i="2"/>
  <c r="BD725" i="2"/>
  <c r="K725" i="2"/>
  <c r="A725" i="2"/>
  <c r="BD724" i="2"/>
  <c r="K724" i="2"/>
  <c r="A724" i="2"/>
  <c r="BD723" i="2"/>
  <c r="K723" i="2"/>
  <c r="A723" i="2"/>
  <c r="BD722" i="2"/>
  <c r="K722" i="2"/>
  <c r="A722" i="2"/>
  <c r="BD721" i="2"/>
  <c r="K721" i="2"/>
  <c r="A721" i="2"/>
  <c r="BD720" i="2"/>
  <c r="K720" i="2"/>
  <c r="A720" i="2"/>
  <c r="BD719" i="2"/>
  <c r="K719" i="2"/>
  <c r="A719" i="2"/>
  <c r="BD718" i="2"/>
  <c r="K718" i="2"/>
  <c r="A718" i="2"/>
  <c r="BD717" i="2"/>
  <c r="K717" i="2"/>
  <c r="A717" i="2"/>
  <c r="BD716" i="2"/>
  <c r="K716" i="2"/>
  <c r="A716" i="2"/>
  <c r="BD715" i="2"/>
  <c r="K715" i="2"/>
  <c r="A715" i="2"/>
  <c r="BD714" i="2"/>
  <c r="K714" i="2"/>
  <c r="A714" i="2"/>
  <c r="BD713" i="2"/>
  <c r="K713" i="2"/>
  <c r="A713" i="2"/>
  <c r="BD712" i="2"/>
  <c r="K712" i="2"/>
  <c r="A712" i="2"/>
  <c r="BD711" i="2"/>
  <c r="K711" i="2"/>
  <c r="A711" i="2"/>
  <c r="BD710" i="2"/>
  <c r="K710" i="2"/>
  <c r="A710" i="2"/>
  <c r="BD709" i="2"/>
  <c r="K709" i="2"/>
  <c r="A709" i="2"/>
  <c r="BD708" i="2"/>
  <c r="K708" i="2"/>
  <c r="A708" i="2"/>
  <c r="BD707" i="2"/>
  <c r="K707" i="2"/>
  <c r="A707" i="2"/>
  <c r="BD706" i="2"/>
  <c r="K706" i="2"/>
  <c r="A706" i="2"/>
  <c r="BD705" i="2"/>
  <c r="K705" i="2"/>
  <c r="A705" i="2"/>
  <c r="BD704" i="2"/>
  <c r="K704" i="2"/>
  <c r="A704" i="2"/>
  <c r="BD703" i="2"/>
  <c r="K703" i="2"/>
  <c r="A703" i="2"/>
  <c r="BD702" i="2"/>
  <c r="K702" i="2"/>
  <c r="A702" i="2"/>
  <c r="BD701" i="2"/>
  <c r="K701" i="2"/>
  <c r="A701" i="2"/>
  <c r="BD700" i="2"/>
  <c r="K700" i="2"/>
  <c r="A700" i="2"/>
  <c r="BD699" i="2"/>
  <c r="K699" i="2"/>
  <c r="A699" i="2"/>
  <c r="BD698" i="2"/>
  <c r="K698" i="2"/>
  <c r="A698" i="2"/>
  <c r="BD697" i="2"/>
  <c r="K697" i="2"/>
  <c r="A697" i="2"/>
  <c r="BD696" i="2"/>
  <c r="K696" i="2"/>
  <c r="A696" i="2"/>
  <c r="BD695" i="2"/>
  <c r="K695" i="2"/>
  <c r="A695" i="2"/>
  <c r="BD694" i="2"/>
  <c r="K694" i="2"/>
  <c r="A694" i="2"/>
  <c r="BD693" i="2"/>
  <c r="K693" i="2"/>
  <c r="A693" i="2"/>
  <c r="BD692" i="2"/>
  <c r="K692" i="2"/>
  <c r="A692" i="2"/>
  <c r="BD691" i="2"/>
  <c r="K691" i="2"/>
  <c r="A691" i="2"/>
  <c r="BD690" i="2"/>
  <c r="K690" i="2"/>
  <c r="A690" i="2"/>
  <c r="BD689" i="2"/>
  <c r="K689" i="2"/>
  <c r="A689" i="2"/>
  <c r="BD688" i="2"/>
  <c r="K688" i="2"/>
  <c r="A688" i="2"/>
  <c r="BD687" i="2"/>
  <c r="K687" i="2"/>
  <c r="A687" i="2"/>
  <c r="BD686" i="2"/>
  <c r="K686" i="2"/>
  <c r="A686" i="2"/>
  <c r="BD685" i="2"/>
  <c r="K685" i="2"/>
  <c r="A685" i="2"/>
  <c r="BD684" i="2"/>
  <c r="K684" i="2"/>
  <c r="A684" i="2"/>
  <c r="BD683" i="2"/>
  <c r="K683" i="2"/>
  <c r="A683" i="2"/>
  <c r="BD682" i="2"/>
  <c r="K682" i="2"/>
  <c r="A682" i="2"/>
  <c r="BD681" i="2"/>
  <c r="K681" i="2"/>
  <c r="A681" i="2"/>
  <c r="BD680" i="2"/>
  <c r="K680" i="2"/>
  <c r="A680" i="2"/>
  <c r="BD679" i="2"/>
  <c r="K679" i="2"/>
  <c r="A679" i="2"/>
  <c r="BD678" i="2"/>
  <c r="K678" i="2"/>
  <c r="A678" i="2"/>
  <c r="BD677" i="2"/>
  <c r="K677" i="2"/>
  <c r="A677" i="2"/>
  <c r="BD676" i="2"/>
  <c r="K676" i="2"/>
  <c r="A676" i="2"/>
  <c r="BD675" i="2"/>
  <c r="K675" i="2"/>
  <c r="A675" i="2"/>
  <c r="BD674" i="2"/>
  <c r="K674" i="2"/>
  <c r="A674" i="2"/>
  <c r="BD673" i="2"/>
  <c r="K673" i="2"/>
  <c r="A673" i="2"/>
  <c r="BD672" i="2"/>
  <c r="K672" i="2"/>
  <c r="A672" i="2"/>
  <c r="BD671" i="2"/>
  <c r="K671" i="2"/>
  <c r="A671" i="2"/>
  <c r="BD670" i="2"/>
  <c r="K670" i="2"/>
  <c r="A670" i="2"/>
  <c r="BD669" i="2"/>
  <c r="K669" i="2"/>
  <c r="A669" i="2"/>
  <c r="BD668" i="2"/>
  <c r="K668" i="2"/>
  <c r="A668" i="2"/>
  <c r="BD667" i="2"/>
  <c r="K667" i="2"/>
  <c r="A667" i="2"/>
  <c r="BD666" i="2"/>
  <c r="K666" i="2"/>
  <c r="A666" i="2"/>
  <c r="BD665" i="2"/>
  <c r="K665" i="2"/>
  <c r="A665" i="2"/>
  <c r="BD664" i="2"/>
  <c r="K664" i="2"/>
  <c r="A664" i="2"/>
  <c r="BD663" i="2"/>
  <c r="K663" i="2"/>
  <c r="A663" i="2"/>
  <c r="BD662" i="2"/>
  <c r="K662" i="2"/>
  <c r="A662" i="2"/>
  <c r="BD661" i="2"/>
  <c r="K661" i="2"/>
  <c r="A661" i="2"/>
  <c r="BD660" i="2"/>
  <c r="K660" i="2"/>
  <c r="A660" i="2"/>
  <c r="BD659" i="2"/>
  <c r="K659" i="2"/>
  <c r="A659" i="2"/>
  <c r="BD658" i="2"/>
  <c r="K658" i="2"/>
  <c r="A658" i="2"/>
  <c r="BD657" i="2"/>
  <c r="K657" i="2"/>
  <c r="A657" i="2"/>
  <c r="BD656" i="2"/>
  <c r="K656" i="2"/>
  <c r="A656" i="2"/>
  <c r="BD655" i="2"/>
  <c r="K655" i="2"/>
  <c r="A655" i="2"/>
  <c r="BD654" i="2"/>
  <c r="K654" i="2"/>
  <c r="A654" i="2"/>
  <c r="BD653" i="2"/>
  <c r="K653" i="2"/>
  <c r="A653" i="2"/>
  <c r="BD652" i="2"/>
  <c r="K652" i="2"/>
  <c r="A652" i="2"/>
  <c r="BD651" i="2"/>
  <c r="K651" i="2"/>
  <c r="A651" i="2"/>
  <c r="BD650" i="2"/>
  <c r="K650" i="2"/>
  <c r="A650" i="2"/>
  <c r="BD649" i="2"/>
  <c r="K649" i="2"/>
  <c r="A649" i="2"/>
  <c r="BD648" i="2"/>
  <c r="K648" i="2"/>
  <c r="A648" i="2"/>
  <c r="BD647" i="2"/>
  <c r="K647" i="2"/>
  <c r="A647" i="2"/>
  <c r="BD646" i="2"/>
  <c r="K646" i="2"/>
  <c r="A646" i="2"/>
  <c r="BD645" i="2"/>
  <c r="K645" i="2"/>
  <c r="A645" i="2"/>
  <c r="BD644" i="2"/>
  <c r="K644" i="2"/>
  <c r="A644" i="2"/>
  <c r="BD643" i="2"/>
  <c r="K643" i="2"/>
  <c r="A643" i="2"/>
  <c r="BD642" i="2"/>
  <c r="K642" i="2"/>
  <c r="A642" i="2"/>
  <c r="BD641" i="2"/>
  <c r="K641" i="2"/>
  <c r="A641" i="2"/>
  <c r="BD640" i="2"/>
  <c r="K640" i="2"/>
  <c r="A640" i="2"/>
  <c r="BD639" i="2"/>
  <c r="K639" i="2"/>
  <c r="A639" i="2"/>
  <c r="BD638" i="2"/>
  <c r="K638" i="2"/>
  <c r="A638" i="2"/>
  <c r="BD637" i="2"/>
  <c r="K637" i="2"/>
  <c r="A637" i="2"/>
  <c r="BD636" i="2"/>
  <c r="K636" i="2"/>
  <c r="A636" i="2"/>
  <c r="BD635" i="2"/>
  <c r="K635" i="2"/>
  <c r="A635" i="2"/>
  <c r="BD634" i="2"/>
  <c r="K634" i="2"/>
  <c r="A634" i="2"/>
  <c r="BD633" i="2"/>
  <c r="K633" i="2"/>
  <c r="A633" i="2"/>
  <c r="BD632" i="2"/>
  <c r="K632" i="2"/>
  <c r="A632" i="2"/>
  <c r="BD631" i="2"/>
  <c r="K631" i="2"/>
  <c r="A631" i="2"/>
  <c r="BD630" i="2"/>
  <c r="K630" i="2"/>
  <c r="A630" i="2"/>
  <c r="BD629" i="2"/>
  <c r="K629" i="2"/>
  <c r="A629" i="2"/>
  <c r="BD628" i="2"/>
  <c r="K628" i="2"/>
  <c r="A628" i="2"/>
  <c r="BD627" i="2"/>
  <c r="K627" i="2"/>
  <c r="A627" i="2"/>
  <c r="BD626" i="2"/>
  <c r="K626" i="2"/>
  <c r="A626" i="2"/>
  <c r="BD625" i="2"/>
  <c r="K625" i="2"/>
  <c r="A625" i="2"/>
  <c r="BD624" i="2"/>
  <c r="K624" i="2"/>
  <c r="A624" i="2"/>
  <c r="BD623" i="2"/>
  <c r="K623" i="2"/>
  <c r="A623" i="2"/>
  <c r="BD622" i="2"/>
  <c r="K622" i="2"/>
  <c r="A622" i="2"/>
  <c r="BD621" i="2"/>
  <c r="K621" i="2"/>
  <c r="A621" i="2"/>
  <c r="BD620" i="2"/>
  <c r="K620" i="2"/>
  <c r="A620" i="2"/>
  <c r="BD619" i="2"/>
  <c r="K619" i="2"/>
  <c r="A619" i="2"/>
  <c r="BD618" i="2"/>
  <c r="K618" i="2"/>
  <c r="A618" i="2"/>
  <c r="BD617" i="2"/>
  <c r="K617" i="2"/>
  <c r="A617" i="2"/>
  <c r="BD616" i="2"/>
  <c r="K616" i="2"/>
  <c r="A616" i="2"/>
  <c r="BD615" i="2"/>
  <c r="K615" i="2"/>
  <c r="A615" i="2"/>
  <c r="BD614" i="2"/>
  <c r="K614" i="2"/>
  <c r="A614" i="2"/>
  <c r="BD613" i="2"/>
  <c r="K613" i="2"/>
  <c r="A613" i="2"/>
  <c r="BD612" i="2"/>
  <c r="K612" i="2"/>
  <c r="A612" i="2"/>
  <c r="BD611" i="2"/>
  <c r="K611" i="2"/>
  <c r="A611" i="2"/>
  <c r="BD610" i="2"/>
  <c r="K610" i="2"/>
  <c r="A610" i="2"/>
  <c r="BD609" i="2"/>
  <c r="K609" i="2"/>
  <c r="A609" i="2"/>
  <c r="BD608" i="2"/>
  <c r="K608" i="2"/>
  <c r="A608" i="2"/>
  <c r="BD607" i="2"/>
  <c r="K607" i="2"/>
  <c r="A607" i="2"/>
  <c r="BD606" i="2"/>
  <c r="K606" i="2"/>
  <c r="A606" i="2"/>
  <c r="BD605" i="2"/>
  <c r="K605" i="2"/>
  <c r="A605" i="2"/>
  <c r="BD604" i="2"/>
  <c r="K604" i="2"/>
  <c r="A604" i="2"/>
  <c r="BD603" i="2"/>
  <c r="K603" i="2"/>
  <c r="A603" i="2"/>
  <c r="BD602" i="2"/>
  <c r="K602" i="2"/>
  <c r="A602" i="2"/>
  <c r="BD601" i="2"/>
  <c r="K601" i="2"/>
  <c r="A601" i="2"/>
  <c r="BD600" i="2"/>
  <c r="K600" i="2"/>
  <c r="A600" i="2"/>
  <c r="BD599" i="2"/>
  <c r="K599" i="2"/>
  <c r="A599" i="2"/>
  <c r="BD598" i="2"/>
  <c r="K598" i="2"/>
  <c r="A598" i="2"/>
  <c r="BD597" i="2"/>
  <c r="K597" i="2"/>
  <c r="A597" i="2"/>
  <c r="BD596" i="2"/>
  <c r="K596" i="2"/>
  <c r="A596" i="2"/>
  <c r="BD595" i="2"/>
  <c r="K595" i="2"/>
  <c r="A595" i="2"/>
  <c r="BD594" i="2"/>
  <c r="K594" i="2"/>
  <c r="A594" i="2"/>
  <c r="BD593" i="2"/>
  <c r="K593" i="2"/>
  <c r="A593" i="2"/>
  <c r="BD592" i="2"/>
  <c r="K592" i="2"/>
  <c r="A592" i="2"/>
  <c r="BD591" i="2"/>
  <c r="K591" i="2"/>
  <c r="A591" i="2"/>
  <c r="BD590" i="2"/>
  <c r="K590" i="2"/>
  <c r="A590" i="2"/>
  <c r="BD589" i="2"/>
  <c r="K589" i="2"/>
  <c r="A589" i="2"/>
  <c r="BD588" i="2"/>
  <c r="K588" i="2"/>
  <c r="A588" i="2"/>
  <c r="BD587" i="2"/>
  <c r="K587" i="2"/>
  <c r="A587" i="2"/>
  <c r="BD586" i="2"/>
  <c r="K586" i="2"/>
  <c r="A586" i="2"/>
  <c r="BD585" i="2"/>
  <c r="K585" i="2"/>
  <c r="A585" i="2"/>
  <c r="BD584" i="2"/>
  <c r="K584" i="2"/>
  <c r="A584" i="2"/>
  <c r="BD583" i="2"/>
  <c r="K583" i="2"/>
  <c r="A583" i="2"/>
  <c r="BD582" i="2"/>
  <c r="K582" i="2"/>
  <c r="A582" i="2"/>
  <c r="BD581" i="2"/>
  <c r="K581" i="2"/>
  <c r="A581" i="2"/>
  <c r="BD580" i="2"/>
  <c r="K580" i="2"/>
  <c r="A580" i="2"/>
  <c r="BD579" i="2"/>
  <c r="K579" i="2"/>
  <c r="A579" i="2"/>
  <c r="BD578" i="2"/>
  <c r="K578" i="2"/>
  <c r="A578" i="2"/>
  <c r="BD577" i="2"/>
  <c r="K577" i="2"/>
  <c r="A577" i="2"/>
  <c r="BD576" i="2"/>
  <c r="K576" i="2"/>
  <c r="A576" i="2"/>
  <c r="BD575" i="2"/>
  <c r="K575" i="2"/>
  <c r="A575" i="2"/>
  <c r="BD574" i="2"/>
  <c r="K574" i="2"/>
  <c r="A574" i="2"/>
  <c r="BD573" i="2"/>
  <c r="K573" i="2"/>
  <c r="A573" i="2"/>
  <c r="BD572" i="2"/>
  <c r="K572" i="2"/>
  <c r="A572" i="2"/>
  <c r="BD571" i="2"/>
  <c r="K571" i="2"/>
  <c r="A571" i="2"/>
  <c r="BD570" i="2"/>
  <c r="K570" i="2"/>
  <c r="A570" i="2"/>
  <c r="BD569" i="2"/>
  <c r="K569" i="2"/>
  <c r="A569" i="2"/>
  <c r="BD568" i="2"/>
  <c r="K568" i="2"/>
  <c r="A568" i="2"/>
  <c r="BD567" i="2"/>
  <c r="K567" i="2"/>
  <c r="A567" i="2"/>
  <c r="BD566" i="2"/>
  <c r="K566" i="2"/>
  <c r="A566" i="2"/>
  <c r="BD565" i="2"/>
  <c r="K565" i="2"/>
  <c r="A565" i="2"/>
  <c r="BD564" i="2"/>
  <c r="K564" i="2"/>
  <c r="A564" i="2"/>
  <c r="BD563" i="2"/>
  <c r="K563" i="2"/>
  <c r="A563" i="2"/>
  <c r="BD562" i="2"/>
  <c r="K562" i="2"/>
  <c r="A562" i="2"/>
  <c r="BD561" i="2"/>
  <c r="K561" i="2"/>
  <c r="A561" i="2"/>
  <c r="BD560" i="2"/>
  <c r="K560" i="2"/>
  <c r="A560" i="2"/>
  <c r="BD559" i="2"/>
  <c r="K559" i="2"/>
  <c r="A559" i="2"/>
  <c r="BD558" i="2"/>
  <c r="K558" i="2"/>
  <c r="A558" i="2"/>
  <c r="BD557" i="2"/>
  <c r="K557" i="2"/>
  <c r="A557" i="2"/>
  <c r="BD556" i="2"/>
  <c r="K556" i="2"/>
  <c r="A556" i="2"/>
  <c r="BD555" i="2"/>
  <c r="K555" i="2"/>
  <c r="A555" i="2"/>
  <c r="BD554" i="2"/>
  <c r="K554" i="2"/>
  <c r="A554" i="2"/>
  <c r="BD553" i="2"/>
  <c r="K553" i="2"/>
  <c r="A553" i="2"/>
  <c r="BD552" i="2"/>
  <c r="K552" i="2"/>
  <c r="A552" i="2"/>
  <c r="BD551" i="2"/>
  <c r="K551" i="2"/>
  <c r="A551" i="2"/>
  <c r="BD550" i="2"/>
  <c r="K550" i="2"/>
  <c r="A550" i="2"/>
  <c r="BD549" i="2"/>
  <c r="K549" i="2"/>
  <c r="A549" i="2"/>
  <c r="BD548" i="2"/>
  <c r="K548" i="2"/>
  <c r="A548" i="2"/>
  <c r="BD547" i="2"/>
  <c r="K547" i="2"/>
  <c r="A547" i="2"/>
  <c r="BD546" i="2"/>
  <c r="K546" i="2"/>
  <c r="A546" i="2"/>
  <c r="BD545" i="2"/>
  <c r="K545" i="2"/>
  <c r="A545" i="2"/>
  <c r="BD544" i="2"/>
  <c r="K544" i="2"/>
  <c r="A544" i="2"/>
  <c r="BD543" i="2"/>
  <c r="K543" i="2"/>
  <c r="A543" i="2"/>
  <c r="BD542" i="2"/>
  <c r="K542" i="2"/>
  <c r="A542" i="2"/>
  <c r="BD541" i="2"/>
  <c r="K541" i="2"/>
  <c r="A541" i="2"/>
  <c r="BD540" i="2"/>
  <c r="K540" i="2"/>
  <c r="A540" i="2"/>
  <c r="BD539" i="2"/>
  <c r="K539" i="2"/>
  <c r="A539" i="2"/>
  <c r="BD538" i="2"/>
  <c r="K538" i="2"/>
  <c r="A538" i="2"/>
  <c r="BD537" i="2"/>
  <c r="K537" i="2"/>
  <c r="A537" i="2"/>
  <c r="BD536" i="2"/>
  <c r="K536" i="2"/>
  <c r="A536" i="2"/>
  <c r="BD535" i="2"/>
  <c r="K535" i="2"/>
  <c r="A535" i="2"/>
  <c r="BD534" i="2"/>
  <c r="K534" i="2"/>
  <c r="A534" i="2"/>
  <c r="BD533" i="2"/>
  <c r="K533" i="2"/>
  <c r="A533" i="2"/>
  <c r="BD532" i="2"/>
  <c r="K532" i="2"/>
  <c r="A532" i="2"/>
  <c r="BD531" i="2"/>
  <c r="K531" i="2"/>
  <c r="A531" i="2"/>
  <c r="BD530" i="2"/>
  <c r="K530" i="2"/>
  <c r="A530" i="2"/>
  <c r="BD529" i="2"/>
  <c r="K529" i="2"/>
  <c r="A529" i="2"/>
  <c r="BD528" i="2"/>
  <c r="K528" i="2"/>
  <c r="A528" i="2"/>
  <c r="BD527" i="2"/>
  <c r="K527" i="2"/>
  <c r="A527" i="2"/>
  <c r="BD526" i="2"/>
  <c r="K526" i="2"/>
  <c r="A526" i="2"/>
  <c r="BD525" i="2"/>
  <c r="K525" i="2"/>
  <c r="A525" i="2"/>
  <c r="BD524" i="2"/>
  <c r="K524" i="2"/>
  <c r="A524" i="2"/>
  <c r="BD523" i="2"/>
  <c r="K523" i="2"/>
  <c r="A523" i="2"/>
  <c r="BD522" i="2"/>
  <c r="K522" i="2"/>
  <c r="A522" i="2"/>
  <c r="BD521" i="2"/>
  <c r="K521" i="2"/>
  <c r="A521" i="2"/>
  <c r="BD520" i="2"/>
  <c r="K520" i="2"/>
  <c r="A520" i="2"/>
  <c r="BD519" i="2"/>
  <c r="K519" i="2"/>
  <c r="A519" i="2"/>
  <c r="BD518" i="2"/>
  <c r="K518" i="2"/>
  <c r="A518" i="2"/>
  <c r="BD517" i="2"/>
  <c r="K517" i="2"/>
  <c r="A517" i="2"/>
  <c r="BD516" i="2"/>
  <c r="K516" i="2"/>
  <c r="A516" i="2"/>
  <c r="BD515" i="2"/>
  <c r="K515" i="2"/>
  <c r="A515" i="2"/>
  <c r="BD514" i="2"/>
  <c r="K514" i="2"/>
  <c r="A514" i="2"/>
  <c r="BD513" i="2"/>
  <c r="K513" i="2"/>
  <c r="A513" i="2"/>
  <c r="BD512" i="2"/>
  <c r="K512" i="2"/>
  <c r="A512" i="2"/>
  <c r="BD511" i="2"/>
  <c r="K511" i="2"/>
  <c r="A511" i="2"/>
  <c r="BD510" i="2"/>
  <c r="K510" i="2"/>
  <c r="A510" i="2"/>
  <c r="BD509" i="2"/>
  <c r="K509" i="2"/>
  <c r="A509" i="2"/>
  <c r="BD508" i="2"/>
  <c r="K508" i="2"/>
  <c r="A508" i="2"/>
  <c r="BD507" i="2"/>
  <c r="K507" i="2"/>
  <c r="A507" i="2"/>
  <c r="BD506" i="2"/>
  <c r="K506" i="2"/>
  <c r="A506" i="2"/>
  <c r="BD505" i="2"/>
  <c r="K505" i="2"/>
  <c r="A505" i="2"/>
  <c r="BD504" i="2"/>
  <c r="K504" i="2"/>
  <c r="A504" i="2"/>
  <c r="BD503" i="2"/>
  <c r="K503" i="2"/>
  <c r="A503" i="2"/>
  <c r="BD502" i="2"/>
  <c r="K502" i="2"/>
  <c r="A502" i="2"/>
  <c r="BD501" i="2"/>
  <c r="K501" i="2"/>
  <c r="A501" i="2"/>
  <c r="BD500" i="2"/>
  <c r="K500" i="2"/>
  <c r="A500" i="2"/>
  <c r="BD499" i="2"/>
  <c r="K499" i="2"/>
  <c r="A499" i="2"/>
  <c r="BD498" i="2"/>
  <c r="K498" i="2"/>
  <c r="A498" i="2"/>
  <c r="BD497" i="2"/>
  <c r="K497" i="2"/>
  <c r="A497" i="2"/>
  <c r="BD496" i="2"/>
  <c r="K496" i="2"/>
  <c r="A496" i="2"/>
  <c r="BD495" i="2"/>
  <c r="K495" i="2"/>
  <c r="A495" i="2"/>
  <c r="BD494" i="2"/>
  <c r="K494" i="2"/>
  <c r="A494" i="2"/>
  <c r="BD493" i="2"/>
  <c r="K493" i="2"/>
  <c r="A493" i="2"/>
  <c r="BD492" i="2"/>
  <c r="K492" i="2"/>
  <c r="A492" i="2"/>
  <c r="BD491" i="2"/>
  <c r="K491" i="2"/>
  <c r="A491" i="2"/>
  <c r="BD490" i="2"/>
  <c r="K490" i="2"/>
  <c r="A490" i="2"/>
  <c r="BD489" i="2"/>
  <c r="K489" i="2"/>
  <c r="A489" i="2"/>
  <c r="BD488" i="2"/>
  <c r="K488" i="2"/>
  <c r="A488" i="2"/>
  <c r="BD487" i="2"/>
  <c r="K487" i="2"/>
  <c r="A487" i="2"/>
  <c r="BD486" i="2"/>
  <c r="K486" i="2"/>
  <c r="A486" i="2"/>
  <c r="BD485" i="2"/>
  <c r="K485" i="2"/>
  <c r="A485" i="2"/>
  <c r="BD484" i="2"/>
  <c r="K484" i="2"/>
  <c r="A484" i="2"/>
  <c r="BD483" i="2"/>
  <c r="K483" i="2"/>
  <c r="A483" i="2"/>
  <c r="BD482" i="2"/>
  <c r="K482" i="2"/>
  <c r="A482" i="2"/>
  <c r="BD481" i="2"/>
  <c r="K481" i="2"/>
  <c r="A481" i="2"/>
  <c r="BD480" i="2"/>
  <c r="K480" i="2"/>
  <c r="A480" i="2"/>
  <c r="BD479" i="2"/>
  <c r="K479" i="2"/>
  <c r="A479" i="2"/>
  <c r="BD478" i="2"/>
  <c r="K478" i="2"/>
  <c r="A478" i="2"/>
  <c r="BD477" i="2"/>
  <c r="K477" i="2"/>
  <c r="A477" i="2"/>
  <c r="BD476" i="2"/>
  <c r="K476" i="2"/>
  <c r="A476" i="2"/>
  <c r="BD475" i="2"/>
  <c r="K475" i="2"/>
  <c r="A475" i="2"/>
  <c r="BD474" i="2"/>
  <c r="K474" i="2"/>
  <c r="A474" i="2"/>
  <c r="BD473" i="2"/>
  <c r="K473" i="2"/>
  <c r="A473" i="2"/>
  <c r="BD472" i="2"/>
  <c r="K472" i="2"/>
  <c r="A472" i="2"/>
  <c r="BD471" i="2"/>
  <c r="K471" i="2"/>
  <c r="A471" i="2"/>
  <c r="BD470" i="2"/>
  <c r="K470" i="2"/>
  <c r="A470" i="2"/>
  <c r="BD469" i="2"/>
  <c r="K469" i="2"/>
  <c r="A469" i="2"/>
  <c r="BD468" i="2"/>
  <c r="K468" i="2"/>
  <c r="A468" i="2"/>
  <c r="BD467" i="2"/>
  <c r="K467" i="2"/>
  <c r="A467" i="2"/>
  <c r="BD466" i="2"/>
  <c r="K466" i="2"/>
  <c r="A466" i="2"/>
  <c r="BD465" i="2"/>
  <c r="K465" i="2"/>
  <c r="A465" i="2"/>
  <c r="BD464" i="2"/>
  <c r="K464" i="2"/>
  <c r="A464" i="2"/>
  <c r="BD463" i="2"/>
  <c r="K463" i="2"/>
  <c r="A463" i="2"/>
  <c r="BD462" i="2"/>
  <c r="K462" i="2"/>
  <c r="A462" i="2"/>
  <c r="BD461" i="2"/>
  <c r="K461" i="2"/>
  <c r="A461" i="2"/>
  <c r="BD460" i="2"/>
  <c r="K460" i="2"/>
  <c r="A460" i="2"/>
  <c r="BD459" i="2"/>
  <c r="K459" i="2"/>
  <c r="A459" i="2"/>
  <c r="BD458" i="2"/>
  <c r="K458" i="2"/>
  <c r="A458" i="2"/>
  <c r="BD457" i="2"/>
  <c r="K457" i="2"/>
  <c r="A457" i="2"/>
  <c r="BD456" i="2"/>
  <c r="K456" i="2"/>
  <c r="A456" i="2"/>
  <c r="BD455" i="2"/>
  <c r="K455" i="2"/>
  <c r="A455" i="2"/>
  <c r="BD454" i="2"/>
  <c r="K454" i="2"/>
  <c r="A454" i="2"/>
  <c r="BD453" i="2"/>
  <c r="K453" i="2"/>
  <c r="A453" i="2"/>
  <c r="BD452" i="2"/>
  <c r="K452" i="2"/>
  <c r="A452" i="2"/>
  <c r="BD451" i="2"/>
  <c r="K451" i="2"/>
  <c r="A451" i="2"/>
  <c r="BD450" i="2"/>
  <c r="K450" i="2"/>
  <c r="A450" i="2"/>
  <c r="BD449" i="2"/>
  <c r="K449" i="2"/>
  <c r="A449" i="2"/>
  <c r="BD448" i="2"/>
  <c r="K448" i="2"/>
  <c r="A448" i="2"/>
  <c r="BD447" i="2"/>
  <c r="K447" i="2"/>
  <c r="A447" i="2"/>
  <c r="BD446" i="2"/>
  <c r="K446" i="2"/>
  <c r="A446" i="2"/>
  <c r="BD445" i="2"/>
  <c r="K445" i="2"/>
  <c r="A445" i="2"/>
  <c r="BD444" i="2"/>
  <c r="K444" i="2"/>
  <c r="A444" i="2"/>
  <c r="BD443" i="2"/>
  <c r="K443" i="2"/>
  <c r="A443" i="2"/>
  <c r="BD442" i="2"/>
  <c r="K442" i="2"/>
  <c r="A442" i="2"/>
  <c r="BD441" i="2"/>
  <c r="K441" i="2"/>
  <c r="A441" i="2"/>
  <c r="BD440" i="2"/>
  <c r="K440" i="2"/>
  <c r="A440" i="2"/>
  <c r="BD439" i="2"/>
  <c r="K439" i="2"/>
  <c r="A439" i="2"/>
  <c r="BD438" i="2"/>
  <c r="K438" i="2"/>
  <c r="A438" i="2"/>
  <c r="BD437" i="2"/>
  <c r="K437" i="2"/>
  <c r="A437" i="2"/>
  <c r="BD436" i="2"/>
  <c r="K436" i="2"/>
  <c r="A436" i="2"/>
  <c r="BD435" i="2"/>
  <c r="K435" i="2"/>
  <c r="A435" i="2"/>
  <c r="BD434" i="2"/>
  <c r="K434" i="2"/>
  <c r="A434" i="2"/>
  <c r="BD433" i="2"/>
  <c r="K433" i="2"/>
  <c r="A433" i="2"/>
  <c r="BD432" i="2"/>
  <c r="K432" i="2"/>
  <c r="A432" i="2"/>
  <c r="BD431" i="2"/>
  <c r="K431" i="2"/>
  <c r="A431" i="2"/>
  <c r="BD430" i="2"/>
  <c r="K430" i="2"/>
  <c r="A430" i="2"/>
  <c r="BD429" i="2"/>
  <c r="K429" i="2"/>
  <c r="A429" i="2"/>
  <c r="BD428" i="2"/>
  <c r="K428" i="2"/>
  <c r="A428" i="2"/>
  <c r="BD427" i="2"/>
  <c r="K427" i="2"/>
  <c r="A427" i="2"/>
  <c r="BD426" i="2"/>
  <c r="K426" i="2"/>
  <c r="A426" i="2"/>
  <c r="BD425" i="2"/>
  <c r="K425" i="2"/>
  <c r="A425" i="2"/>
  <c r="BD424" i="2"/>
  <c r="K424" i="2"/>
  <c r="A424" i="2"/>
  <c r="BD423" i="2"/>
  <c r="K423" i="2"/>
  <c r="A423" i="2"/>
  <c r="BD422" i="2"/>
  <c r="K422" i="2"/>
  <c r="A422" i="2"/>
  <c r="BD421" i="2"/>
  <c r="K421" i="2"/>
  <c r="A421" i="2"/>
  <c r="BD420" i="2"/>
  <c r="K420" i="2"/>
  <c r="A420" i="2"/>
  <c r="BD419" i="2"/>
  <c r="K419" i="2"/>
  <c r="A419" i="2"/>
  <c r="BD418" i="2"/>
  <c r="K418" i="2"/>
  <c r="A418" i="2"/>
  <c r="BD417" i="2"/>
  <c r="K417" i="2"/>
  <c r="A417" i="2"/>
  <c r="BD416" i="2"/>
  <c r="K416" i="2"/>
  <c r="A416" i="2"/>
  <c r="BD415" i="2"/>
  <c r="K415" i="2"/>
  <c r="A415" i="2"/>
  <c r="BD414" i="2"/>
  <c r="K414" i="2"/>
  <c r="A414" i="2"/>
  <c r="BD413" i="2"/>
  <c r="K413" i="2"/>
  <c r="A413" i="2"/>
  <c r="BD412" i="2"/>
  <c r="K412" i="2"/>
  <c r="A412" i="2"/>
  <c r="BD411" i="2"/>
  <c r="K411" i="2"/>
  <c r="A411" i="2"/>
  <c r="BD410" i="2"/>
  <c r="K410" i="2"/>
  <c r="A410" i="2"/>
  <c r="BD409" i="2"/>
  <c r="K409" i="2"/>
  <c r="A409" i="2"/>
  <c r="BD408" i="2"/>
  <c r="K408" i="2"/>
  <c r="A408" i="2"/>
  <c r="BD407" i="2"/>
  <c r="K407" i="2"/>
  <c r="A407" i="2"/>
  <c r="BD406" i="2"/>
  <c r="K406" i="2"/>
  <c r="A406" i="2"/>
  <c r="BD405" i="2"/>
  <c r="K405" i="2"/>
  <c r="A405" i="2"/>
  <c r="BD404" i="2"/>
  <c r="K404" i="2"/>
  <c r="A404" i="2"/>
  <c r="BD403" i="2"/>
  <c r="K403" i="2"/>
  <c r="A403" i="2"/>
  <c r="BD402" i="2"/>
  <c r="K402" i="2"/>
  <c r="A402" i="2"/>
  <c r="BD401" i="2"/>
  <c r="K401" i="2"/>
  <c r="A401" i="2"/>
  <c r="BD400" i="2"/>
  <c r="K400" i="2"/>
  <c r="A400" i="2"/>
  <c r="BD399" i="2"/>
  <c r="K399" i="2"/>
  <c r="A399" i="2"/>
  <c r="BD398" i="2"/>
  <c r="K398" i="2"/>
  <c r="A398" i="2"/>
  <c r="BD397" i="2"/>
  <c r="K397" i="2"/>
  <c r="A397" i="2"/>
  <c r="BD396" i="2"/>
  <c r="K396" i="2"/>
  <c r="A396" i="2"/>
  <c r="BD395" i="2"/>
  <c r="K395" i="2"/>
  <c r="A395" i="2"/>
  <c r="BD394" i="2"/>
  <c r="K394" i="2"/>
  <c r="A394" i="2"/>
  <c r="BD393" i="2"/>
  <c r="K393" i="2"/>
  <c r="A393" i="2"/>
  <c r="BD392" i="2"/>
  <c r="K392" i="2"/>
  <c r="A392" i="2"/>
  <c r="BD391" i="2"/>
  <c r="K391" i="2"/>
  <c r="A391" i="2"/>
  <c r="BD390" i="2"/>
  <c r="K390" i="2"/>
  <c r="A390" i="2"/>
  <c r="BD389" i="2"/>
  <c r="K389" i="2"/>
  <c r="A389" i="2"/>
  <c r="BD388" i="2"/>
  <c r="K388" i="2"/>
  <c r="A388" i="2"/>
  <c r="BD387" i="2"/>
  <c r="K387" i="2"/>
  <c r="A387" i="2"/>
  <c r="BD386" i="2"/>
  <c r="K386" i="2"/>
  <c r="A386" i="2"/>
  <c r="BD385" i="2"/>
  <c r="K385" i="2"/>
  <c r="A385" i="2"/>
  <c r="BD384" i="2"/>
  <c r="K384" i="2"/>
  <c r="A384" i="2"/>
  <c r="BD383" i="2"/>
  <c r="K383" i="2"/>
  <c r="A383" i="2"/>
  <c r="BD382" i="2"/>
  <c r="K382" i="2"/>
  <c r="A382" i="2"/>
  <c r="BD381" i="2"/>
  <c r="K381" i="2"/>
  <c r="A381" i="2"/>
  <c r="BD380" i="2"/>
  <c r="K380" i="2"/>
  <c r="A380" i="2"/>
  <c r="BD379" i="2"/>
  <c r="K379" i="2"/>
  <c r="A379" i="2"/>
  <c r="BD378" i="2"/>
  <c r="K378" i="2"/>
  <c r="A378" i="2"/>
  <c r="BD377" i="2"/>
  <c r="K377" i="2"/>
  <c r="A377" i="2"/>
  <c r="BD376" i="2"/>
  <c r="K376" i="2"/>
  <c r="A376" i="2"/>
  <c r="BD375" i="2"/>
  <c r="K375" i="2"/>
  <c r="A375" i="2"/>
  <c r="BD374" i="2"/>
  <c r="K374" i="2"/>
  <c r="A374" i="2"/>
  <c r="BD373" i="2"/>
  <c r="K373" i="2"/>
  <c r="A373" i="2"/>
  <c r="BD372" i="2"/>
  <c r="K372" i="2"/>
  <c r="A372" i="2"/>
  <c r="BD371" i="2"/>
  <c r="K371" i="2"/>
  <c r="A371" i="2"/>
  <c r="BD370" i="2"/>
  <c r="K370" i="2"/>
  <c r="A370" i="2"/>
  <c r="BD369" i="2"/>
  <c r="K369" i="2"/>
  <c r="A369" i="2"/>
  <c r="BD368" i="2"/>
  <c r="K368" i="2"/>
  <c r="A368" i="2"/>
  <c r="BD367" i="2"/>
  <c r="K367" i="2"/>
  <c r="A367" i="2"/>
  <c r="BD366" i="2"/>
  <c r="K366" i="2"/>
  <c r="A366" i="2"/>
  <c r="BD365" i="2"/>
  <c r="K365" i="2"/>
  <c r="A365" i="2"/>
  <c r="BD364" i="2"/>
  <c r="K364" i="2"/>
  <c r="A364" i="2"/>
  <c r="BD363" i="2"/>
  <c r="K363" i="2"/>
  <c r="A363" i="2"/>
  <c r="BD362" i="2"/>
  <c r="K362" i="2"/>
  <c r="A362" i="2"/>
  <c r="BD361" i="2"/>
  <c r="K361" i="2"/>
  <c r="A361" i="2"/>
  <c r="BD360" i="2"/>
  <c r="K360" i="2"/>
  <c r="A360" i="2"/>
  <c r="BD359" i="2"/>
  <c r="K359" i="2"/>
  <c r="A359" i="2"/>
  <c r="BD358" i="2"/>
  <c r="K358" i="2"/>
  <c r="A358" i="2"/>
  <c r="BD357" i="2"/>
  <c r="K357" i="2"/>
  <c r="A357" i="2"/>
  <c r="BD356" i="2"/>
  <c r="K356" i="2"/>
  <c r="A356" i="2"/>
  <c r="BD355" i="2"/>
  <c r="K355" i="2"/>
  <c r="A355" i="2"/>
  <c r="BD354" i="2"/>
  <c r="K354" i="2"/>
  <c r="A354" i="2"/>
  <c r="BD353" i="2"/>
  <c r="K353" i="2"/>
  <c r="A353" i="2"/>
  <c r="BD352" i="2"/>
  <c r="K352" i="2"/>
  <c r="A352" i="2"/>
  <c r="BD351" i="2"/>
  <c r="K351" i="2"/>
  <c r="A351" i="2"/>
  <c r="BD350" i="2"/>
  <c r="K350" i="2"/>
  <c r="A350" i="2"/>
  <c r="BD349" i="2"/>
  <c r="K349" i="2"/>
  <c r="A349" i="2"/>
  <c r="BD348" i="2"/>
  <c r="K348" i="2"/>
  <c r="A348" i="2"/>
  <c r="BD347" i="2"/>
  <c r="K347" i="2"/>
  <c r="A347" i="2"/>
  <c r="BD346" i="2"/>
  <c r="K346" i="2"/>
  <c r="A346" i="2"/>
  <c r="BD345" i="2"/>
  <c r="K345" i="2"/>
  <c r="A345" i="2"/>
  <c r="BD344" i="2"/>
  <c r="K344" i="2"/>
  <c r="A344" i="2"/>
  <c r="BD343" i="2"/>
  <c r="K343" i="2"/>
  <c r="A343" i="2"/>
  <c r="BD342" i="2"/>
  <c r="K342" i="2"/>
  <c r="A342" i="2"/>
  <c r="BD341" i="2"/>
  <c r="K341" i="2"/>
  <c r="A341" i="2"/>
  <c r="BD340" i="2"/>
  <c r="K340" i="2"/>
  <c r="A340" i="2"/>
  <c r="BD339" i="2"/>
  <c r="K339" i="2"/>
  <c r="A339" i="2"/>
  <c r="BD338" i="2"/>
  <c r="K338" i="2"/>
  <c r="A338" i="2"/>
  <c r="BD337" i="2"/>
  <c r="K337" i="2"/>
  <c r="A337" i="2"/>
  <c r="BD336" i="2"/>
  <c r="K336" i="2"/>
  <c r="A336" i="2"/>
  <c r="BD335" i="2"/>
  <c r="K335" i="2"/>
  <c r="A335" i="2"/>
  <c r="BD334" i="2"/>
  <c r="K334" i="2"/>
  <c r="A334" i="2"/>
  <c r="BD333" i="2"/>
  <c r="K333" i="2"/>
  <c r="A333" i="2"/>
  <c r="BD332" i="2"/>
  <c r="K332" i="2"/>
  <c r="A332" i="2"/>
  <c r="BD331" i="2"/>
  <c r="K331" i="2"/>
  <c r="A331" i="2"/>
  <c r="BD330" i="2"/>
  <c r="K330" i="2"/>
  <c r="A330" i="2"/>
  <c r="BD329" i="2"/>
  <c r="K329" i="2"/>
  <c r="A329" i="2"/>
  <c r="BD328" i="2"/>
  <c r="K328" i="2"/>
  <c r="A328" i="2"/>
  <c r="BD327" i="2"/>
  <c r="K327" i="2"/>
  <c r="A327" i="2"/>
  <c r="BD326" i="2"/>
  <c r="K326" i="2"/>
  <c r="A326" i="2"/>
  <c r="BD325" i="2"/>
  <c r="K325" i="2"/>
  <c r="A325" i="2"/>
  <c r="BD324" i="2"/>
  <c r="K324" i="2"/>
  <c r="A324" i="2"/>
  <c r="BD323" i="2"/>
  <c r="K323" i="2"/>
  <c r="A323" i="2"/>
  <c r="BD322" i="2"/>
  <c r="K322" i="2"/>
  <c r="A322" i="2"/>
  <c r="BD321" i="2"/>
  <c r="K321" i="2"/>
  <c r="A321" i="2"/>
  <c r="BD320" i="2"/>
  <c r="K320" i="2"/>
  <c r="A320" i="2"/>
  <c r="BD319" i="2"/>
  <c r="K319" i="2"/>
  <c r="A319" i="2"/>
  <c r="BD318" i="2"/>
  <c r="K318" i="2"/>
  <c r="A318" i="2"/>
  <c r="BD317" i="2"/>
  <c r="K317" i="2"/>
  <c r="A317" i="2"/>
  <c r="BD316" i="2"/>
  <c r="K316" i="2"/>
  <c r="A316" i="2"/>
  <c r="BD315" i="2"/>
  <c r="K315" i="2"/>
  <c r="A315" i="2"/>
  <c r="BD314" i="2"/>
  <c r="K314" i="2"/>
  <c r="A314" i="2"/>
  <c r="BD313" i="2"/>
  <c r="K313" i="2"/>
  <c r="A313" i="2"/>
  <c r="BD312" i="2"/>
  <c r="K312" i="2"/>
  <c r="A312" i="2"/>
  <c r="BD311" i="2"/>
  <c r="K311" i="2"/>
  <c r="A311" i="2"/>
  <c r="BD310" i="2"/>
  <c r="K310" i="2"/>
  <c r="A310" i="2"/>
  <c r="BD309" i="2"/>
  <c r="K309" i="2"/>
  <c r="A309" i="2"/>
  <c r="BD308" i="2"/>
  <c r="K308" i="2"/>
  <c r="A308" i="2"/>
  <c r="BD307" i="2"/>
  <c r="K307" i="2"/>
  <c r="A307" i="2"/>
  <c r="BD306" i="2"/>
  <c r="K306" i="2"/>
  <c r="A306" i="2"/>
  <c r="BD305" i="2"/>
  <c r="K305" i="2"/>
  <c r="A305" i="2"/>
  <c r="BD304" i="2"/>
  <c r="K304" i="2"/>
  <c r="A304" i="2"/>
  <c r="BD303" i="2"/>
  <c r="K303" i="2"/>
  <c r="A303" i="2"/>
  <c r="BD302" i="2"/>
  <c r="K302" i="2"/>
  <c r="A302" i="2"/>
  <c r="BD301" i="2"/>
  <c r="K301" i="2"/>
  <c r="A301" i="2"/>
  <c r="BD300" i="2"/>
  <c r="K300" i="2"/>
  <c r="A300" i="2"/>
  <c r="BD299" i="2"/>
  <c r="K299" i="2"/>
  <c r="A299" i="2"/>
  <c r="BD298" i="2"/>
  <c r="K298" i="2"/>
  <c r="A298" i="2"/>
  <c r="BD297" i="2"/>
  <c r="K297" i="2"/>
  <c r="A297" i="2"/>
  <c r="BD296" i="2"/>
  <c r="K296" i="2"/>
  <c r="A296" i="2"/>
  <c r="BD295" i="2"/>
  <c r="K295" i="2"/>
  <c r="A295" i="2"/>
  <c r="BD294" i="2"/>
  <c r="K294" i="2"/>
  <c r="A294" i="2"/>
  <c r="BD293" i="2"/>
  <c r="K293" i="2"/>
  <c r="A293" i="2"/>
  <c r="BD292" i="2"/>
  <c r="K292" i="2"/>
  <c r="A292" i="2"/>
  <c r="BD291" i="2"/>
  <c r="K291" i="2"/>
  <c r="A291" i="2"/>
  <c r="BD290" i="2"/>
  <c r="K290" i="2"/>
  <c r="A290" i="2"/>
  <c r="BD289" i="2"/>
  <c r="K289" i="2"/>
  <c r="A289" i="2"/>
  <c r="BD288" i="2"/>
  <c r="K288" i="2"/>
  <c r="A288" i="2"/>
  <c r="BD287" i="2"/>
  <c r="K287" i="2"/>
  <c r="A287" i="2"/>
  <c r="BD286" i="2"/>
  <c r="K286" i="2"/>
  <c r="A286" i="2"/>
  <c r="BD285" i="2"/>
  <c r="K285" i="2"/>
  <c r="A285" i="2"/>
  <c r="BD284" i="2"/>
  <c r="K284" i="2"/>
  <c r="A284" i="2"/>
  <c r="BD283" i="2"/>
  <c r="K283" i="2"/>
  <c r="A283" i="2"/>
  <c r="BD282" i="2"/>
  <c r="K282" i="2"/>
  <c r="A282" i="2"/>
  <c r="BD281" i="2"/>
  <c r="K281" i="2"/>
  <c r="A281" i="2"/>
  <c r="BD280" i="2"/>
  <c r="K280" i="2"/>
  <c r="A280" i="2"/>
  <c r="BD279" i="2"/>
  <c r="K279" i="2"/>
  <c r="A279" i="2"/>
  <c r="BD278" i="2"/>
  <c r="K278" i="2"/>
  <c r="A278" i="2"/>
  <c r="BD277" i="2"/>
  <c r="K277" i="2"/>
  <c r="A277" i="2"/>
  <c r="BD276" i="2"/>
  <c r="K276" i="2"/>
  <c r="A276" i="2"/>
  <c r="BD275" i="2"/>
  <c r="K275" i="2"/>
  <c r="A275" i="2"/>
  <c r="BD274" i="2"/>
  <c r="K274" i="2"/>
  <c r="A274" i="2"/>
  <c r="BD273" i="2"/>
  <c r="K273" i="2"/>
  <c r="A273" i="2"/>
  <c r="BD272" i="2"/>
  <c r="K272" i="2"/>
  <c r="A272" i="2"/>
  <c r="BD271" i="2"/>
  <c r="K271" i="2"/>
  <c r="A271" i="2"/>
  <c r="BD270" i="2"/>
  <c r="K270" i="2"/>
  <c r="A270" i="2"/>
  <c r="BD269" i="2"/>
  <c r="K269" i="2"/>
  <c r="A269" i="2"/>
  <c r="BD268" i="2"/>
  <c r="K268" i="2"/>
  <c r="A268" i="2"/>
  <c r="BD267" i="2"/>
  <c r="K267" i="2"/>
  <c r="A267" i="2"/>
  <c r="BD266" i="2"/>
  <c r="K266" i="2"/>
  <c r="A266" i="2"/>
  <c r="BD265" i="2"/>
  <c r="K265" i="2"/>
  <c r="A265" i="2"/>
  <c r="BD264" i="2"/>
  <c r="K264" i="2"/>
  <c r="A264" i="2"/>
  <c r="BD263" i="2"/>
  <c r="K263" i="2"/>
  <c r="A263" i="2"/>
  <c r="BD262" i="2"/>
  <c r="K262" i="2"/>
  <c r="A262" i="2"/>
  <c r="BD261" i="2"/>
  <c r="K261" i="2"/>
  <c r="A261" i="2"/>
  <c r="BD260" i="2"/>
  <c r="K260" i="2"/>
  <c r="A260" i="2"/>
  <c r="BD259" i="2"/>
  <c r="K259" i="2"/>
  <c r="A259" i="2"/>
  <c r="BD258" i="2"/>
  <c r="K258" i="2"/>
  <c r="A258" i="2"/>
  <c r="BD257" i="2"/>
  <c r="K257" i="2"/>
  <c r="A257" i="2"/>
  <c r="BD256" i="2"/>
  <c r="K256" i="2"/>
  <c r="A256" i="2"/>
  <c r="BD255" i="2"/>
  <c r="K255" i="2"/>
  <c r="A255" i="2"/>
  <c r="BD254" i="2"/>
  <c r="K254" i="2"/>
  <c r="A254" i="2"/>
  <c r="BD253" i="2"/>
  <c r="K253" i="2"/>
  <c r="A253" i="2"/>
  <c r="BD252" i="2"/>
  <c r="K252" i="2"/>
  <c r="A252" i="2"/>
  <c r="BD251" i="2"/>
  <c r="K251" i="2"/>
  <c r="A251" i="2"/>
  <c r="BD250" i="2"/>
  <c r="K250" i="2"/>
  <c r="A250" i="2"/>
  <c r="BD249" i="2"/>
  <c r="K249" i="2"/>
  <c r="A249" i="2"/>
  <c r="BD248" i="2"/>
  <c r="K248" i="2"/>
  <c r="A248" i="2"/>
  <c r="BD247" i="2"/>
  <c r="K247" i="2"/>
  <c r="A247" i="2"/>
  <c r="BD246" i="2"/>
  <c r="K246" i="2"/>
  <c r="A246" i="2"/>
  <c r="BD245" i="2"/>
  <c r="K245" i="2"/>
  <c r="A245" i="2"/>
  <c r="BD244" i="2"/>
  <c r="K244" i="2"/>
  <c r="A244" i="2"/>
  <c r="BD243" i="2"/>
  <c r="K243" i="2"/>
  <c r="A243" i="2"/>
  <c r="BD242" i="2"/>
  <c r="K242" i="2"/>
  <c r="A242" i="2"/>
  <c r="BD241" i="2"/>
  <c r="K241" i="2"/>
  <c r="A241" i="2"/>
  <c r="BD240" i="2"/>
  <c r="K240" i="2"/>
  <c r="A240" i="2"/>
  <c r="BD239" i="2"/>
  <c r="K239" i="2"/>
  <c r="A239" i="2"/>
  <c r="BD238" i="2"/>
  <c r="K238" i="2"/>
  <c r="A238" i="2"/>
  <c r="BD237" i="2"/>
  <c r="K237" i="2"/>
  <c r="A237" i="2"/>
  <c r="BD236" i="2"/>
  <c r="K236" i="2"/>
  <c r="A236" i="2"/>
  <c r="BD235" i="2"/>
  <c r="K235" i="2"/>
  <c r="A235" i="2"/>
  <c r="BD234" i="2"/>
  <c r="K234" i="2"/>
  <c r="A234" i="2"/>
  <c r="BD233" i="2"/>
  <c r="K233" i="2"/>
  <c r="A233" i="2"/>
  <c r="BD232" i="2"/>
  <c r="K232" i="2"/>
  <c r="A232" i="2"/>
  <c r="BD231" i="2"/>
  <c r="K231" i="2"/>
  <c r="A231" i="2"/>
  <c r="BD230" i="2"/>
  <c r="K230" i="2"/>
  <c r="A230" i="2"/>
  <c r="BD229" i="2"/>
  <c r="K229" i="2"/>
  <c r="A229" i="2"/>
  <c r="BD228" i="2"/>
  <c r="K228" i="2"/>
  <c r="A228" i="2"/>
  <c r="BD227" i="2"/>
  <c r="K227" i="2"/>
  <c r="A227" i="2"/>
  <c r="BD226" i="2"/>
  <c r="K226" i="2"/>
  <c r="A226" i="2"/>
  <c r="BD225" i="2"/>
  <c r="K225" i="2"/>
  <c r="A225" i="2"/>
  <c r="BD224" i="2"/>
  <c r="K224" i="2"/>
  <c r="A224" i="2"/>
  <c r="BD223" i="2"/>
  <c r="K223" i="2"/>
  <c r="A223" i="2"/>
  <c r="BD222" i="2"/>
  <c r="K222" i="2"/>
  <c r="A222" i="2"/>
  <c r="BD221" i="2"/>
  <c r="K221" i="2"/>
  <c r="A221" i="2"/>
  <c r="BD220" i="2"/>
  <c r="K220" i="2"/>
  <c r="A220" i="2"/>
  <c r="BD219" i="2"/>
  <c r="K219" i="2"/>
  <c r="A219" i="2"/>
  <c r="BD218" i="2"/>
  <c r="K218" i="2"/>
  <c r="A218" i="2"/>
  <c r="BD217" i="2"/>
  <c r="K217" i="2"/>
  <c r="A217" i="2"/>
  <c r="BD216" i="2"/>
  <c r="K216" i="2"/>
  <c r="A216" i="2"/>
  <c r="BD215" i="2"/>
  <c r="K215" i="2"/>
  <c r="A215" i="2"/>
  <c r="BD214" i="2"/>
  <c r="K214" i="2"/>
  <c r="A214" i="2"/>
  <c r="BD213" i="2"/>
  <c r="K213" i="2"/>
  <c r="A213" i="2"/>
  <c r="BD212" i="2"/>
  <c r="K212" i="2"/>
  <c r="A212" i="2"/>
  <c r="BD211" i="2"/>
  <c r="K211" i="2"/>
  <c r="A211" i="2"/>
  <c r="BD210" i="2"/>
  <c r="K210" i="2"/>
  <c r="A210" i="2"/>
  <c r="BD209" i="2"/>
  <c r="K209" i="2"/>
  <c r="A209" i="2"/>
  <c r="BD208" i="2"/>
  <c r="K208" i="2"/>
  <c r="A208" i="2"/>
  <c r="BD207" i="2"/>
  <c r="K207" i="2"/>
  <c r="A207" i="2"/>
  <c r="BD206" i="2"/>
  <c r="K206" i="2"/>
  <c r="A206" i="2"/>
  <c r="BD205" i="2"/>
  <c r="K205" i="2"/>
  <c r="A205" i="2"/>
  <c r="BD204" i="2"/>
  <c r="K204" i="2"/>
  <c r="A204" i="2"/>
  <c r="BD203" i="2"/>
  <c r="K203" i="2"/>
  <c r="A203" i="2"/>
  <c r="BD202" i="2"/>
  <c r="K202" i="2"/>
  <c r="A202" i="2"/>
  <c r="BD201" i="2"/>
  <c r="K201" i="2"/>
  <c r="A201" i="2"/>
  <c r="BD200" i="2"/>
  <c r="K200" i="2"/>
  <c r="A200" i="2"/>
  <c r="BD199" i="2"/>
  <c r="K199" i="2"/>
  <c r="A199" i="2"/>
  <c r="BD198" i="2"/>
  <c r="K198" i="2"/>
  <c r="A198" i="2"/>
  <c r="BD197" i="2"/>
  <c r="K197" i="2"/>
  <c r="A197" i="2"/>
  <c r="BD196" i="2"/>
  <c r="K196" i="2"/>
  <c r="A196" i="2"/>
  <c r="BD195" i="2"/>
  <c r="K195" i="2"/>
  <c r="A195" i="2"/>
  <c r="BD194" i="2"/>
  <c r="K194" i="2"/>
  <c r="A194" i="2"/>
  <c r="BD193" i="2"/>
  <c r="K193" i="2"/>
  <c r="A193" i="2"/>
  <c r="BD192" i="2"/>
  <c r="K192" i="2"/>
  <c r="A192" i="2"/>
  <c r="BD191" i="2"/>
  <c r="K191" i="2"/>
  <c r="A191" i="2"/>
  <c r="BD190" i="2"/>
  <c r="K190" i="2"/>
  <c r="A190" i="2"/>
  <c r="BD189" i="2"/>
  <c r="K189" i="2"/>
  <c r="A189" i="2"/>
  <c r="BD188" i="2"/>
  <c r="K188" i="2"/>
  <c r="A188" i="2"/>
  <c r="BD187" i="2"/>
  <c r="K187" i="2"/>
  <c r="A187" i="2"/>
  <c r="BD186" i="2"/>
  <c r="K186" i="2"/>
  <c r="A186" i="2"/>
  <c r="BD185" i="2"/>
  <c r="K185" i="2"/>
  <c r="A185" i="2"/>
  <c r="BD184" i="2"/>
  <c r="K184" i="2"/>
  <c r="A184" i="2"/>
  <c r="BD183" i="2"/>
  <c r="K183" i="2"/>
  <c r="A183" i="2"/>
  <c r="BD182" i="2"/>
  <c r="K182" i="2"/>
  <c r="A182" i="2"/>
  <c r="BD181" i="2"/>
  <c r="K181" i="2"/>
  <c r="A181" i="2"/>
  <c r="BD180" i="2"/>
  <c r="K180" i="2"/>
  <c r="A180" i="2"/>
  <c r="BD179" i="2"/>
  <c r="K179" i="2"/>
  <c r="A179" i="2"/>
  <c r="BD178" i="2"/>
  <c r="K178" i="2"/>
  <c r="A178" i="2"/>
  <c r="BD177" i="2"/>
  <c r="K177" i="2"/>
  <c r="A177" i="2"/>
  <c r="BD176" i="2"/>
  <c r="K176" i="2"/>
  <c r="A176" i="2"/>
  <c r="BD175" i="2"/>
  <c r="K175" i="2"/>
  <c r="A175" i="2"/>
  <c r="BD174" i="2"/>
  <c r="K174" i="2"/>
  <c r="A174" i="2"/>
  <c r="BD173" i="2"/>
  <c r="K173" i="2"/>
  <c r="A173" i="2"/>
  <c r="BD172" i="2"/>
  <c r="K172" i="2"/>
  <c r="A172" i="2"/>
  <c r="BD171" i="2"/>
  <c r="K171" i="2"/>
  <c r="A171" i="2"/>
  <c r="BD170" i="2"/>
  <c r="K170" i="2"/>
  <c r="A170" i="2"/>
  <c r="BD169" i="2"/>
  <c r="K169" i="2"/>
  <c r="A169" i="2"/>
  <c r="BD168" i="2"/>
  <c r="K168" i="2"/>
  <c r="A168" i="2"/>
  <c r="BD167" i="2"/>
  <c r="K167" i="2"/>
  <c r="A167" i="2"/>
  <c r="BD166" i="2"/>
  <c r="K166" i="2"/>
  <c r="A166" i="2"/>
  <c r="BD165" i="2"/>
  <c r="K165" i="2"/>
  <c r="A165" i="2"/>
  <c r="BD164" i="2"/>
  <c r="K164" i="2"/>
  <c r="A164" i="2"/>
  <c r="BD163" i="2"/>
  <c r="K163" i="2"/>
  <c r="A163" i="2"/>
  <c r="BD162" i="2"/>
  <c r="K162" i="2"/>
  <c r="A162" i="2"/>
  <c r="BD161" i="2"/>
  <c r="K161" i="2"/>
  <c r="A161" i="2"/>
  <c r="BD160" i="2"/>
  <c r="K160" i="2"/>
  <c r="A160" i="2"/>
  <c r="BD159" i="2"/>
  <c r="K159" i="2"/>
  <c r="A159" i="2"/>
  <c r="BD158" i="2"/>
  <c r="K158" i="2"/>
  <c r="A158" i="2"/>
  <c r="BD157" i="2"/>
  <c r="K157" i="2"/>
  <c r="A157" i="2"/>
  <c r="BD156" i="2"/>
  <c r="K156" i="2"/>
  <c r="A156" i="2"/>
  <c r="BD155" i="2"/>
  <c r="K155" i="2"/>
  <c r="A155" i="2"/>
  <c r="BD154" i="2"/>
  <c r="K154" i="2"/>
  <c r="A154" i="2"/>
  <c r="BD153" i="2"/>
  <c r="K153" i="2"/>
  <c r="A153" i="2"/>
  <c r="BD152" i="2"/>
  <c r="K152" i="2"/>
  <c r="A152" i="2"/>
  <c r="BD151" i="2"/>
  <c r="K151" i="2"/>
  <c r="A151" i="2"/>
  <c r="BD150" i="2"/>
  <c r="K150" i="2"/>
  <c r="A150" i="2"/>
  <c r="BD149" i="2"/>
  <c r="K149" i="2"/>
  <c r="A149" i="2"/>
  <c r="BD148" i="2"/>
  <c r="K148" i="2"/>
  <c r="A148" i="2"/>
  <c r="BD147" i="2"/>
  <c r="K147" i="2"/>
  <c r="A147" i="2"/>
  <c r="BD146" i="2"/>
  <c r="K146" i="2"/>
  <c r="A146" i="2"/>
  <c r="BD145" i="2"/>
  <c r="K145" i="2"/>
  <c r="A145" i="2"/>
  <c r="BD144" i="2"/>
  <c r="K144" i="2"/>
  <c r="A144" i="2"/>
  <c r="BD143" i="2"/>
  <c r="K143" i="2"/>
  <c r="A143" i="2"/>
  <c r="BD142" i="2"/>
  <c r="K142" i="2"/>
  <c r="A142" i="2"/>
  <c r="BD141" i="2"/>
  <c r="K141" i="2"/>
  <c r="A141" i="2"/>
  <c r="BD140" i="2"/>
  <c r="K140" i="2"/>
  <c r="A140" i="2"/>
  <c r="BD139" i="2"/>
  <c r="K139" i="2"/>
  <c r="A139" i="2"/>
  <c r="BD138" i="2"/>
  <c r="K138" i="2"/>
  <c r="A138" i="2"/>
  <c r="BD137" i="2"/>
  <c r="K137" i="2"/>
  <c r="A137" i="2"/>
  <c r="BD136" i="2"/>
  <c r="K136" i="2"/>
  <c r="A136" i="2"/>
  <c r="BD135" i="2"/>
  <c r="K135" i="2"/>
  <c r="A135" i="2"/>
  <c r="BD134" i="2"/>
  <c r="K134" i="2"/>
  <c r="A134" i="2"/>
  <c r="BD133" i="2"/>
  <c r="K133" i="2"/>
  <c r="A133" i="2"/>
  <c r="BD132" i="2"/>
  <c r="K132" i="2"/>
  <c r="A132" i="2"/>
  <c r="BD131" i="2"/>
  <c r="K131" i="2"/>
  <c r="A131" i="2"/>
  <c r="BD130" i="2"/>
  <c r="K130" i="2"/>
  <c r="A130" i="2"/>
  <c r="BD129" i="2"/>
  <c r="K129" i="2"/>
  <c r="A129" i="2"/>
  <c r="BD128" i="2"/>
  <c r="K128" i="2"/>
  <c r="A128" i="2"/>
  <c r="BD127" i="2"/>
  <c r="K127" i="2"/>
  <c r="A127" i="2"/>
  <c r="BD126" i="2"/>
  <c r="K126" i="2"/>
  <c r="A126" i="2"/>
  <c r="BD125" i="2"/>
  <c r="K125" i="2"/>
  <c r="A125" i="2"/>
  <c r="BD124" i="2"/>
  <c r="K124" i="2"/>
  <c r="A124" i="2"/>
  <c r="BD123" i="2"/>
  <c r="K123" i="2"/>
  <c r="A123" i="2"/>
  <c r="BD122" i="2"/>
  <c r="K122" i="2"/>
  <c r="A122" i="2"/>
  <c r="BD121" i="2"/>
  <c r="K121" i="2"/>
  <c r="A121" i="2"/>
  <c r="BD120" i="2"/>
  <c r="K120" i="2"/>
  <c r="A120" i="2"/>
  <c r="BD119" i="2"/>
  <c r="K119" i="2"/>
  <c r="A119" i="2"/>
  <c r="BD118" i="2"/>
  <c r="K118" i="2"/>
  <c r="A118" i="2"/>
  <c r="BD117" i="2"/>
  <c r="K117" i="2"/>
  <c r="A117" i="2"/>
  <c r="BD116" i="2"/>
  <c r="K116" i="2"/>
  <c r="A116" i="2"/>
  <c r="BD115" i="2"/>
  <c r="K115" i="2"/>
  <c r="A115" i="2"/>
  <c r="BD114" i="2"/>
  <c r="K114" i="2"/>
  <c r="A114" i="2"/>
  <c r="BD113" i="2"/>
  <c r="K113" i="2"/>
  <c r="A113" i="2"/>
  <c r="BD112" i="2"/>
  <c r="K112" i="2"/>
  <c r="A112" i="2"/>
  <c r="BD111" i="2"/>
  <c r="K111" i="2"/>
  <c r="A111" i="2"/>
  <c r="BD110" i="2"/>
  <c r="K110" i="2"/>
  <c r="A110" i="2"/>
  <c r="BD109" i="2"/>
  <c r="K109" i="2"/>
  <c r="A109" i="2"/>
  <c r="BD108" i="2"/>
  <c r="K108" i="2"/>
  <c r="A108" i="2"/>
  <c r="BD107" i="2"/>
  <c r="K107" i="2"/>
  <c r="A107" i="2"/>
  <c r="BD106" i="2"/>
  <c r="K106" i="2"/>
  <c r="A106" i="2"/>
  <c r="BD105" i="2"/>
  <c r="K105" i="2"/>
  <c r="A105" i="2"/>
  <c r="BD104" i="2"/>
  <c r="K104" i="2"/>
  <c r="A104" i="2"/>
  <c r="BD103" i="2"/>
  <c r="K103" i="2"/>
  <c r="A103" i="2"/>
  <c r="BD102" i="2"/>
  <c r="K102" i="2"/>
  <c r="A102" i="2"/>
  <c r="BD101" i="2"/>
  <c r="K101" i="2"/>
  <c r="A101" i="2"/>
  <c r="BD100" i="2"/>
  <c r="K100" i="2"/>
  <c r="A100" i="2"/>
  <c r="BD99" i="2"/>
  <c r="K99" i="2"/>
  <c r="A99" i="2"/>
  <c r="BD98" i="2"/>
  <c r="K98" i="2"/>
  <c r="A98" i="2"/>
  <c r="BD97" i="2"/>
  <c r="K97" i="2"/>
  <c r="A97" i="2"/>
  <c r="BD96" i="2"/>
  <c r="K96" i="2"/>
  <c r="A96" i="2"/>
  <c r="BD95" i="2"/>
  <c r="K95" i="2"/>
  <c r="A95" i="2"/>
  <c r="BD94" i="2"/>
  <c r="K94" i="2"/>
  <c r="A94" i="2"/>
  <c r="BD93" i="2"/>
  <c r="K93" i="2"/>
  <c r="A93" i="2"/>
  <c r="BD92" i="2"/>
  <c r="K92" i="2"/>
  <c r="A92" i="2"/>
  <c r="BD91" i="2"/>
  <c r="K91" i="2"/>
  <c r="A91" i="2"/>
  <c r="BD90" i="2"/>
  <c r="K90" i="2"/>
  <c r="A90" i="2"/>
  <c r="BD89" i="2"/>
  <c r="K89" i="2"/>
  <c r="A89" i="2"/>
  <c r="BD88" i="2"/>
  <c r="K88" i="2"/>
  <c r="A88" i="2"/>
  <c r="BD87" i="2"/>
  <c r="K87" i="2"/>
  <c r="A87" i="2"/>
  <c r="BD86" i="2"/>
  <c r="K86" i="2"/>
  <c r="A86" i="2"/>
  <c r="BD85" i="2"/>
  <c r="K85" i="2"/>
  <c r="A85" i="2"/>
  <c r="BD84" i="2"/>
  <c r="K84" i="2"/>
  <c r="A84" i="2"/>
  <c r="BD83" i="2"/>
  <c r="K83" i="2"/>
  <c r="A83" i="2"/>
  <c r="BD82" i="2"/>
  <c r="K82" i="2"/>
  <c r="A82" i="2"/>
  <c r="BD81" i="2"/>
  <c r="K81" i="2"/>
  <c r="A81" i="2"/>
  <c r="BD80" i="2"/>
  <c r="K80" i="2"/>
  <c r="A80" i="2"/>
  <c r="BD79" i="2"/>
  <c r="K79" i="2"/>
  <c r="A79" i="2"/>
  <c r="BD78" i="2"/>
  <c r="K78" i="2"/>
  <c r="A78" i="2"/>
  <c r="BD77" i="2"/>
  <c r="K77" i="2"/>
  <c r="A77" i="2"/>
  <c r="BD76" i="2"/>
  <c r="K76" i="2"/>
  <c r="A76" i="2"/>
  <c r="BD75" i="2"/>
  <c r="K75" i="2"/>
  <c r="A75" i="2"/>
  <c r="BD74" i="2"/>
  <c r="K74" i="2"/>
  <c r="A74" i="2"/>
  <c r="BD73" i="2"/>
  <c r="K73" i="2"/>
  <c r="A73" i="2"/>
  <c r="BD72" i="2"/>
  <c r="K72" i="2"/>
  <c r="A72" i="2"/>
  <c r="BD71" i="2"/>
  <c r="K71" i="2"/>
  <c r="A71" i="2"/>
  <c r="BD70" i="2"/>
  <c r="K70" i="2"/>
  <c r="A70" i="2"/>
  <c r="BD69" i="2"/>
  <c r="K69" i="2"/>
  <c r="A69" i="2"/>
  <c r="BD68" i="2"/>
  <c r="K68" i="2"/>
  <c r="A68" i="2"/>
  <c r="BD67" i="2"/>
  <c r="K67" i="2"/>
  <c r="A67" i="2"/>
  <c r="BD66" i="2"/>
  <c r="K66" i="2"/>
  <c r="A66" i="2"/>
  <c r="BD65" i="2"/>
  <c r="K65" i="2"/>
  <c r="A65" i="2"/>
  <c r="BD64" i="2"/>
  <c r="K64" i="2"/>
  <c r="A64" i="2"/>
  <c r="BD63" i="2"/>
  <c r="K63" i="2"/>
  <c r="A63" i="2"/>
  <c r="BD62" i="2"/>
  <c r="K62" i="2"/>
  <c r="A62" i="2"/>
  <c r="BD61" i="2"/>
  <c r="K61" i="2"/>
  <c r="A61" i="2"/>
  <c r="BD60" i="2"/>
  <c r="K60" i="2"/>
  <c r="A60" i="2"/>
  <c r="BD59" i="2"/>
  <c r="K59" i="2"/>
  <c r="A59" i="2"/>
  <c r="BD58" i="2"/>
  <c r="K58" i="2"/>
  <c r="A58" i="2"/>
  <c r="BD57" i="2"/>
  <c r="K57" i="2"/>
  <c r="A57" i="2"/>
  <c r="BD56" i="2"/>
  <c r="K56" i="2"/>
  <c r="A56" i="2"/>
  <c r="BD55" i="2"/>
  <c r="K55" i="2"/>
  <c r="A55" i="2"/>
  <c r="BD54" i="2"/>
  <c r="K54" i="2"/>
  <c r="A54" i="2"/>
  <c r="BD53" i="2"/>
  <c r="K53" i="2"/>
  <c r="A53" i="2"/>
  <c r="BD52" i="2"/>
  <c r="K52" i="2"/>
  <c r="A52" i="2"/>
  <c r="BD51" i="2"/>
  <c r="K51" i="2"/>
  <c r="A51" i="2"/>
  <c r="BD50" i="2"/>
  <c r="K50" i="2"/>
  <c r="A50" i="2"/>
  <c r="BD49" i="2"/>
  <c r="K49" i="2"/>
  <c r="A49" i="2"/>
  <c r="BD48" i="2"/>
  <c r="K48" i="2"/>
  <c r="A48" i="2"/>
  <c r="BD47" i="2"/>
  <c r="K47" i="2"/>
  <c r="A47" i="2"/>
  <c r="BD46" i="2"/>
  <c r="K46" i="2"/>
  <c r="A46" i="2"/>
  <c r="BD45" i="2"/>
  <c r="K45" i="2"/>
  <c r="A45" i="2"/>
  <c r="BD44" i="2"/>
  <c r="K44" i="2"/>
  <c r="A44" i="2"/>
  <c r="BD43" i="2"/>
  <c r="K43" i="2"/>
  <c r="A43" i="2"/>
  <c r="BD42" i="2"/>
  <c r="K42" i="2"/>
  <c r="A42" i="2"/>
  <c r="BD41" i="2"/>
  <c r="K41" i="2"/>
  <c r="A41" i="2"/>
  <c r="BD40" i="2"/>
  <c r="K40" i="2"/>
  <c r="A40" i="2"/>
  <c r="BD39" i="2"/>
  <c r="K39" i="2"/>
  <c r="A39" i="2"/>
  <c r="BD38" i="2"/>
  <c r="K38" i="2"/>
  <c r="A38" i="2"/>
  <c r="BD37" i="2"/>
  <c r="K37" i="2"/>
  <c r="A37" i="2"/>
  <c r="BD36" i="2"/>
  <c r="K36" i="2"/>
  <c r="A36" i="2"/>
  <c r="BD35" i="2"/>
  <c r="K35" i="2"/>
  <c r="A35" i="2"/>
  <c r="BD34" i="2"/>
  <c r="K34" i="2"/>
  <c r="A34" i="2"/>
  <c r="BD33" i="2"/>
  <c r="K33" i="2"/>
  <c r="A33" i="2"/>
  <c r="BD32" i="2"/>
  <c r="K32" i="2"/>
  <c r="A32" i="2"/>
  <c r="BD31" i="2"/>
  <c r="K31" i="2"/>
  <c r="A31" i="2"/>
  <c r="BD30" i="2"/>
  <c r="K30" i="2"/>
  <c r="A30" i="2"/>
  <c r="BD29" i="2"/>
  <c r="K29" i="2"/>
  <c r="A29" i="2"/>
  <c r="BD28" i="2"/>
  <c r="K28" i="2"/>
  <c r="A28" i="2"/>
  <c r="BD27" i="2"/>
  <c r="K27" i="2"/>
  <c r="A27" i="2"/>
  <c r="BD26" i="2"/>
  <c r="K26" i="2"/>
  <c r="A26" i="2"/>
  <c r="BD25" i="2"/>
  <c r="K25" i="2"/>
  <c r="A25" i="2"/>
  <c r="BD24" i="2"/>
  <c r="K24" i="2"/>
  <c r="A24" i="2"/>
  <c r="BD23" i="2"/>
  <c r="K23" i="2"/>
  <c r="A23" i="2"/>
  <c r="BD22" i="2"/>
  <c r="K22" i="2"/>
  <c r="A22" i="2"/>
  <c r="BD21" i="2"/>
  <c r="K21" i="2"/>
  <c r="A21" i="2"/>
  <c r="BD20" i="2"/>
  <c r="K20" i="2"/>
  <c r="A20" i="2"/>
  <c r="BD19" i="2"/>
  <c r="K19" i="2"/>
  <c r="A19" i="2"/>
  <c r="BD18" i="2"/>
  <c r="K18" i="2"/>
  <c r="A18" i="2"/>
  <c r="BD17" i="2"/>
  <c r="K17" i="2"/>
  <c r="A17" i="2"/>
  <c r="BD16" i="2"/>
  <c r="K16" i="2"/>
  <c r="A16" i="2"/>
  <c r="BD15" i="2"/>
  <c r="K15" i="2"/>
  <c r="A15" i="2"/>
  <c r="BD14" i="2"/>
  <c r="K14" i="2"/>
  <c r="A14" i="2"/>
  <c r="BD13" i="2"/>
  <c r="K13" i="2"/>
  <c r="A13" i="2"/>
  <c r="BD12" i="2"/>
  <c r="K12" i="2"/>
  <c r="A12" i="2"/>
  <c r="BD11" i="2"/>
  <c r="K11" i="2"/>
  <c r="A11" i="2"/>
  <c r="BD10" i="2"/>
  <c r="K10" i="2"/>
  <c r="A10" i="2"/>
  <c r="BD9" i="2"/>
  <c r="K9" i="2"/>
  <c r="A9" i="2"/>
  <c r="BD8" i="2"/>
  <c r="K8" i="2"/>
  <c r="A8" i="2"/>
  <c r="BD7" i="2"/>
  <c r="K7" i="2"/>
  <c r="A7" i="2"/>
  <c r="BD6" i="2"/>
  <c r="K6" i="2"/>
  <c r="A6" i="2"/>
  <c r="BD5" i="2"/>
  <c r="K5" i="2"/>
  <c r="A5" i="2"/>
  <c r="BD4" i="2"/>
  <c r="K4" i="2"/>
  <c r="A4" i="2"/>
  <c r="BD3" i="2"/>
  <c r="K3" i="2"/>
  <c r="A3" i="2"/>
  <c r="BD2" i="2"/>
  <c r="K2" i="2"/>
  <c r="A2" i="2"/>
</calcChain>
</file>

<file path=xl/sharedStrings.xml><?xml version="1.0" encoding="utf-8"?>
<sst xmlns="http://schemas.openxmlformats.org/spreadsheetml/2006/main" count="22297" uniqueCount="5040">
  <si>
    <t>BATS</t>
  </si>
  <si>
    <t>THROWS</t>
  </si>
  <si>
    <t>HEIGHT</t>
  </si>
  <si>
    <t>WEIGHT</t>
  </si>
  <si>
    <t>YEAR</t>
  </si>
  <si>
    <t>TEAM</t>
  </si>
  <si>
    <t>LVL</t>
  </si>
  <si>
    <t>AGE</t>
  </si>
  <si>
    <t>W</t>
  </si>
  <si>
    <t>L</t>
  </si>
  <si>
    <t>SV</t>
  </si>
  <si>
    <t>G</t>
  </si>
  <si>
    <t>GS</t>
  </si>
  <si>
    <t>IP</t>
  </si>
  <si>
    <t>H</t>
  </si>
  <si>
    <t>HR</t>
  </si>
  <si>
    <t>BB</t>
  </si>
  <si>
    <t>SO</t>
  </si>
  <si>
    <t>BB9</t>
  </si>
  <si>
    <t>SO9</t>
  </si>
  <si>
    <t>GB_PERCENT</t>
  </si>
  <si>
    <t>BABIP</t>
  </si>
  <si>
    <t>WHIP</t>
  </si>
  <si>
    <t>ERA</t>
  </si>
  <si>
    <t>WARP</t>
  </si>
  <si>
    <t>BREAKOUT</t>
  </si>
  <si>
    <t>IMPROVE</t>
  </si>
  <si>
    <t>COLLAPSE</t>
  </si>
  <si>
    <t>ATTRITION</t>
  </si>
  <si>
    <t>COMPARABLES</t>
  </si>
  <si>
    <t>ML_PCT</t>
  </si>
  <si>
    <t>DC_FL</t>
  </si>
  <si>
    <t>MLBCODE</t>
  </si>
  <si>
    <t>R</t>
  </si>
  <si>
    <t>MLB</t>
  </si>
  <si>
    <t>T</t>
  </si>
  <si>
    <t>F</t>
  </si>
  <si>
    <t>B</t>
  </si>
  <si>
    <t>BPID</t>
  </si>
  <si>
    <t>POS</t>
  </si>
  <si>
    <t>PA</t>
  </si>
  <si>
    <t>RBI</t>
  </si>
  <si>
    <t>SB</t>
  </si>
  <si>
    <t>CS</t>
  </si>
  <si>
    <t>AVG</t>
  </si>
  <si>
    <t>OBP</t>
  </si>
  <si>
    <t>SLG</t>
  </si>
  <si>
    <t>TAv</t>
  </si>
  <si>
    <t>BRR</t>
  </si>
  <si>
    <t>FRAA</t>
  </si>
  <si>
    <t>1B</t>
  </si>
  <si>
    <t>3B</t>
  </si>
  <si>
    <t>3B 1</t>
  </si>
  <si>
    <t>SS</t>
  </si>
  <si>
    <t xml:space="preserve">C </t>
  </si>
  <si>
    <t>C -0</t>
  </si>
  <si>
    <t>3B -1</t>
  </si>
  <si>
    <t>RF</t>
  </si>
  <si>
    <t>2B</t>
  </si>
  <si>
    <t>LF</t>
  </si>
  <si>
    <t>C -1</t>
  </si>
  <si>
    <t>SS 0</t>
  </si>
  <si>
    <t>C 1</t>
  </si>
  <si>
    <t>SS -3</t>
  </si>
  <si>
    <t>1B -1</t>
  </si>
  <si>
    <t>CF</t>
  </si>
  <si>
    <t>CF 1</t>
  </si>
  <si>
    <t>SS 2</t>
  </si>
  <si>
    <t>1B 2</t>
  </si>
  <si>
    <t>2B 1</t>
  </si>
  <si>
    <t>LF -1, RF 0</t>
  </si>
  <si>
    <t>C 0</t>
  </si>
  <si>
    <t>CF -1</t>
  </si>
  <si>
    <t>SS -1</t>
  </si>
  <si>
    <t>SS -0</t>
  </si>
  <si>
    <t>SS 1</t>
  </si>
  <si>
    <t>SS 0, 2B -0</t>
  </si>
  <si>
    <t>1B 1</t>
  </si>
  <si>
    <t>RF -1</t>
  </si>
  <si>
    <t>2B -3</t>
  </si>
  <si>
    <t>3B -4</t>
  </si>
  <si>
    <t>CF -2</t>
  </si>
  <si>
    <t>CF -1, RF 0</t>
  </si>
  <si>
    <t>CF -1, LF 0</t>
  </si>
  <si>
    <t>SS 3</t>
  </si>
  <si>
    <t>Playing time for players where DC_FL is "T" is a reflection of that player's expected playing time in the major leagues according to the depth charts; all other playing time figures are for illustration, and not a reflection of expected playing time.</t>
  </si>
  <si>
    <t>LASTNAME</t>
  </si>
  <si>
    <t>FIRSTNAME</t>
  </si>
  <si>
    <t>LG</t>
  </si>
  <si>
    <t>AB</t>
  </si>
  <si>
    <t>TB</t>
  </si>
  <si>
    <t>HBP</t>
  </si>
  <si>
    <t>VORP</t>
  </si>
  <si>
    <t>Abreu</t>
  </si>
  <si>
    <t>Bobby</t>
  </si>
  <si>
    <t>AL</t>
  </si>
  <si>
    <t>Ackley</t>
  </si>
  <si>
    <t>Dustin</t>
  </si>
  <si>
    <t>Adames</t>
  </si>
  <si>
    <t>Cristhian</t>
  </si>
  <si>
    <t>NL</t>
  </si>
  <si>
    <t>Adams</t>
  </si>
  <si>
    <t>Ryan</t>
  </si>
  <si>
    <t>David</t>
  </si>
  <si>
    <t>Matt</t>
  </si>
  <si>
    <t>Adrianza</t>
  </si>
  <si>
    <t>Ehire</t>
  </si>
  <si>
    <t>Ahmed</t>
  </si>
  <si>
    <t>Nick</t>
  </si>
  <si>
    <t>Jordan</t>
  </si>
  <si>
    <t>Alfaro</t>
  </si>
  <si>
    <t>Jorge</t>
  </si>
  <si>
    <t>Allen</t>
  </si>
  <si>
    <t>Brandon</t>
  </si>
  <si>
    <t>Almonte</t>
  </si>
  <si>
    <t>Erick</t>
  </si>
  <si>
    <t>Alonso</t>
  </si>
  <si>
    <t>Yonder</t>
  </si>
  <si>
    <t>Altuve</t>
  </si>
  <si>
    <t>Jose</t>
  </si>
  <si>
    <t>Alvarez</t>
  </si>
  <si>
    <t>Pedro</t>
  </si>
  <si>
    <t>Amarista</t>
  </si>
  <si>
    <t>Alexi</t>
  </si>
  <si>
    <t>Anderson</t>
  </si>
  <si>
    <t>Jacob</t>
  </si>
  <si>
    <t>Bryan</t>
  </si>
  <si>
    <t>Robert</t>
  </si>
  <si>
    <t>Andrus</t>
  </si>
  <si>
    <t>Elvis</t>
  </si>
  <si>
    <t>Rick</t>
  </si>
  <si>
    <t>Arcia</t>
  </si>
  <si>
    <t>Oswaldo</t>
  </si>
  <si>
    <t>Arenado</t>
  </si>
  <si>
    <t>Nolan</t>
  </si>
  <si>
    <t>J.P.</t>
  </si>
  <si>
    <t>Austin</t>
  </si>
  <si>
    <t>Jay</t>
  </si>
  <si>
    <t>Chase</t>
  </si>
  <si>
    <t>Xavier</t>
  </si>
  <si>
    <t>Avila</t>
  </si>
  <si>
    <t>Alex</t>
  </si>
  <si>
    <t>Mike</t>
  </si>
  <si>
    <t>Aybar</t>
  </si>
  <si>
    <t>Baez</t>
  </si>
  <si>
    <t>Javier</t>
  </si>
  <si>
    <t>Jeff</t>
  </si>
  <si>
    <t>Baker</t>
  </si>
  <si>
    <t>John</t>
  </si>
  <si>
    <t>James</t>
  </si>
  <si>
    <t>Josh</t>
  </si>
  <si>
    <t>Clint</t>
  </si>
  <si>
    <t>Barney</t>
  </si>
  <si>
    <t>Darwin</t>
  </si>
  <si>
    <t>Barnhart</t>
  </si>
  <si>
    <t>Tucker</t>
  </si>
  <si>
    <t>Jason</t>
  </si>
  <si>
    <t>Bautista</t>
  </si>
  <si>
    <t>Beckham</t>
  </si>
  <si>
    <t>Tim</t>
  </si>
  <si>
    <t>Gordon</t>
  </si>
  <si>
    <t>Bell</t>
  </si>
  <si>
    <t>Vincent</t>
  </si>
  <si>
    <t>Belt</t>
  </si>
  <si>
    <t>Beltran</t>
  </si>
  <si>
    <t>Carlos</t>
  </si>
  <si>
    <t>Beltre</t>
  </si>
  <si>
    <t>Adrian</t>
  </si>
  <si>
    <t>Engel</t>
  </si>
  <si>
    <t>Joe</t>
  </si>
  <si>
    <t>Lance</t>
  </si>
  <si>
    <t>Wilson</t>
  </si>
  <si>
    <t>Christian</t>
  </si>
  <si>
    <t>Brian</t>
  </si>
  <si>
    <t>Blackmon</t>
  </si>
  <si>
    <t>Charlie</t>
  </si>
  <si>
    <t>Blake</t>
  </si>
  <si>
    <t>Casey</t>
  </si>
  <si>
    <t>Blanco</t>
  </si>
  <si>
    <t>Henry</t>
  </si>
  <si>
    <t>Andres</t>
  </si>
  <si>
    <t>Michael</t>
  </si>
  <si>
    <t>Kyle</t>
  </si>
  <si>
    <t>Willie</t>
  </si>
  <si>
    <t>Bogaerts</t>
  </si>
  <si>
    <t>Xander</t>
  </si>
  <si>
    <t>Bonifacio</t>
  </si>
  <si>
    <t>Emilio</t>
  </si>
  <si>
    <t>Bonilla</t>
  </si>
  <si>
    <t>Leury</t>
  </si>
  <si>
    <t>Julio</t>
  </si>
  <si>
    <t>Bourjos</t>
  </si>
  <si>
    <t>Peter</t>
  </si>
  <si>
    <t>Bourn</t>
  </si>
  <si>
    <t>Bradley</t>
  </si>
  <si>
    <t>Brantley</t>
  </si>
  <si>
    <t>Russell</t>
  </si>
  <si>
    <t>Braun</t>
  </si>
  <si>
    <t>Brentz</t>
  </si>
  <si>
    <t>Bryce</t>
  </si>
  <si>
    <t>Brett</t>
  </si>
  <si>
    <t>Brown</t>
  </si>
  <si>
    <t>Corey</t>
  </si>
  <si>
    <t>Gary</t>
  </si>
  <si>
    <t>Andrew</t>
  </si>
  <si>
    <t>Bruce</t>
  </si>
  <si>
    <t>Buck</t>
  </si>
  <si>
    <t>Travis</t>
  </si>
  <si>
    <t>Sean</t>
  </si>
  <si>
    <t>Butera</t>
  </si>
  <si>
    <t>Drew</t>
  </si>
  <si>
    <t>Butler</t>
  </si>
  <si>
    <t>Joey</t>
  </si>
  <si>
    <t>Billy</t>
  </si>
  <si>
    <t>Cabrera</t>
  </si>
  <si>
    <t>Orlando</t>
  </si>
  <si>
    <t>Melky</t>
  </si>
  <si>
    <t>Asdrubal</t>
  </si>
  <si>
    <t>Miguel</t>
  </si>
  <si>
    <t>Cain</t>
  </si>
  <si>
    <t>Lorenzo</t>
  </si>
  <si>
    <t>Calhoun</t>
  </si>
  <si>
    <t>Kole</t>
  </si>
  <si>
    <t>Alberto</t>
  </si>
  <si>
    <t>Cameron</t>
  </si>
  <si>
    <t>Tony</t>
  </si>
  <si>
    <t>Robinson</t>
  </si>
  <si>
    <t>Mark</t>
  </si>
  <si>
    <t>Cano</t>
  </si>
  <si>
    <t>Carpenter</t>
  </si>
  <si>
    <t>Carrera</t>
  </si>
  <si>
    <t>Ezequiel</t>
  </si>
  <si>
    <t>Daniel</t>
  </si>
  <si>
    <t>Carter</t>
  </si>
  <si>
    <t>Chris</t>
  </si>
  <si>
    <t>Casilla</t>
  </si>
  <si>
    <t>Castellanos</t>
  </si>
  <si>
    <t>Castillo</t>
  </si>
  <si>
    <t>Welington</t>
  </si>
  <si>
    <t>Castro</t>
  </si>
  <si>
    <t>Starlin</t>
  </si>
  <si>
    <t>Ramon</t>
  </si>
  <si>
    <t>Cedeno</t>
  </si>
  <si>
    <t>Cervelli</t>
  </si>
  <si>
    <t>Francisco</t>
  </si>
  <si>
    <t>Evan</t>
  </si>
  <si>
    <t>Chavez</t>
  </si>
  <si>
    <t>Eric</t>
  </si>
  <si>
    <t>Chen</t>
  </si>
  <si>
    <t>Chirinos</t>
  </si>
  <si>
    <t>Chisenhall</t>
  </si>
  <si>
    <t>Lonnie</t>
  </si>
  <si>
    <t>Choo</t>
  </si>
  <si>
    <t>Shin-Soo</t>
  </si>
  <si>
    <t>Justin</t>
  </si>
  <si>
    <t>Steve</t>
  </si>
  <si>
    <t>Coghlan</t>
  </si>
  <si>
    <t>Collins</t>
  </si>
  <si>
    <t>Tyler</t>
  </si>
  <si>
    <t>Colon</t>
  </si>
  <si>
    <t>Brooks</t>
  </si>
  <si>
    <t>Craig</t>
  </si>
  <si>
    <t>Scott</t>
  </si>
  <si>
    <t>Cowart</t>
  </si>
  <si>
    <t>Kaleb</t>
  </si>
  <si>
    <t>Collin</t>
  </si>
  <si>
    <t>Zack</t>
  </si>
  <si>
    <t>Cozart</t>
  </si>
  <si>
    <t>Crawford</t>
  </si>
  <si>
    <t>Carl</t>
  </si>
  <si>
    <t>Cron</t>
  </si>
  <si>
    <t>C.J.</t>
  </si>
  <si>
    <t>Trevor</t>
  </si>
  <si>
    <t>Cruz</t>
  </si>
  <si>
    <t>Nelson</t>
  </si>
  <si>
    <t>Culberson</t>
  </si>
  <si>
    <t>Todd</t>
  </si>
  <si>
    <t>Aaron</t>
  </si>
  <si>
    <t>Jack</t>
  </si>
  <si>
    <t>Cuthbert</t>
  </si>
  <si>
    <t>Cheslor</t>
  </si>
  <si>
    <t>d'Arnaud</t>
  </si>
  <si>
    <t>Johnny</t>
  </si>
  <si>
    <t>Davidson</t>
  </si>
  <si>
    <t>Davis</t>
  </si>
  <si>
    <t>Brad</t>
  </si>
  <si>
    <t>Rajai</t>
  </si>
  <si>
    <t>Khris</t>
  </si>
  <si>
    <t>De Aza</t>
  </si>
  <si>
    <t>Alejandro</t>
  </si>
  <si>
    <t>Ivan</t>
  </si>
  <si>
    <t>Decker</t>
  </si>
  <si>
    <t>Jaff</t>
  </si>
  <si>
    <t>Descalso</t>
  </si>
  <si>
    <t>DeShields</t>
  </si>
  <si>
    <t>Delino</t>
  </si>
  <si>
    <t>Desmond</t>
  </si>
  <si>
    <t>Ian</t>
  </si>
  <si>
    <t>Diaz</t>
  </si>
  <si>
    <t>Dickerson</t>
  </si>
  <si>
    <t>Dietrich</t>
  </si>
  <si>
    <t>Derek</t>
  </si>
  <si>
    <t>Greg</t>
  </si>
  <si>
    <t>Dominguez</t>
  </si>
  <si>
    <t>Luis</t>
  </si>
  <si>
    <t>Donaldson</t>
  </si>
  <si>
    <t>Dozier</t>
  </si>
  <si>
    <t>J.D.</t>
  </si>
  <si>
    <t>Stephen</t>
  </si>
  <si>
    <t>Drury</t>
  </si>
  <si>
    <t>Duda</t>
  </si>
  <si>
    <t>Lucas</t>
  </si>
  <si>
    <t>Dunn</t>
  </si>
  <si>
    <t>Adam</t>
  </si>
  <si>
    <t>Juan</t>
  </si>
  <si>
    <t>Dyson</t>
  </si>
  <si>
    <t>Jarrod</t>
  </si>
  <si>
    <t>Eaton</t>
  </si>
  <si>
    <t>Ellis</t>
  </si>
  <si>
    <t>A.J.</t>
  </si>
  <si>
    <t>Ellsbury</t>
  </si>
  <si>
    <t>Jacoby</t>
  </si>
  <si>
    <t>Encarnacion</t>
  </si>
  <si>
    <t>Edwin</t>
  </si>
  <si>
    <t>Escobar</t>
  </si>
  <si>
    <t>Alcides</t>
  </si>
  <si>
    <t>Yunel</t>
  </si>
  <si>
    <t>Eduardo</t>
  </si>
  <si>
    <t>Espinosa</t>
  </si>
  <si>
    <t>Danny</t>
  </si>
  <si>
    <t>Ethier</t>
  </si>
  <si>
    <t>Andre</t>
  </si>
  <si>
    <t>Tommy</t>
  </si>
  <si>
    <t>Fields</t>
  </si>
  <si>
    <t>Flaherty</t>
  </si>
  <si>
    <t>Flores</t>
  </si>
  <si>
    <t>Wilmer</t>
  </si>
  <si>
    <t>Jesus</t>
  </si>
  <si>
    <t>Flowers</t>
  </si>
  <si>
    <t>Darren</t>
  </si>
  <si>
    <t>Forsythe</t>
  </si>
  <si>
    <t>Logan</t>
  </si>
  <si>
    <t>Fowler</t>
  </si>
  <si>
    <t>Dexter</t>
  </si>
  <si>
    <t>Jake</t>
  </si>
  <si>
    <t>Ben</t>
  </si>
  <si>
    <t>Franco</t>
  </si>
  <si>
    <t>Maikel</t>
  </si>
  <si>
    <t>Franklin</t>
  </si>
  <si>
    <t>Frazier</t>
  </si>
  <si>
    <t>Freeman</t>
  </si>
  <si>
    <t>Freddie</t>
  </si>
  <si>
    <t>Freese</t>
  </si>
  <si>
    <t>Sam</t>
  </si>
  <si>
    <t>Rafael</t>
  </si>
  <si>
    <t>Jonathan</t>
  </si>
  <si>
    <t>Galvis</t>
  </si>
  <si>
    <t>Freddy</t>
  </si>
  <si>
    <t>Mat</t>
  </si>
  <si>
    <t>Garcia</t>
  </si>
  <si>
    <t>Avisail</t>
  </si>
  <si>
    <t>Gardner</t>
  </si>
  <si>
    <t>Cole</t>
  </si>
  <si>
    <t>Wade</t>
  </si>
  <si>
    <t>Gennett</t>
  </si>
  <si>
    <t>Scooter</t>
  </si>
  <si>
    <t>Gentry</t>
  </si>
  <si>
    <t>Giavotella</t>
  </si>
  <si>
    <t>Gibson</t>
  </si>
  <si>
    <t>Gillaspie</t>
  </si>
  <si>
    <t>Conor</t>
  </si>
  <si>
    <t>Gimenez</t>
  </si>
  <si>
    <t>Caleb</t>
  </si>
  <si>
    <t>Ross</t>
  </si>
  <si>
    <t>Jared</t>
  </si>
  <si>
    <t>Goldschmidt</t>
  </si>
  <si>
    <t>Paul</t>
  </si>
  <si>
    <t>Gomes</t>
  </si>
  <si>
    <t>Gomez</t>
  </si>
  <si>
    <t>Hector</t>
  </si>
  <si>
    <t>Gonzalez</t>
  </si>
  <si>
    <t>Edgar</t>
  </si>
  <si>
    <t>Marwin</t>
  </si>
  <si>
    <t>Dee</t>
  </si>
  <si>
    <t>Anthony</t>
  </si>
  <si>
    <t>Grandal</t>
  </si>
  <si>
    <t>Yasmani</t>
  </si>
  <si>
    <t>Granderson</t>
  </si>
  <si>
    <t>Curtis</t>
  </si>
  <si>
    <t>Green</t>
  </si>
  <si>
    <t>Grant</t>
  </si>
  <si>
    <t>Taylor</t>
  </si>
  <si>
    <t>Greene</t>
  </si>
  <si>
    <t>Gregorius</t>
  </si>
  <si>
    <t>Didi</t>
  </si>
  <si>
    <t>Grichuk</t>
  </si>
  <si>
    <t>Randal</t>
  </si>
  <si>
    <t>Robbie</t>
  </si>
  <si>
    <t>Gutierrez</t>
  </si>
  <si>
    <t>Guyer</t>
  </si>
  <si>
    <t>Guzman</t>
  </si>
  <si>
    <t>Gyorko</t>
  </si>
  <si>
    <t>Jedd</t>
  </si>
  <si>
    <t>Jerry</t>
  </si>
  <si>
    <t>Hall</t>
  </si>
  <si>
    <t>Hamilton</t>
  </si>
  <si>
    <t>Hanigan</t>
  </si>
  <si>
    <t>Hardy</t>
  </si>
  <si>
    <t>J.J.</t>
  </si>
  <si>
    <t>Harper</t>
  </si>
  <si>
    <t>Harris</t>
  </si>
  <si>
    <t>Brendan</t>
  </si>
  <si>
    <t>Harrison</t>
  </si>
  <si>
    <t>Hart</t>
  </si>
  <si>
    <t>Reese</t>
  </si>
  <si>
    <t>Headley</t>
  </si>
  <si>
    <t>Hechavarria</t>
  </si>
  <si>
    <t>Adeiny</t>
  </si>
  <si>
    <t>Heisey</t>
  </si>
  <si>
    <t>Jeremy</t>
  </si>
  <si>
    <t>Hernandez</t>
  </si>
  <si>
    <t>Herrera</t>
  </si>
  <si>
    <t>Heyward</t>
  </si>
  <si>
    <t>Hicks</t>
  </si>
  <si>
    <t>Hill</t>
  </si>
  <si>
    <t>Holliday</t>
  </si>
  <si>
    <t>Holt</t>
  </si>
  <si>
    <t>Brock</t>
  </si>
  <si>
    <t>Hosmer</t>
  </si>
  <si>
    <t>Howard</t>
  </si>
  <si>
    <t>Hudson</t>
  </si>
  <si>
    <t>Hughes</t>
  </si>
  <si>
    <t>Luke</t>
  </si>
  <si>
    <t>Hundley</t>
  </si>
  <si>
    <t>Hunter</t>
  </si>
  <si>
    <t>Iannetta</t>
  </si>
  <si>
    <t>Raul</t>
  </si>
  <si>
    <t>Iglesias</t>
  </si>
  <si>
    <t>Omar</t>
  </si>
  <si>
    <t>Cesar</t>
  </si>
  <si>
    <t>Jackson</t>
  </si>
  <si>
    <t>Jaso</t>
  </si>
  <si>
    <t>Jon</t>
  </si>
  <si>
    <t>Jennings</t>
  </si>
  <si>
    <t>Jimenez</t>
  </si>
  <si>
    <t>Johnson</t>
  </si>
  <si>
    <t>Rob</t>
  </si>
  <si>
    <t>Kelly</t>
  </si>
  <si>
    <t>Reed</t>
  </si>
  <si>
    <t>Dan</t>
  </si>
  <si>
    <t>Jones</t>
  </si>
  <si>
    <t>Garrett</t>
  </si>
  <si>
    <t>Joseph</t>
  </si>
  <si>
    <t>Joyce</t>
  </si>
  <si>
    <t>Kemp</t>
  </si>
  <si>
    <t>Kendrick</t>
  </si>
  <si>
    <t>Kennedy</t>
  </si>
  <si>
    <t>Kepler</t>
  </si>
  <si>
    <t>Max</t>
  </si>
  <si>
    <t>Kevin</t>
  </si>
  <si>
    <t>Kinsler</t>
  </si>
  <si>
    <t>Kipnis</t>
  </si>
  <si>
    <t>Erik</t>
  </si>
  <si>
    <t>George</t>
  </si>
  <si>
    <t>Pete</t>
  </si>
  <si>
    <t>Marc</t>
  </si>
  <si>
    <t>La Stella</t>
  </si>
  <si>
    <t>Lagares</t>
  </si>
  <si>
    <t>Leon</t>
  </si>
  <si>
    <t>Lee</t>
  </si>
  <si>
    <t>LeMahieu</t>
  </si>
  <si>
    <t>DJ</t>
  </si>
  <si>
    <t>Lewis</t>
  </si>
  <si>
    <t>Brent</t>
  </si>
  <si>
    <t>Lind</t>
  </si>
  <si>
    <t>Liriano</t>
  </si>
  <si>
    <t>Rymer</t>
  </si>
  <si>
    <t>Marcus</t>
  </si>
  <si>
    <t>Lobaton</t>
  </si>
  <si>
    <t>Devin</t>
  </si>
  <si>
    <t>Loney</t>
  </si>
  <si>
    <t>Longoria</t>
  </si>
  <si>
    <t>Lopez</t>
  </si>
  <si>
    <t>Felipe</t>
  </si>
  <si>
    <t>Lowrie</t>
  </si>
  <si>
    <t>Jed</t>
  </si>
  <si>
    <t>Lucroy</t>
  </si>
  <si>
    <t>Zach</t>
  </si>
  <si>
    <t>Machado</t>
  </si>
  <si>
    <t>Manny</t>
  </si>
  <si>
    <t>Dixon</t>
  </si>
  <si>
    <t>Mitch</t>
  </si>
  <si>
    <t>Maldonado</t>
  </si>
  <si>
    <t>Martin</t>
  </si>
  <si>
    <t>Marisnick</t>
  </si>
  <si>
    <t>Markakis</t>
  </si>
  <si>
    <t>Marrero</t>
  </si>
  <si>
    <t>Marte</t>
  </si>
  <si>
    <t>Starling</t>
  </si>
  <si>
    <t>Leonys</t>
  </si>
  <si>
    <t>Martinez</t>
  </si>
  <si>
    <t>Fernando</t>
  </si>
  <si>
    <t>Victor</t>
  </si>
  <si>
    <t>Mathis</t>
  </si>
  <si>
    <t>Mauer</t>
  </si>
  <si>
    <t>Maxwell</t>
  </si>
  <si>
    <t>Maybin</t>
  </si>
  <si>
    <t>McCann</t>
  </si>
  <si>
    <t>McCutchen</t>
  </si>
  <si>
    <t>Nate</t>
  </si>
  <si>
    <t>Dallas</t>
  </si>
  <si>
    <t>Mercer</t>
  </si>
  <si>
    <t>Jordy</t>
  </si>
  <si>
    <t>Mesoraco</t>
  </si>
  <si>
    <t>Middlebrooks</t>
  </si>
  <si>
    <t>Will</t>
  </si>
  <si>
    <t>Miller</t>
  </si>
  <si>
    <t>Sergio</t>
  </si>
  <si>
    <t>Mitchell</t>
  </si>
  <si>
    <t>Molina</t>
  </si>
  <si>
    <t>Yadier</t>
  </si>
  <si>
    <t>Montero</t>
  </si>
  <si>
    <t>Moore</t>
  </si>
  <si>
    <t>Morales</t>
  </si>
  <si>
    <t>Kendrys</t>
  </si>
  <si>
    <t>Moreland</t>
  </si>
  <si>
    <t>Morgan</t>
  </si>
  <si>
    <t>Morris</t>
  </si>
  <si>
    <t>Morrison</t>
  </si>
  <si>
    <t>Morse</t>
  </si>
  <si>
    <t>Moss</t>
  </si>
  <si>
    <t>Moustakas</t>
  </si>
  <si>
    <t>Murphy</t>
  </si>
  <si>
    <t>Donnie</t>
  </si>
  <si>
    <t>Myers</t>
  </si>
  <si>
    <t>Wil</t>
  </si>
  <si>
    <t>Napoli</t>
  </si>
  <si>
    <t>Navarro</t>
  </si>
  <si>
    <t>Thomas</t>
  </si>
  <si>
    <t>Nieuwenhuis</t>
  </si>
  <si>
    <t>Kirk</t>
  </si>
  <si>
    <t>Jayson</t>
  </si>
  <si>
    <t>Norris</t>
  </si>
  <si>
    <t>Nunez</t>
  </si>
  <si>
    <t>Ortiz</t>
  </si>
  <si>
    <t>Owings</t>
  </si>
  <si>
    <t>Ozuna</t>
  </si>
  <si>
    <t>Marcell</t>
  </si>
  <si>
    <t>Pagan</t>
  </si>
  <si>
    <t>Angel</t>
  </si>
  <si>
    <t>Panik</t>
  </si>
  <si>
    <t>Paredes</t>
  </si>
  <si>
    <t>Jimmy</t>
  </si>
  <si>
    <t>Parker</t>
  </si>
  <si>
    <t>Parra</t>
  </si>
  <si>
    <t>Gerardo</t>
  </si>
  <si>
    <t>Paulino</t>
  </si>
  <si>
    <t>Pearce</t>
  </si>
  <si>
    <t>Pederson</t>
  </si>
  <si>
    <t>Joc</t>
  </si>
  <si>
    <t>Pedroia</t>
  </si>
  <si>
    <t>Pena</t>
  </si>
  <si>
    <t>Brayan</t>
  </si>
  <si>
    <t>Pence</t>
  </si>
  <si>
    <t>Pennington</t>
  </si>
  <si>
    <t>Cliff</t>
  </si>
  <si>
    <t>Peralta</t>
  </si>
  <si>
    <t>Jhonny</t>
  </si>
  <si>
    <t>Perez</t>
  </si>
  <si>
    <t>Salvador</t>
  </si>
  <si>
    <t>Hernan</t>
  </si>
  <si>
    <t>Noah</t>
  </si>
  <si>
    <t>Phegley</t>
  </si>
  <si>
    <t>Phelps</t>
  </si>
  <si>
    <t>Phillips</t>
  </si>
  <si>
    <t>Felix</t>
  </si>
  <si>
    <t>Plouffe</t>
  </si>
  <si>
    <t>Polanco</t>
  </si>
  <si>
    <t>Pollock</t>
  </si>
  <si>
    <t>Posey</t>
  </si>
  <si>
    <t>Buster</t>
  </si>
  <si>
    <t>Prado</t>
  </si>
  <si>
    <t>Profar</t>
  </si>
  <si>
    <t>Jurickson</t>
  </si>
  <si>
    <t>Cody</t>
  </si>
  <si>
    <t>Pujols</t>
  </si>
  <si>
    <t>Albert</t>
  </si>
  <si>
    <t>Raburn</t>
  </si>
  <si>
    <t>Ramirez</t>
  </si>
  <si>
    <t>Aramis</t>
  </si>
  <si>
    <t>Hanley</t>
  </si>
  <si>
    <t>Ramos</t>
  </si>
  <si>
    <t>Rasmus</t>
  </si>
  <si>
    <t>Colby</t>
  </si>
  <si>
    <t>Realmuto</t>
  </si>
  <si>
    <t>Recker</t>
  </si>
  <si>
    <t>Reddick</t>
  </si>
  <si>
    <t>Revere</t>
  </si>
  <si>
    <t>Reyes</t>
  </si>
  <si>
    <t>Reynolds</t>
  </si>
  <si>
    <t>Edinson</t>
  </si>
  <si>
    <t>Rios</t>
  </si>
  <si>
    <t>Rivera</t>
  </si>
  <si>
    <t>Rene</t>
  </si>
  <si>
    <t>Rivero</t>
  </si>
  <si>
    <t>Rizzo</t>
  </si>
  <si>
    <t>Shane</t>
  </si>
  <si>
    <t>Rodriguez</t>
  </si>
  <si>
    <t>Romine</t>
  </si>
  <si>
    <t>Rosario</t>
  </si>
  <si>
    <t>Eddie</t>
  </si>
  <si>
    <t>Ruggiano</t>
  </si>
  <si>
    <t>Ruiz</t>
  </si>
  <si>
    <t>Rutledge</t>
  </si>
  <si>
    <t>Sale</t>
  </si>
  <si>
    <t>Saltalamacchia</t>
  </si>
  <si>
    <t>Sanchez</t>
  </si>
  <si>
    <t>Sandoval</t>
  </si>
  <si>
    <t>Pablo</t>
  </si>
  <si>
    <t>Sano</t>
  </si>
  <si>
    <t>Santana</t>
  </si>
  <si>
    <t>Domingo</t>
  </si>
  <si>
    <t>Santiago</t>
  </si>
  <si>
    <t>Saunders</t>
  </si>
  <si>
    <t>Schoop</t>
  </si>
  <si>
    <t>Marco</t>
  </si>
  <si>
    <t>Seager</t>
  </si>
  <si>
    <t>Segura</t>
  </si>
  <si>
    <t>Jean</t>
  </si>
  <si>
    <t>Shoemaker</t>
  </si>
  <si>
    <t>Shuck</t>
  </si>
  <si>
    <t>J.B.</t>
  </si>
  <si>
    <t>Sierra</t>
  </si>
  <si>
    <t>Alfredo</t>
  </si>
  <si>
    <t>Simmons</t>
  </si>
  <si>
    <t>Andrelton</t>
  </si>
  <si>
    <t>Singleton</t>
  </si>
  <si>
    <t>Smith</t>
  </si>
  <si>
    <t>Seth</t>
  </si>
  <si>
    <t>Smoak</t>
  </si>
  <si>
    <t>Sogard</t>
  </si>
  <si>
    <t>Solano</t>
  </si>
  <si>
    <t>Soto</t>
  </si>
  <si>
    <t>Geovany</t>
  </si>
  <si>
    <t>Neftali</t>
  </si>
  <si>
    <t>Span</t>
  </si>
  <si>
    <t>Denard</t>
  </si>
  <si>
    <t>Spangenberg</t>
  </si>
  <si>
    <t>Cory</t>
  </si>
  <si>
    <t>Springer</t>
  </si>
  <si>
    <t>Stanton</t>
  </si>
  <si>
    <t>Stassi</t>
  </si>
  <si>
    <t>Stewart</t>
  </si>
  <si>
    <t>Stubbs</t>
  </si>
  <si>
    <t>Suarez</t>
  </si>
  <si>
    <t>Eugenio</t>
  </si>
  <si>
    <t>Suzuki</t>
  </si>
  <si>
    <t>Kurt</t>
  </si>
  <si>
    <t>Ichiro</t>
  </si>
  <si>
    <t>Matthew</t>
  </si>
  <si>
    <t>Szczur</t>
  </si>
  <si>
    <t>Oscar</t>
  </si>
  <si>
    <t>Tejada</t>
  </si>
  <si>
    <t>Ruben</t>
  </si>
  <si>
    <t>Jim</t>
  </si>
  <si>
    <t>Thompson</t>
  </si>
  <si>
    <t>Trayce</t>
  </si>
  <si>
    <t>Torres</t>
  </si>
  <si>
    <t>J.R.</t>
  </si>
  <si>
    <t>Trout</t>
  </si>
  <si>
    <t>Trumbo</t>
  </si>
  <si>
    <t>Tulowitzki</t>
  </si>
  <si>
    <t>Troy</t>
  </si>
  <si>
    <t>Turner</t>
  </si>
  <si>
    <t>Upton</t>
  </si>
  <si>
    <t>Utley</t>
  </si>
  <si>
    <t>Valbuena</t>
  </si>
  <si>
    <t>Valencia</t>
  </si>
  <si>
    <t>Van Slyke</t>
  </si>
  <si>
    <t>Vidal</t>
  </si>
  <si>
    <t>Villanueva</t>
  </si>
  <si>
    <t>Villar</t>
  </si>
  <si>
    <t>Vogt</t>
  </si>
  <si>
    <t>Votto</t>
  </si>
  <si>
    <t>Walker</t>
  </si>
  <si>
    <t>Neil</t>
  </si>
  <si>
    <t>Werth</t>
  </si>
  <si>
    <t>Wheeler</t>
  </si>
  <si>
    <t>Wieters</t>
  </si>
  <si>
    <t>Ty</t>
  </si>
  <si>
    <t>Williams</t>
  </si>
  <si>
    <t>Mason</t>
  </si>
  <si>
    <t>Wolters</t>
  </si>
  <si>
    <t>Abad</t>
  </si>
  <si>
    <t>Nathan</t>
  </si>
  <si>
    <t>Albers</t>
  </si>
  <si>
    <t>Allie</t>
  </si>
  <si>
    <t>Stetson</t>
  </si>
  <si>
    <t>Henderson</t>
  </si>
  <si>
    <t>Archer</t>
  </si>
  <si>
    <t>Arrieta</t>
  </si>
  <si>
    <t>Arroyo</t>
  </si>
  <si>
    <t>Bronson</t>
  </si>
  <si>
    <t>Avilan</t>
  </si>
  <si>
    <t>Dylan</t>
  </si>
  <si>
    <t>Axford</t>
  </si>
  <si>
    <t>Bailey</t>
  </si>
  <si>
    <t>Homer</t>
  </si>
  <si>
    <t>Banuelos</t>
  </si>
  <si>
    <t>Barnes</t>
  </si>
  <si>
    <t>Antonio</t>
  </si>
  <si>
    <t>Bauer</t>
  </si>
  <si>
    <t>Beck</t>
  </si>
  <si>
    <t>Chad</t>
  </si>
  <si>
    <t>Ronald</t>
  </si>
  <si>
    <t>Belisle</t>
  </si>
  <si>
    <t>Heath</t>
  </si>
  <si>
    <t>Duane</t>
  </si>
  <si>
    <t>Benoit</t>
  </si>
  <si>
    <t>Joaquin</t>
  </si>
  <si>
    <t>Betances</t>
  </si>
  <si>
    <t>Dellin</t>
  </si>
  <si>
    <t>Bettis</t>
  </si>
  <si>
    <t>Biddle</t>
  </si>
  <si>
    <t>Jesse</t>
  </si>
  <si>
    <t>Blackburn</t>
  </si>
  <si>
    <t>Clayton</t>
  </si>
  <si>
    <t>Blevins</t>
  </si>
  <si>
    <t>Boxberger</t>
  </si>
  <si>
    <t>Brach</t>
  </si>
  <si>
    <t>Britton</t>
  </si>
  <si>
    <t>Drake</t>
  </si>
  <si>
    <t>Broxton</t>
  </si>
  <si>
    <t>Buchholz</t>
  </si>
  <si>
    <t>Clay</t>
  </si>
  <si>
    <t>Bumgarner</t>
  </si>
  <si>
    <t>Madison</t>
  </si>
  <si>
    <t>Bundy</t>
  </si>
  <si>
    <t>Burns</t>
  </si>
  <si>
    <t>Tanner</t>
  </si>
  <si>
    <t>Cahill</t>
  </si>
  <si>
    <t>Shawn</t>
  </si>
  <si>
    <t>Campos</t>
  </si>
  <si>
    <t>Capps</t>
  </si>
  <si>
    <t>Carrasco</t>
  </si>
  <si>
    <t>D.J.</t>
  </si>
  <si>
    <t>Carson</t>
  </si>
  <si>
    <t>Cashner</t>
  </si>
  <si>
    <t>Simon</t>
  </si>
  <si>
    <t>Cecil</t>
  </si>
  <si>
    <t>Chacin</t>
  </si>
  <si>
    <t>Jhoulys</t>
  </si>
  <si>
    <t>Chapman</t>
  </si>
  <si>
    <t>Aroldis</t>
  </si>
  <si>
    <t>Chatwood</t>
  </si>
  <si>
    <t>Randy</t>
  </si>
  <si>
    <t>Cingrani</t>
  </si>
  <si>
    <t>Cishek</t>
  </si>
  <si>
    <t>Clippard</t>
  </si>
  <si>
    <t>Cobb</t>
  </si>
  <si>
    <t>Phil</t>
  </si>
  <si>
    <t>Coleman</t>
  </si>
  <si>
    <t>Collmenter</t>
  </si>
  <si>
    <t>Colome</t>
  </si>
  <si>
    <t>Bartolo</t>
  </si>
  <si>
    <t>Contreras</t>
  </si>
  <si>
    <t>Corbin</t>
  </si>
  <si>
    <t>Patrick</t>
  </si>
  <si>
    <t>Cordero</t>
  </si>
  <si>
    <t>Cosart</t>
  </si>
  <si>
    <t>Jarred</t>
  </si>
  <si>
    <t>Cueto</t>
  </si>
  <si>
    <t>Doug</t>
  </si>
  <si>
    <t>Kelvin</t>
  </si>
  <si>
    <t>De La Rosa</t>
  </si>
  <si>
    <t>Rubby</t>
  </si>
  <si>
    <t>De Leon</t>
  </si>
  <si>
    <t>De Los Santos</t>
  </si>
  <si>
    <t>Samuel</t>
  </si>
  <si>
    <t>Delgado</t>
  </si>
  <si>
    <t>Randall</t>
  </si>
  <si>
    <t>Dickey</t>
  </si>
  <si>
    <t>R.A.</t>
  </si>
  <si>
    <t>Doolittle</t>
  </si>
  <si>
    <t>Duensing</t>
  </si>
  <si>
    <t>Duffy</t>
  </si>
  <si>
    <t>Duke</t>
  </si>
  <si>
    <t>Eovaldi</t>
  </si>
  <si>
    <t>Erlin</t>
  </si>
  <si>
    <t>Estrada</t>
  </si>
  <si>
    <t>Familia</t>
  </si>
  <si>
    <t>Jeurys</t>
  </si>
  <si>
    <t>Farquhar</t>
  </si>
  <si>
    <t>Feldman</t>
  </si>
  <si>
    <t>Feliz</t>
  </si>
  <si>
    <t>Fiers</t>
  </si>
  <si>
    <t>Fister</t>
  </si>
  <si>
    <t>Gavin</t>
  </si>
  <si>
    <t>Flynn</t>
  </si>
  <si>
    <t>Foltynewicz</t>
  </si>
  <si>
    <t>Friedrich</t>
  </si>
  <si>
    <t>Gallardo</t>
  </si>
  <si>
    <t>Yovani</t>
  </si>
  <si>
    <t>Jaime</t>
  </si>
  <si>
    <t>Garza</t>
  </si>
  <si>
    <t>Gearrin</t>
  </si>
  <si>
    <t>Gee</t>
  </si>
  <si>
    <t>Dillon</t>
  </si>
  <si>
    <t>Steven</t>
  </si>
  <si>
    <t>Sammy</t>
  </si>
  <si>
    <t>Gilmartin</t>
  </si>
  <si>
    <t>Graham</t>
  </si>
  <si>
    <t>Jeanmar</t>
  </si>
  <si>
    <t>Gio</t>
  </si>
  <si>
    <t>Tom</t>
  </si>
  <si>
    <t>Gray</t>
  </si>
  <si>
    <t>Sonny</t>
  </si>
  <si>
    <t>Gregerson</t>
  </si>
  <si>
    <t>Greinke</t>
  </si>
  <si>
    <t>Grilli</t>
  </si>
  <si>
    <t>Guerra</t>
  </si>
  <si>
    <t>Hamels</t>
  </si>
  <si>
    <t>Hammel</t>
  </si>
  <si>
    <t>Hand</t>
  </si>
  <si>
    <t>Hanson</t>
  </si>
  <si>
    <t>Happ</t>
  </si>
  <si>
    <t>J.A.</t>
  </si>
  <si>
    <t>Harvey</t>
  </si>
  <si>
    <t>Kris</t>
  </si>
  <si>
    <t>Hatcher</t>
  </si>
  <si>
    <t>Hawkins</t>
  </si>
  <si>
    <t>Hellickson</t>
  </si>
  <si>
    <t>Hembree</t>
  </si>
  <si>
    <t>Hendriks</t>
  </si>
  <si>
    <t>Liam</t>
  </si>
  <si>
    <t>Herrmann</t>
  </si>
  <si>
    <t>Rich</t>
  </si>
  <si>
    <t>Holland</t>
  </si>
  <si>
    <t>Hoover</t>
  </si>
  <si>
    <t>Howell</t>
  </si>
  <si>
    <t>Hutchison</t>
  </si>
  <si>
    <t>Gregory</t>
  </si>
  <si>
    <t>Jansen</t>
  </si>
  <si>
    <t>Kenley</t>
  </si>
  <si>
    <t>Jeffress</t>
  </si>
  <si>
    <t>Jepsen</t>
  </si>
  <si>
    <t>Ubaldo</t>
  </si>
  <si>
    <t>Kelley</t>
  </si>
  <si>
    <t>Kershaw</t>
  </si>
  <si>
    <t>Keuchel</t>
  </si>
  <si>
    <t>Kimbrel</t>
  </si>
  <si>
    <t>Kingham</t>
  </si>
  <si>
    <t>Kluber</t>
  </si>
  <si>
    <t>Koehler</t>
  </si>
  <si>
    <t>Kontos</t>
  </si>
  <si>
    <t>Lackey</t>
  </si>
  <si>
    <t>Lamb</t>
  </si>
  <si>
    <t>Latos</t>
  </si>
  <si>
    <t>Leake</t>
  </si>
  <si>
    <t>Pat</t>
  </si>
  <si>
    <t>Lester</t>
  </si>
  <si>
    <t>Locke</t>
  </si>
  <si>
    <t>Boone</t>
  </si>
  <si>
    <t>Lyles</t>
  </si>
  <si>
    <t>Lynn</t>
  </si>
  <si>
    <t>Marshall</t>
  </si>
  <si>
    <t>Masterson</t>
  </si>
  <si>
    <t>Mateo</t>
  </si>
  <si>
    <t>Matusz</t>
  </si>
  <si>
    <t>May</t>
  </si>
  <si>
    <t>McAllister</t>
  </si>
  <si>
    <t>McCarthy</t>
  </si>
  <si>
    <t>McGee</t>
  </si>
  <si>
    <t>McGowan</t>
  </si>
  <si>
    <t>Trey</t>
  </si>
  <si>
    <t>Medina</t>
  </si>
  <si>
    <t>Medlen</t>
  </si>
  <si>
    <t>Mejia</t>
  </si>
  <si>
    <t>Melancon</t>
  </si>
  <si>
    <t>Mendez</t>
  </si>
  <si>
    <t>Roman</t>
  </si>
  <si>
    <t>Miley</t>
  </si>
  <si>
    <t>Shelby</t>
  </si>
  <si>
    <t>Milone</t>
  </si>
  <si>
    <t>Minor</t>
  </si>
  <si>
    <t>Montgomery</t>
  </si>
  <si>
    <t>Morrow</t>
  </si>
  <si>
    <t>Morton</t>
  </si>
  <si>
    <t>Motte</t>
  </si>
  <si>
    <t>Neshek</t>
  </si>
  <si>
    <t>Nicasio</t>
  </si>
  <si>
    <t>Nolasco</t>
  </si>
  <si>
    <t>Ricky</t>
  </si>
  <si>
    <t>Bud</t>
  </si>
  <si>
    <t>Nova</t>
  </si>
  <si>
    <t>O'Day</t>
  </si>
  <si>
    <t>O'Flaherty</t>
  </si>
  <si>
    <t>Oliver</t>
  </si>
  <si>
    <t>Olson</t>
  </si>
  <si>
    <t>Ottavino</t>
  </si>
  <si>
    <t>Owens</t>
  </si>
  <si>
    <t>Micah</t>
  </si>
  <si>
    <t>Peacock</t>
  </si>
  <si>
    <t>Pelfrey</t>
  </si>
  <si>
    <t>Ariel</t>
  </si>
  <si>
    <t>Wily</t>
  </si>
  <si>
    <t>Perkins</t>
  </si>
  <si>
    <t>Glen</t>
  </si>
  <si>
    <t>Petricka</t>
  </si>
  <si>
    <t>Pineda</t>
  </si>
  <si>
    <t>Pomeranz</t>
  </si>
  <si>
    <t>Porcello</t>
  </si>
  <si>
    <t>Price</t>
  </si>
  <si>
    <t>Putnam</t>
  </si>
  <si>
    <t>Qualls</t>
  </si>
  <si>
    <t>Ray</t>
  </si>
  <si>
    <t>Addison</t>
  </si>
  <si>
    <t>Richard</t>
  </si>
  <si>
    <t>Richards</t>
  </si>
  <si>
    <t>Robertson</t>
  </si>
  <si>
    <t>Mauricio</t>
  </si>
  <si>
    <t>Rodney</t>
  </si>
  <si>
    <t>Rogers</t>
  </si>
  <si>
    <t>Romero</t>
  </si>
  <si>
    <t>Enny</t>
  </si>
  <si>
    <t>Romo</t>
  </si>
  <si>
    <t>Rondon</t>
  </si>
  <si>
    <t>Sandy</t>
  </si>
  <si>
    <t>Rosenthal</t>
  </si>
  <si>
    <t>Tyson</t>
  </si>
  <si>
    <t>Chance</t>
  </si>
  <si>
    <t>Rusin</t>
  </si>
  <si>
    <t>Rzepczynski</t>
  </si>
  <si>
    <t>Sabathia</t>
  </si>
  <si>
    <t>CC</t>
  </si>
  <si>
    <t>Salas</t>
  </si>
  <si>
    <t>Samardzija</t>
  </si>
  <si>
    <t>Anibal</t>
  </si>
  <si>
    <t>Ervin</t>
  </si>
  <si>
    <t>Johan</t>
  </si>
  <si>
    <t>Scheppers</t>
  </si>
  <si>
    <t>Scherzer</t>
  </si>
  <si>
    <t>Scribner</t>
  </si>
  <si>
    <t>Severino</t>
  </si>
  <si>
    <t>Shaw</t>
  </si>
  <si>
    <t>Shields</t>
  </si>
  <si>
    <t>Sipp</t>
  </si>
  <si>
    <t>Skaggs</t>
  </si>
  <si>
    <t>Smyly</t>
  </si>
  <si>
    <t>Manuel</t>
  </si>
  <si>
    <t>Solis</t>
  </si>
  <si>
    <t>Soria</t>
  </si>
  <si>
    <t>Joakim</t>
  </si>
  <si>
    <t>Storen</t>
  </si>
  <si>
    <t>Strasburg</t>
  </si>
  <si>
    <t>Street</t>
  </si>
  <si>
    <t>Huston</t>
  </si>
  <si>
    <t>Strop</t>
  </si>
  <si>
    <t>Syndergaard</t>
  </si>
  <si>
    <t>Tazawa</t>
  </si>
  <si>
    <t>Junichi</t>
  </si>
  <si>
    <t>Teheran</t>
  </si>
  <si>
    <t>Thornburg</t>
  </si>
  <si>
    <t>Tillman</t>
  </si>
  <si>
    <t>Tolleson</t>
  </si>
  <si>
    <t>Tomlin</t>
  </si>
  <si>
    <t>Tropeano</t>
  </si>
  <si>
    <t>Uehara</t>
  </si>
  <si>
    <t>Koji</t>
  </si>
  <si>
    <t>Vargas</t>
  </si>
  <si>
    <t>Verlander</t>
  </si>
  <si>
    <t>Vizcaino</t>
  </si>
  <si>
    <t>Arodys</t>
  </si>
  <si>
    <t>Volquez</t>
  </si>
  <si>
    <t>Wainwright</t>
  </si>
  <si>
    <t>Taijuan</t>
  </si>
  <si>
    <t>Wall</t>
  </si>
  <si>
    <t>Warren</t>
  </si>
  <si>
    <t>Watson</t>
  </si>
  <si>
    <t>Weaver</t>
  </si>
  <si>
    <t>Jered</t>
  </si>
  <si>
    <t>Webb</t>
  </si>
  <si>
    <t>White</t>
  </si>
  <si>
    <t>Asher</t>
  </si>
  <si>
    <t>Wood</t>
  </si>
  <si>
    <t>Workman</t>
  </si>
  <si>
    <t>Worley</t>
  </si>
  <si>
    <t>Vance</t>
  </si>
  <si>
    <t>Wright</t>
  </si>
  <si>
    <t>Ziegler</t>
  </si>
  <si>
    <t>Young</t>
  </si>
  <si>
    <t>Yan</t>
  </si>
  <si>
    <t>Zimmermann</t>
  </si>
  <si>
    <t>Players with little major league playing time have a "floor" of 250 plate appearances for readability.</t>
  </si>
  <si>
    <t>Zobrist</t>
  </si>
  <si>
    <t>Zimmerman</t>
  </si>
  <si>
    <t>Yelich</t>
  </si>
  <si>
    <t>Wong</t>
  </si>
  <si>
    <t>Kolten</t>
  </si>
  <si>
    <t>2B -0</t>
  </si>
  <si>
    <t>SH</t>
  </si>
  <si>
    <t>SF</t>
  </si>
  <si>
    <t>DP</t>
  </si>
  <si>
    <t>QS</t>
  </si>
  <si>
    <t>1B -0</t>
  </si>
  <si>
    <t>1B 0</t>
  </si>
  <si>
    <t>CF -2, LF 0</t>
  </si>
  <si>
    <t>LF 2</t>
  </si>
  <si>
    <t>SS -1, 2B -0</t>
  </si>
  <si>
    <t>3B 3</t>
  </si>
  <si>
    <t>3B -3</t>
  </si>
  <si>
    <t>3B 4</t>
  </si>
  <si>
    <t>CF 3</t>
  </si>
  <si>
    <t>SS -2</t>
  </si>
  <si>
    <t>LF -1</t>
  </si>
  <si>
    <t>CF -4</t>
  </si>
  <si>
    <t>LF -0</t>
  </si>
  <si>
    <t>C 2</t>
  </si>
  <si>
    <t>RF 3</t>
  </si>
  <si>
    <t>LF 0</t>
  </si>
  <si>
    <t>2B -1</t>
  </si>
  <si>
    <t>2B -4</t>
  </si>
  <si>
    <t>CF 0</t>
  </si>
  <si>
    <t>1B -2</t>
  </si>
  <si>
    <t>3B -2</t>
  </si>
  <si>
    <t>LF 1</t>
  </si>
  <si>
    <t>1B -3</t>
  </si>
  <si>
    <t>2B -2</t>
  </si>
  <si>
    <t>Gregor</t>
  </si>
  <si>
    <t>Aoki</t>
  </si>
  <si>
    <t>Cespedes</t>
  </si>
  <si>
    <t>Yoenis</t>
  </si>
  <si>
    <t>2B 0</t>
  </si>
  <si>
    <t>Giancarlo</t>
  </si>
  <si>
    <t>Wei-Yin</t>
  </si>
  <si>
    <t>Archie</t>
  </si>
  <si>
    <t>Fernandez</t>
  </si>
  <si>
    <t>Diekman</t>
  </si>
  <si>
    <t>Iwakuma</t>
  </si>
  <si>
    <t>Hisashi</t>
  </si>
  <si>
    <t>Darvish</t>
  </si>
  <si>
    <t>Yu</t>
  </si>
  <si>
    <t>Fulmer</t>
  </si>
  <si>
    <t>CF 1, LF 0</t>
  </si>
  <si>
    <t>RF -1, LF -0</t>
  </si>
  <si>
    <t>SS -0, 2B 0</t>
  </si>
  <si>
    <t>CF -3</t>
  </si>
  <si>
    <t>Mahtook</t>
  </si>
  <si>
    <t>Mikie</t>
  </si>
  <si>
    <t>Odor</t>
  </si>
  <si>
    <t>Rougned</t>
  </si>
  <si>
    <t>Hedges</t>
  </si>
  <si>
    <t>Lindor</t>
  </si>
  <si>
    <t>Story</t>
  </si>
  <si>
    <t>Swihart</t>
  </si>
  <si>
    <t>Nimmo</t>
  </si>
  <si>
    <t>Rendon</t>
  </si>
  <si>
    <t>Goodwin</t>
  </si>
  <si>
    <t>Roberto</t>
  </si>
  <si>
    <t>Chafin</t>
  </si>
  <si>
    <t>Stephenson</t>
  </si>
  <si>
    <t>Gerrit</t>
  </si>
  <si>
    <t>Ynoa</t>
  </si>
  <si>
    <t>Blair</t>
  </si>
  <si>
    <t>Paxton</t>
  </si>
  <si>
    <t>McGuire</t>
  </si>
  <si>
    <t>Crick</t>
  </si>
  <si>
    <t>Meyer</t>
  </si>
  <si>
    <t>Guerrieri</t>
  </si>
  <si>
    <t>Boyd</t>
  </si>
  <si>
    <t>Petit</t>
  </si>
  <si>
    <t>Gregorio</t>
  </si>
  <si>
    <t>Donovan</t>
  </si>
  <si>
    <t>Pinto</t>
  </si>
  <si>
    <t>Centeno</t>
  </si>
  <si>
    <t>Junior</t>
  </si>
  <si>
    <t>Elmore</t>
  </si>
  <si>
    <t>Clark</t>
  </si>
  <si>
    <t>Peterson</t>
  </si>
  <si>
    <t>Jefry</t>
  </si>
  <si>
    <t>Nava</t>
  </si>
  <si>
    <t>Aguilar</t>
  </si>
  <si>
    <t>Goins</t>
  </si>
  <si>
    <t>Keon</t>
  </si>
  <si>
    <t>Fontana</t>
  </si>
  <si>
    <t>Moya</t>
  </si>
  <si>
    <t>Osuna</t>
  </si>
  <si>
    <t>Valera</t>
  </si>
  <si>
    <t>Breyvic</t>
  </si>
  <si>
    <t>Holaday</t>
  </si>
  <si>
    <t>Yadiel</t>
  </si>
  <si>
    <t>Gabriel</t>
  </si>
  <si>
    <t>Calixte</t>
  </si>
  <si>
    <t>Alen</t>
  </si>
  <si>
    <t>Duvall</t>
  </si>
  <si>
    <t>Gattis</t>
  </si>
  <si>
    <t>Gosselin</t>
  </si>
  <si>
    <t>O'Neill</t>
  </si>
  <si>
    <t>Sardinas</t>
  </si>
  <si>
    <t>Mondesi</t>
  </si>
  <si>
    <t>Jackie</t>
  </si>
  <si>
    <t>Cecchini</t>
  </si>
  <si>
    <t>Dilson</t>
  </si>
  <si>
    <t>Harold</t>
  </si>
  <si>
    <t>Griffin</t>
  </si>
  <si>
    <t>Candelario</t>
  </si>
  <si>
    <t>Jeimer</t>
  </si>
  <si>
    <t>Asche</t>
  </si>
  <si>
    <t>Zachary</t>
  </si>
  <si>
    <t>Dean</t>
  </si>
  <si>
    <t>Jace</t>
  </si>
  <si>
    <t>Pillar</t>
  </si>
  <si>
    <t>Semien</t>
  </si>
  <si>
    <t>Almora</t>
  </si>
  <si>
    <t>Rio</t>
  </si>
  <si>
    <t>Deven</t>
  </si>
  <si>
    <t>Naquin</t>
  </si>
  <si>
    <t>Vogelbach</t>
  </si>
  <si>
    <t>Gallo</t>
  </si>
  <si>
    <t>Winker</t>
  </si>
  <si>
    <t>Bubba</t>
  </si>
  <si>
    <t>Goeddel</t>
  </si>
  <si>
    <t>Quinn</t>
  </si>
  <si>
    <t>Susac</t>
  </si>
  <si>
    <t>Williamson</t>
  </si>
  <si>
    <t>Zunino</t>
  </si>
  <si>
    <t>Piscotty</t>
  </si>
  <si>
    <t>Mazara</t>
  </si>
  <si>
    <t>Nomar</t>
  </si>
  <si>
    <t>Jankowski</t>
  </si>
  <si>
    <t>Plawecki</t>
  </si>
  <si>
    <t>Yarbrough</t>
  </si>
  <si>
    <t>Adalberto</t>
  </si>
  <si>
    <t>Correa</t>
  </si>
  <si>
    <t>Dahl</t>
  </si>
  <si>
    <t>Buxton</t>
  </si>
  <si>
    <t>Byron</t>
  </si>
  <si>
    <t>Courtney</t>
  </si>
  <si>
    <t>Kivlehan</t>
  </si>
  <si>
    <t>Puig</t>
  </si>
  <si>
    <t>Yasiel</t>
  </si>
  <si>
    <t>Soler</t>
  </si>
  <si>
    <t>Quintana</t>
  </si>
  <si>
    <t>Grimm</t>
  </si>
  <si>
    <t>Wacha</t>
  </si>
  <si>
    <t>Erasmo</t>
  </si>
  <si>
    <t>Yusmeiro</t>
  </si>
  <si>
    <t>Edgin</t>
  </si>
  <si>
    <t>Moran</t>
  </si>
  <si>
    <t>Fien</t>
  </si>
  <si>
    <t>Karns</t>
  </si>
  <si>
    <t>Conley</t>
  </si>
  <si>
    <t>Quackenbush</t>
  </si>
  <si>
    <t>Otero</t>
  </si>
  <si>
    <t>Loup</t>
  </si>
  <si>
    <t>Krol</t>
  </si>
  <si>
    <t>Andriese</t>
  </si>
  <si>
    <t>Lisalverto</t>
  </si>
  <si>
    <t>Odorizzi</t>
  </si>
  <si>
    <t>McHugh</t>
  </si>
  <si>
    <t>Heston</t>
  </si>
  <si>
    <t>Maness</t>
  </si>
  <si>
    <t>Giles</t>
  </si>
  <si>
    <t>Gausman</t>
  </si>
  <si>
    <t>Stroman</t>
  </si>
  <si>
    <t>Wisler</t>
  </si>
  <si>
    <t>Urena</t>
  </si>
  <si>
    <t>Maurer</t>
  </si>
  <si>
    <t>Roark</t>
  </si>
  <si>
    <t>Salazar</t>
  </si>
  <si>
    <t>DeSclafani</t>
  </si>
  <si>
    <t>Scahill</t>
  </si>
  <si>
    <t>Heaney</t>
  </si>
  <si>
    <t>VerHagen</t>
  </si>
  <si>
    <t>McFarland</t>
  </si>
  <si>
    <t>T.J.</t>
  </si>
  <si>
    <t>Aquino</t>
  </si>
  <si>
    <t>Tapia</t>
  </si>
  <si>
    <t>Blazek</t>
  </si>
  <si>
    <t>Velasquez</t>
  </si>
  <si>
    <t>Pierce</t>
  </si>
  <si>
    <t>Siegrist</t>
  </si>
  <si>
    <t>Zimmer</t>
  </si>
  <si>
    <t>Holmes</t>
  </si>
  <si>
    <t>Sims</t>
  </si>
  <si>
    <t>Jungmann</t>
  </si>
  <si>
    <t>Pressly</t>
  </si>
  <si>
    <t>Travieso</t>
  </si>
  <si>
    <t>Snell</t>
  </si>
  <si>
    <t>Bedrosian</t>
  </si>
  <si>
    <t>Bergman</t>
  </si>
  <si>
    <t>Haley</t>
  </si>
  <si>
    <t>McCullers</t>
  </si>
  <si>
    <t>Stratton</t>
  </si>
  <si>
    <t>Alcantara</t>
  </si>
  <si>
    <t>Amir</t>
  </si>
  <si>
    <t>Bridwell</t>
  </si>
  <si>
    <t>Colin</t>
  </si>
  <si>
    <t>Romano</t>
  </si>
  <si>
    <t>Berrios</t>
  </si>
  <si>
    <t>Fried</t>
  </si>
  <si>
    <t>Yates</t>
  </si>
  <si>
    <t>Kirby</t>
  </si>
  <si>
    <t>Ryu</t>
  </si>
  <si>
    <t>ROOKIE_FL</t>
  </si>
  <si>
    <t>SS -7</t>
  </si>
  <si>
    <t>Mac</t>
  </si>
  <si>
    <t>Richie</t>
  </si>
  <si>
    <t>Kazmir</t>
  </si>
  <si>
    <t>Nuno</t>
  </si>
  <si>
    <t>POS_ADJ</t>
  </si>
  <si>
    <t>REP_ADJ</t>
  </si>
  <si>
    <t>Run value adjustment included in VORP total - based on time projected at each position. Catchers will have a higher POS_ADJ per PA than outfielders, for example.</t>
  </si>
  <si>
    <t>Run value adjustment included in VORP total - the offset between average and replacement value, scaled by playing time.</t>
  </si>
  <si>
    <t>RAA</t>
  </si>
  <si>
    <t>FRAA_VAL</t>
  </si>
  <si>
    <t>"Runs Above Average": Included in VORP total - this represents offensive runs contributed above average.</t>
  </si>
  <si>
    <t>Run value of combined FRAA for all positions: Included in WARP after being scaled for wins/run.</t>
  </si>
  <si>
    <t>SSID</t>
  </si>
  <si>
    <t>SSID_NL</t>
  </si>
  <si>
    <t>Hit By Pitch</t>
  </si>
  <si>
    <t>Howie</t>
  </si>
  <si>
    <t>C -2</t>
  </si>
  <si>
    <t>RF -2</t>
  </si>
  <si>
    <t>Abraham</t>
  </si>
  <si>
    <t>Florimon</t>
  </si>
  <si>
    <t>Devon</t>
  </si>
  <si>
    <t>Colabello</t>
  </si>
  <si>
    <t>2B 5</t>
  </si>
  <si>
    <t>RF 1, LF -0</t>
  </si>
  <si>
    <t>Gosewisch</t>
  </si>
  <si>
    <t>Tuffy</t>
  </si>
  <si>
    <t>Sucre</t>
  </si>
  <si>
    <t>2B 1, SS -0</t>
  </si>
  <si>
    <t>Barrett</t>
  </si>
  <si>
    <t>Brinson</t>
  </si>
  <si>
    <t>Tilson</t>
  </si>
  <si>
    <t>Betts</t>
  </si>
  <si>
    <t>Mookie</t>
  </si>
  <si>
    <t>Kiermaier</t>
  </si>
  <si>
    <t>Peraza</t>
  </si>
  <si>
    <t>Wendle</t>
  </si>
  <si>
    <t>Vazquez</t>
  </si>
  <si>
    <t>Bryant</t>
  </si>
  <si>
    <t>Souza</t>
  </si>
  <si>
    <t>Blash</t>
  </si>
  <si>
    <t>Jabari</t>
  </si>
  <si>
    <t>Rupp</t>
  </si>
  <si>
    <t>Pham</t>
  </si>
  <si>
    <t>Tanaka</t>
  </si>
  <si>
    <t>O'Brien</t>
  </si>
  <si>
    <t>Jarrett</t>
  </si>
  <si>
    <t>Rua</t>
  </si>
  <si>
    <t>Kennys</t>
  </si>
  <si>
    <t>Bird</t>
  </si>
  <si>
    <t>Muncy</t>
  </si>
  <si>
    <t>Margot</t>
  </si>
  <si>
    <t>Ketel</t>
  </si>
  <si>
    <t>Meadows</t>
  </si>
  <si>
    <t>Tocci</t>
  </si>
  <si>
    <t>Schebler</t>
  </si>
  <si>
    <t>Renato</t>
  </si>
  <si>
    <t>Guerrero</t>
  </si>
  <si>
    <t>Dalton</t>
  </si>
  <si>
    <t>McMahon</t>
  </si>
  <si>
    <t>Teoscar</t>
  </si>
  <si>
    <t>Barreto</t>
  </si>
  <si>
    <t>Jairo</t>
  </si>
  <si>
    <t>Pinder</t>
  </si>
  <si>
    <t>McKinney</t>
  </si>
  <si>
    <t>Renfroe</t>
  </si>
  <si>
    <t>Dominic</t>
  </si>
  <si>
    <t>Amed</t>
  </si>
  <si>
    <t>Ward</t>
  </si>
  <si>
    <t>Hendricks</t>
  </si>
  <si>
    <t>Leonel</t>
  </si>
  <si>
    <t>Stripling</t>
  </si>
  <si>
    <t>Morin</t>
  </si>
  <si>
    <t>Crockett</t>
  </si>
  <si>
    <t>Noe</t>
  </si>
  <si>
    <t>Law</t>
  </si>
  <si>
    <t>Buchanan</t>
  </si>
  <si>
    <t>Blach</t>
  </si>
  <si>
    <t>Tuivailala</t>
  </si>
  <si>
    <t>Ken</t>
  </si>
  <si>
    <t>Lively</t>
  </si>
  <si>
    <t>Gonsalves</t>
  </si>
  <si>
    <t>Davies</t>
  </si>
  <si>
    <t>Melvin</t>
  </si>
  <si>
    <t>Tirado</t>
  </si>
  <si>
    <t>Joan</t>
  </si>
  <si>
    <t>Mella</t>
  </si>
  <si>
    <t>Keury</t>
  </si>
  <si>
    <t>Hader</t>
  </si>
  <si>
    <t>Lugo</t>
  </si>
  <si>
    <t>Montas</t>
  </si>
  <si>
    <t>Cam</t>
  </si>
  <si>
    <t>Treinen</t>
  </si>
  <si>
    <t>Hyun-jin</t>
  </si>
  <si>
    <t>Yimi</t>
  </si>
  <si>
    <t>Preston</t>
  </si>
  <si>
    <t>Lyons</t>
  </si>
  <si>
    <t>Glasnow</t>
  </si>
  <si>
    <t>Hahn</t>
  </si>
  <si>
    <t>Rosscup</t>
  </si>
  <si>
    <t>Zac</t>
  </si>
  <si>
    <t>Knebel</t>
  </si>
  <si>
    <t>Buddy</t>
  </si>
  <si>
    <t>Gonzales</t>
  </si>
  <si>
    <t>Wahl</t>
  </si>
  <si>
    <t>Appel</t>
  </si>
  <si>
    <t>Voth</t>
  </si>
  <si>
    <t>Shipley</t>
  </si>
  <si>
    <t>Braden</t>
  </si>
  <si>
    <t>Matz</t>
  </si>
  <si>
    <t>Hursh</t>
  </si>
  <si>
    <t>Lorenzen</t>
  </si>
  <si>
    <t>Giolito</t>
  </si>
  <si>
    <t>Kohl</t>
  </si>
  <si>
    <t>Danish</t>
  </si>
  <si>
    <t>Ball</t>
  </si>
  <si>
    <t>Kaminsky</t>
  </si>
  <si>
    <t>Eflin</t>
  </si>
  <si>
    <t>Alexander</t>
  </si>
  <si>
    <t>Masahiro</t>
  </si>
  <si>
    <t>1B 3</t>
  </si>
  <si>
    <t>CF 2, LF 0</t>
  </si>
  <si>
    <t>3B -0</t>
  </si>
  <si>
    <t>CF -0</t>
  </si>
  <si>
    <t>SS 2, 2B -0</t>
  </si>
  <si>
    <t>LF 1, CF -0</t>
  </si>
  <si>
    <t>RF -1, CF -0</t>
  </si>
  <si>
    <t>CF 1, LF 1</t>
  </si>
  <si>
    <t>2B -0, SS 0</t>
  </si>
  <si>
    <t>SS 4</t>
  </si>
  <si>
    <t>CF -1, LF -0</t>
  </si>
  <si>
    <t>SS -1, 3B -0</t>
  </si>
  <si>
    <t>SS -1, 2B 1</t>
  </si>
  <si>
    <t>Clarkin</t>
  </si>
  <si>
    <t>2B 2</t>
  </si>
  <si>
    <t>SS -5</t>
  </si>
  <si>
    <t>RF -0</t>
  </si>
  <si>
    <t>RF 1, CF -0</t>
  </si>
  <si>
    <t>Rusney</t>
  </si>
  <si>
    <t>Inciarte</t>
  </si>
  <si>
    <t>Ender</t>
  </si>
  <si>
    <t>Smolinski</t>
  </si>
  <si>
    <t>LF 1, RF 0</t>
  </si>
  <si>
    <t>3B 1, 1B 0</t>
  </si>
  <si>
    <t>SS 2, 2B 0</t>
  </si>
  <si>
    <t>Pirela</t>
  </si>
  <si>
    <t>Judge</t>
  </si>
  <si>
    <t>Casali</t>
  </si>
  <si>
    <t>Refsnyder</t>
  </si>
  <si>
    <t>Schwarber</t>
  </si>
  <si>
    <t>Schimpf</t>
  </si>
  <si>
    <t>Bandy</t>
  </si>
  <si>
    <t>Jett</t>
  </si>
  <si>
    <t>Solarte</t>
  </si>
  <si>
    <t>Yangervis</t>
  </si>
  <si>
    <t>LF -1, RF -0</t>
  </si>
  <si>
    <t>Canha</t>
  </si>
  <si>
    <t>J.T.</t>
  </si>
  <si>
    <t>Difo</t>
  </si>
  <si>
    <t>Gore</t>
  </si>
  <si>
    <t>Terrance</t>
  </si>
  <si>
    <t>Reynaldo</t>
  </si>
  <si>
    <t>Rojas</t>
  </si>
  <si>
    <t>Paulo</t>
  </si>
  <si>
    <t>Fisher</t>
  </si>
  <si>
    <t>Choi</t>
  </si>
  <si>
    <t>Ji-Man</t>
  </si>
  <si>
    <t>CF 2, RF 1</t>
  </si>
  <si>
    <t>CF 0, RF -0</t>
  </si>
  <si>
    <t>De Jesus</t>
  </si>
  <si>
    <t>Bour</t>
  </si>
  <si>
    <t>Mallex</t>
  </si>
  <si>
    <t>Nola</t>
  </si>
  <si>
    <t>Blandino</t>
  </si>
  <si>
    <t>Mieses</t>
  </si>
  <si>
    <t>RF -2, LF -0</t>
  </si>
  <si>
    <t>Elias</t>
  </si>
  <si>
    <t>Pompey</t>
  </si>
  <si>
    <t>Trea</t>
  </si>
  <si>
    <t>Powell</t>
  </si>
  <si>
    <t>Dario</t>
  </si>
  <si>
    <t>Asuaje</t>
  </si>
  <si>
    <t>Enrique</t>
  </si>
  <si>
    <t>Torreyes</t>
  </si>
  <si>
    <t>BORN</t>
  </si>
  <si>
    <t>Willy</t>
  </si>
  <si>
    <t>Stuart</t>
  </si>
  <si>
    <t>Sisco</t>
  </si>
  <si>
    <t>Maile</t>
  </si>
  <si>
    <t>Urshela</t>
  </si>
  <si>
    <t>Giovanny</t>
  </si>
  <si>
    <t>Telis</t>
  </si>
  <si>
    <t>Tomas</t>
  </si>
  <si>
    <t>Gleyber</t>
  </si>
  <si>
    <t>Urias</t>
  </si>
  <si>
    <t>Spencer</t>
  </si>
  <si>
    <t>Odubel</t>
  </si>
  <si>
    <t>Altherr</t>
  </si>
  <si>
    <t>Bo</t>
  </si>
  <si>
    <t>Christopher</t>
  </si>
  <si>
    <t>Claudio</t>
  </si>
  <si>
    <t>Aledmys</t>
  </si>
  <si>
    <t>Leyba</t>
  </si>
  <si>
    <t>Guillorme</t>
  </si>
  <si>
    <t>Cave</t>
  </si>
  <si>
    <t>Ricardo</t>
  </si>
  <si>
    <t>Bracho</t>
  </si>
  <si>
    <t>Albies</t>
  </si>
  <si>
    <t>Ozhaino</t>
  </si>
  <si>
    <t>Farmer</t>
  </si>
  <si>
    <t>Bauers</t>
  </si>
  <si>
    <t>Grayson</t>
  </si>
  <si>
    <t>Adolfo</t>
  </si>
  <si>
    <t>Marcos</t>
  </si>
  <si>
    <t>2B 4</t>
  </si>
  <si>
    <t>Zagunis</t>
  </si>
  <si>
    <t>Brito</t>
  </si>
  <si>
    <t>Torrens</t>
  </si>
  <si>
    <t>Raimel</t>
  </si>
  <si>
    <t>Socrates</t>
  </si>
  <si>
    <t>Alec</t>
  </si>
  <si>
    <t>Liberatore</t>
  </si>
  <si>
    <t>Devers</t>
  </si>
  <si>
    <t>Patterson</t>
  </si>
  <si>
    <t>Knapp</t>
  </si>
  <si>
    <t>Hinojosa</t>
  </si>
  <si>
    <t>Boyer</t>
  </si>
  <si>
    <t>Osvaldo</t>
  </si>
  <si>
    <t>Conforto</t>
  </si>
  <si>
    <t>O'Hearn</t>
  </si>
  <si>
    <t>Verdugo</t>
  </si>
  <si>
    <t>Dom</t>
  </si>
  <si>
    <t>Chavis</t>
  </si>
  <si>
    <t>Isan</t>
  </si>
  <si>
    <t>Forrest</t>
  </si>
  <si>
    <t>Kendall</t>
  </si>
  <si>
    <t>Gatewood</t>
  </si>
  <si>
    <t>Pentecost</t>
  </si>
  <si>
    <t>Vallot</t>
  </si>
  <si>
    <t>Micker</t>
  </si>
  <si>
    <t>Tellez</t>
  </si>
  <si>
    <t>Rowdy</t>
  </si>
  <si>
    <t>Monte</t>
  </si>
  <si>
    <t>Eloy</t>
  </si>
  <si>
    <t>Freeland</t>
  </si>
  <si>
    <t>Franchy</t>
  </si>
  <si>
    <t>deGrom</t>
  </si>
  <si>
    <t>Despaigne</t>
  </si>
  <si>
    <t>Odrisamer</t>
  </si>
  <si>
    <t>Leone</t>
  </si>
  <si>
    <t>Lindgren</t>
  </si>
  <si>
    <t>Whitley</t>
  </si>
  <si>
    <t>Rodon</t>
  </si>
  <si>
    <t>Rumbelow</t>
  </si>
  <si>
    <t>Venditte</t>
  </si>
  <si>
    <t>Wittgren</t>
  </si>
  <si>
    <t>Shae</t>
  </si>
  <si>
    <t>Jumbo</t>
  </si>
  <si>
    <t>Finnegan</t>
  </si>
  <si>
    <t>Burdi</t>
  </si>
  <si>
    <t>Madson</t>
  </si>
  <si>
    <t>Sherfy</t>
  </si>
  <si>
    <t>Jimmie</t>
  </si>
  <si>
    <t>Kahnle</t>
  </si>
  <si>
    <t>Silvino</t>
  </si>
  <si>
    <t>Kela</t>
  </si>
  <si>
    <t>Keone</t>
  </si>
  <si>
    <t>Roenis</t>
  </si>
  <si>
    <t>Manaea</t>
  </si>
  <si>
    <t>Leathersich</t>
  </si>
  <si>
    <t>Winkler</t>
  </si>
  <si>
    <t>Coulombe</t>
  </si>
  <si>
    <t>Nicolino</t>
  </si>
  <si>
    <t>Graveman</t>
  </si>
  <si>
    <t>Oberg</t>
  </si>
  <si>
    <t>Neris</t>
  </si>
  <si>
    <t>Bolsinger</t>
  </si>
  <si>
    <t>Duffey</t>
  </si>
  <si>
    <t>Blaine</t>
  </si>
  <si>
    <t>Gott</t>
  </si>
  <si>
    <t>Cotton</t>
  </si>
  <si>
    <t>Jharel</t>
  </si>
  <si>
    <t>Okert</t>
  </si>
  <si>
    <t>Goforth</t>
  </si>
  <si>
    <t>Strickland</t>
  </si>
  <si>
    <t>Tseng</t>
  </si>
  <si>
    <t>Jen-Ho</t>
  </si>
  <si>
    <t>Shreve</t>
  </si>
  <si>
    <t>Chasen</t>
  </si>
  <si>
    <t>Overton</t>
  </si>
  <si>
    <t>Newcomb</t>
  </si>
  <si>
    <t>Plutko</t>
  </si>
  <si>
    <t>Schultz</t>
  </si>
  <si>
    <t>Stanek</t>
  </si>
  <si>
    <t>Ryne</t>
  </si>
  <si>
    <t>Reid-Foley</t>
  </si>
  <si>
    <t>Tepera</t>
  </si>
  <si>
    <t>Sheffield</t>
  </si>
  <si>
    <t>Justus</t>
  </si>
  <si>
    <t>Turnbull</t>
  </si>
  <si>
    <t>Bassitt</t>
  </si>
  <si>
    <t>Tayron</t>
  </si>
  <si>
    <t>German</t>
  </si>
  <si>
    <t>Honeywell</t>
  </si>
  <si>
    <t>Skoglund</t>
  </si>
  <si>
    <t>Beede</t>
  </si>
  <si>
    <t>Medeiros</t>
  </si>
  <si>
    <t>Kodi</t>
  </si>
  <si>
    <t>Keller</t>
  </si>
  <si>
    <t>Grace</t>
  </si>
  <si>
    <t>Kolek</t>
  </si>
  <si>
    <t>Toussaint</t>
  </si>
  <si>
    <t>Touki</t>
  </si>
  <si>
    <t>Gohara</t>
  </si>
  <si>
    <t>Luiz</t>
  </si>
  <si>
    <t>Kopech</t>
  </si>
  <si>
    <t>Blewett</t>
  </si>
  <si>
    <t>Foster</t>
  </si>
  <si>
    <t>Faulkner</t>
  </si>
  <si>
    <t>Jewell</t>
  </si>
  <si>
    <t>Meisner</t>
  </si>
  <si>
    <t>Coonrod</t>
  </si>
  <si>
    <t>Labourt</t>
  </si>
  <si>
    <t>Faria</t>
  </si>
  <si>
    <t>Underwood</t>
  </si>
  <si>
    <t>Gustave</t>
  </si>
  <si>
    <t>Jandel</t>
  </si>
  <si>
    <t>Covey</t>
  </si>
  <si>
    <t>Jarlin</t>
  </si>
  <si>
    <t>Fields added in 2014 (Hitters):</t>
  </si>
  <si>
    <t>Fields added in 2014 (Pitchers):</t>
  </si>
  <si>
    <t>SS 1, 2B -0</t>
  </si>
  <si>
    <t>Chi Chi</t>
  </si>
  <si>
    <t xml:space="preserve">Birthdate of player </t>
  </si>
  <si>
    <t>Yasmany</t>
  </si>
  <si>
    <t>Kang</t>
  </si>
  <si>
    <t>C 3</t>
  </si>
  <si>
    <t>SS 3, 2B 0</t>
  </si>
  <si>
    <t>LF 1, RF -0</t>
  </si>
  <si>
    <t>LF -3</t>
  </si>
  <si>
    <t>RF -0, CF -0</t>
  </si>
  <si>
    <t>RF 1, CF 0</t>
  </si>
  <si>
    <t>Burgos</t>
  </si>
  <si>
    <t>Scoresheet ID from the file available at http://www.scoresheet.com/FOR_WWW/BL_Players_2016.tsv</t>
  </si>
  <si>
    <t>Scoresheet ID (for NL leagues) from the file available at http://www.scoresheet.com/FOR_WWW/BL_Players_2016.tsv</t>
  </si>
  <si>
    <t>Fields added in 2015:</t>
  </si>
  <si>
    <t>Fields added in 2016 (Hitters):</t>
  </si>
  <si>
    <t>Games played</t>
  </si>
  <si>
    <t>IBB</t>
  </si>
  <si>
    <t>Intentional Walks</t>
  </si>
  <si>
    <t>SHO</t>
  </si>
  <si>
    <t>DRA</t>
  </si>
  <si>
    <t>Replaced FAIR_RA</t>
  </si>
  <si>
    <t>Is now calculated using DRA instead of FAIR_RA</t>
  </si>
  <si>
    <t>"Value over Replacement Player" - in runs prevented.</t>
  </si>
  <si>
    <t>BSV</t>
  </si>
  <si>
    <t>Fields added or changed in 2016 (Pitchers):</t>
  </si>
  <si>
    <t>(changed)</t>
  </si>
  <si>
    <t>Shutouts ('-' for pitchers not in the depth charts).</t>
  </si>
  <si>
    <t>Blown Save Opportunities ('-' for pitchers not in the depth charts).</t>
  </si>
  <si>
    <t>Raisel</t>
  </si>
  <si>
    <t>Eickhoff</t>
  </si>
  <si>
    <t>Jerad</t>
  </si>
  <si>
    <t>Brault</t>
  </si>
  <si>
    <t>Francis</t>
  </si>
  <si>
    <t>Mahle</t>
  </si>
  <si>
    <t>Akeel</t>
  </si>
  <si>
    <t>Armstrong</t>
  </si>
  <si>
    <t>Gant</t>
  </si>
  <si>
    <t>Fry</t>
  </si>
  <si>
    <t>Lowe</t>
  </si>
  <si>
    <t>Givens</t>
  </si>
  <si>
    <t>Mychal</t>
  </si>
  <si>
    <t>Verrett</t>
  </si>
  <si>
    <t>Hu</t>
  </si>
  <si>
    <t>Chih-Wei</t>
  </si>
  <si>
    <t>Kuhl</t>
  </si>
  <si>
    <t>Jurado</t>
  </si>
  <si>
    <t>Gomber</t>
  </si>
  <si>
    <t>Blanton</t>
  </si>
  <si>
    <t>Robles</t>
  </si>
  <si>
    <t>Hansel</t>
  </si>
  <si>
    <t>Rea</t>
  </si>
  <si>
    <t>Deolis</t>
  </si>
  <si>
    <t>Triggs</t>
  </si>
  <si>
    <t>Mills</t>
  </si>
  <si>
    <t>Yohander</t>
  </si>
  <si>
    <t>Rhame</t>
  </si>
  <si>
    <t>Hoffman</t>
  </si>
  <si>
    <t>Schugel</t>
  </si>
  <si>
    <t>Perdomo</t>
  </si>
  <si>
    <t>Zych</t>
  </si>
  <si>
    <t>Morimando</t>
  </si>
  <si>
    <t>Clevinger</t>
  </si>
  <si>
    <t>Godley</t>
  </si>
  <si>
    <t>Tinoco</t>
  </si>
  <si>
    <t>Dull</t>
  </si>
  <si>
    <t>Castellani</t>
  </si>
  <si>
    <t>Martes</t>
  </si>
  <si>
    <t>Yeudy</t>
  </si>
  <si>
    <t>Roe</t>
  </si>
  <si>
    <t>Chaz</t>
  </si>
  <si>
    <t>Moylan</t>
  </si>
  <si>
    <t>Ravin</t>
  </si>
  <si>
    <t>Smoker</t>
  </si>
  <si>
    <t>Baumann</t>
  </si>
  <si>
    <t>Weber</t>
  </si>
  <si>
    <t>Cessa</t>
  </si>
  <si>
    <t>Frankie</t>
  </si>
  <si>
    <t>O'Rourke</t>
  </si>
  <si>
    <t>Osich</t>
  </si>
  <si>
    <t>Joshua</t>
  </si>
  <si>
    <t>Jaye</t>
  </si>
  <si>
    <t>Myles</t>
  </si>
  <si>
    <t>Estevez</t>
  </si>
  <si>
    <t>Musgrove</t>
  </si>
  <si>
    <t>Gsellman</t>
  </si>
  <si>
    <t>Merritt</t>
  </si>
  <si>
    <t>Banda</t>
  </si>
  <si>
    <t>Barraclough</t>
  </si>
  <si>
    <t>Rodgers</t>
  </si>
  <si>
    <t>Brady</t>
  </si>
  <si>
    <t>Pazos</t>
  </si>
  <si>
    <t>Goody</t>
  </si>
  <si>
    <t>Strahm</t>
  </si>
  <si>
    <t>Stumpf</t>
  </si>
  <si>
    <t>Ellington</t>
  </si>
  <si>
    <t>Heller</t>
  </si>
  <si>
    <t>Ponce</t>
  </si>
  <si>
    <t>J.C.</t>
  </si>
  <si>
    <t>Brice</t>
  </si>
  <si>
    <t>Tejeda</t>
  </si>
  <si>
    <t>Ferrell</t>
  </si>
  <si>
    <t>Barbato</t>
  </si>
  <si>
    <t>Nicholas</t>
  </si>
  <si>
    <t>Houser</t>
  </si>
  <si>
    <t>Fedde</t>
  </si>
  <si>
    <t>Chargois</t>
  </si>
  <si>
    <t>Conner</t>
  </si>
  <si>
    <t>Yoan</t>
  </si>
  <si>
    <t>Clarke</t>
  </si>
  <si>
    <t>Soroka</t>
  </si>
  <si>
    <t>O'Sullivan</t>
  </si>
  <si>
    <t>DeJong</t>
  </si>
  <si>
    <t>Yency</t>
  </si>
  <si>
    <t>Burrows</t>
  </si>
  <si>
    <t>Beau</t>
  </si>
  <si>
    <t>Enyel</t>
  </si>
  <si>
    <t>Espinoza</t>
  </si>
  <si>
    <t>Tate</t>
  </si>
  <si>
    <t>Sadzeck</t>
  </si>
  <si>
    <t>Connor</t>
  </si>
  <si>
    <t>Slania</t>
  </si>
  <si>
    <t>Borucki</t>
  </si>
  <si>
    <t>Kilome</t>
  </si>
  <si>
    <t>Franklyn</t>
  </si>
  <si>
    <t>Guduan</t>
  </si>
  <si>
    <t>Reymin</t>
  </si>
  <si>
    <t>Devenski</t>
  </si>
  <si>
    <t>Dakota</t>
  </si>
  <si>
    <t>Senzatela</t>
  </si>
  <si>
    <t>Moll</t>
  </si>
  <si>
    <t>McGowin</t>
  </si>
  <si>
    <t>Wells</t>
  </si>
  <si>
    <t>Mengden</t>
  </si>
  <si>
    <t>Lazaro</t>
  </si>
  <si>
    <t>Pivetta</t>
  </si>
  <si>
    <t>Riley</t>
  </si>
  <si>
    <t>Jerez</t>
  </si>
  <si>
    <t>Leclerc</t>
  </si>
  <si>
    <t>Sands</t>
  </si>
  <si>
    <t>Brigham</t>
  </si>
  <si>
    <t>Maese</t>
  </si>
  <si>
    <t>Altavilla</t>
  </si>
  <si>
    <t>Intentional Walks ('-' for pitchers not in the depth charts).</t>
  </si>
  <si>
    <t>-</t>
  </si>
  <si>
    <t>CF 2</t>
  </si>
  <si>
    <t>DH</t>
  </si>
  <si>
    <t>C 10</t>
  </si>
  <si>
    <t>Jung-ho</t>
  </si>
  <si>
    <t>Nori</t>
  </si>
  <si>
    <t>C -4</t>
  </si>
  <si>
    <t>C -5</t>
  </si>
  <si>
    <t>Saladino</t>
  </si>
  <si>
    <t>2B 1, SS 1</t>
  </si>
  <si>
    <t>Bader</t>
  </si>
  <si>
    <t>3B -1, 1B 0</t>
  </si>
  <si>
    <t>Benintendi</t>
  </si>
  <si>
    <t>Motter</t>
  </si>
  <si>
    <t>Ceciliani</t>
  </si>
  <si>
    <t>Darrell</t>
  </si>
  <si>
    <t>LF 1, CF -1</t>
  </si>
  <si>
    <t>Adonis</t>
  </si>
  <si>
    <t>C 4</t>
  </si>
  <si>
    <t>CF -0, LF 0</t>
  </si>
  <si>
    <t>Bellinger</t>
  </si>
  <si>
    <t>3B 1, 1B -0</t>
  </si>
  <si>
    <t>2B 1, 3B 1</t>
  </si>
  <si>
    <t>LF -0, 1B 0</t>
  </si>
  <si>
    <t>Yandy</t>
  </si>
  <si>
    <t>Nottingham</t>
  </si>
  <si>
    <t>Alford</t>
  </si>
  <si>
    <t>Bregman</t>
  </si>
  <si>
    <t>Ravelo</t>
  </si>
  <si>
    <t>Rangel</t>
  </si>
  <si>
    <t>Fox</t>
  </si>
  <si>
    <t>Tomlinson</t>
  </si>
  <si>
    <t>Kelby</t>
  </si>
  <si>
    <t>C -14</t>
  </si>
  <si>
    <t>Chesny</t>
  </si>
  <si>
    <t>Hoskins</t>
  </si>
  <si>
    <t>Rhys</t>
  </si>
  <si>
    <t>Kieboom</t>
  </si>
  <si>
    <t>Reinheimer</t>
  </si>
  <si>
    <t>Gamel</t>
  </si>
  <si>
    <t>Benjamin</t>
  </si>
  <si>
    <t>2B 0, SS 0</t>
  </si>
  <si>
    <t>3B -0, SS -1</t>
  </si>
  <si>
    <t>Jamie</t>
  </si>
  <si>
    <t>Cordell</t>
  </si>
  <si>
    <t>Vielma</t>
  </si>
  <si>
    <t>Engelb</t>
  </si>
  <si>
    <t>Riddle</t>
  </si>
  <si>
    <t>Palka</t>
  </si>
  <si>
    <t>Moncada</t>
  </si>
  <si>
    <t>Dubon</t>
  </si>
  <si>
    <t>Mancini</t>
  </si>
  <si>
    <t>Slater</t>
  </si>
  <si>
    <t>Gerber</t>
  </si>
  <si>
    <t>C -5, 1B 0</t>
  </si>
  <si>
    <t>Simcox</t>
  </si>
  <si>
    <t>Rickard</t>
  </si>
  <si>
    <t>Padlo</t>
  </si>
  <si>
    <t>Munoz</t>
  </si>
  <si>
    <t>Yairo</t>
  </si>
  <si>
    <t>Kramer</t>
  </si>
  <si>
    <t>Kingery</t>
  </si>
  <si>
    <t>Hanser</t>
  </si>
  <si>
    <t>SS 0, 3B -0</t>
  </si>
  <si>
    <t>Willson</t>
  </si>
  <si>
    <t>SS -3, 2B 0</t>
  </si>
  <si>
    <t>C -3</t>
  </si>
  <si>
    <t>Garneau</t>
  </si>
  <si>
    <t>C -7</t>
  </si>
  <si>
    <t>Newman</t>
  </si>
  <si>
    <t>Stevenson</t>
  </si>
  <si>
    <t>Stone</t>
  </si>
  <si>
    <t>Bishop</t>
  </si>
  <si>
    <t>Christin</t>
  </si>
  <si>
    <t>Liberato</t>
  </si>
  <si>
    <t>Kevan</t>
  </si>
  <si>
    <t>Yefri</t>
  </si>
  <si>
    <t>C -9</t>
  </si>
  <si>
    <t>Hayes</t>
  </si>
  <si>
    <t>Ke'Bryan</t>
  </si>
  <si>
    <t>Anfernee</t>
  </si>
  <si>
    <t>Greiner</t>
  </si>
  <si>
    <t>Basabe</t>
  </si>
  <si>
    <t>Luis Alexander</t>
  </si>
  <si>
    <t>CF 0, RF 1</t>
  </si>
  <si>
    <t>Dewees</t>
  </si>
  <si>
    <t>Holder</t>
  </si>
  <si>
    <t>Jomar</t>
  </si>
  <si>
    <t>Sosa</t>
  </si>
  <si>
    <t>Edmundo</t>
  </si>
  <si>
    <t>Becerra</t>
  </si>
  <si>
    <t>Wuilmer</t>
  </si>
  <si>
    <t>Trent</t>
  </si>
  <si>
    <t>Jonah</t>
  </si>
  <si>
    <t>Duggar</t>
  </si>
  <si>
    <t>Randolph</t>
  </si>
  <si>
    <t>Cornelius</t>
  </si>
  <si>
    <t>Daz</t>
  </si>
  <si>
    <t>Aristides</t>
  </si>
  <si>
    <t>Mountcastle</t>
  </si>
  <si>
    <t>Magneuris</t>
  </si>
  <si>
    <t>Shepherd</t>
  </si>
  <si>
    <t>Jalen</t>
  </si>
  <si>
    <t>Pruitt</t>
  </si>
  <si>
    <t>Brendon</t>
  </si>
  <si>
    <t>Lindsay</t>
  </si>
  <si>
    <t>Isael</t>
  </si>
  <si>
    <t>Blankenhorn</t>
  </si>
  <si>
    <t>Lewin</t>
  </si>
  <si>
    <t>Hansen</t>
  </si>
  <si>
    <t>Naylor</t>
  </si>
  <si>
    <t>1B 1, LF -0</t>
  </si>
  <si>
    <t>Maeda</t>
  </si>
  <si>
    <t>Kenta</t>
  </si>
  <si>
    <t>Barnette</t>
  </si>
  <si>
    <t>SS 1, 2B 0</t>
  </si>
  <si>
    <t>3B -1, 1B -0</t>
  </si>
  <si>
    <t>RF -0, CF -1</t>
  </si>
  <si>
    <t>1B 1, 3B -0</t>
  </si>
  <si>
    <t>Oh</t>
  </si>
  <si>
    <t>Seung Hwan</t>
  </si>
  <si>
    <t>Taillon</t>
  </si>
  <si>
    <t>Jameson</t>
  </si>
  <si>
    <t>Buchter</t>
  </si>
  <si>
    <t>Kim</t>
  </si>
  <si>
    <t>Hyun-Soo</t>
  </si>
  <si>
    <t>CF 0, LF 1</t>
  </si>
  <si>
    <t>LF -0, RF -0</t>
  </si>
  <si>
    <t>Swanson</t>
  </si>
  <si>
    <t>Dansby</t>
  </si>
  <si>
    <t>SS -1, 2B 0</t>
  </si>
  <si>
    <t>CF -2, RF -0</t>
  </si>
  <si>
    <t>RF 0, LF 1</t>
  </si>
  <si>
    <t>2B -1, SS 0</t>
  </si>
  <si>
    <t>RF 2, LF 1</t>
  </si>
  <si>
    <t>Weeks</t>
  </si>
  <si>
    <t>Jemile</t>
  </si>
  <si>
    <t>Merrifield</t>
  </si>
  <si>
    <t>Whit</t>
  </si>
  <si>
    <t>C -11</t>
  </si>
  <si>
    <t>Wandy</t>
  </si>
  <si>
    <t>Minaya</t>
  </si>
  <si>
    <t>Biagini</t>
  </si>
  <si>
    <t>Bowman</t>
  </si>
  <si>
    <t>Melville</t>
  </si>
  <si>
    <t>Timothy</t>
  </si>
  <si>
    <t>RF -3</t>
  </si>
  <si>
    <t>LF -5</t>
  </si>
  <si>
    <t>3B 2</t>
  </si>
  <si>
    <t>CF 2, LF 1</t>
  </si>
  <si>
    <t>C -10</t>
  </si>
  <si>
    <t>Heredia</t>
  </si>
  <si>
    <t>Guillermo</t>
  </si>
  <si>
    <t>Gurriel</t>
  </si>
  <si>
    <t>Lourdes</t>
  </si>
  <si>
    <t>Toles</t>
  </si>
  <si>
    <t>CF 1, RF 2</t>
  </si>
  <si>
    <t>Laureano</t>
  </si>
  <si>
    <t>LaMonte</t>
  </si>
  <si>
    <t>RF -1, LF 1</t>
  </si>
  <si>
    <t>Haniger</t>
  </si>
  <si>
    <t>Tobias</t>
  </si>
  <si>
    <t>Moroff</t>
  </si>
  <si>
    <t>Granite</t>
  </si>
  <si>
    <t>Senzel</t>
  </si>
  <si>
    <t>RF 2, LF -1</t>
  </si>
  <si>
    <t>2B 1, SS 0</t>
  </si>
  <si>
    <t>1B 2, 3B -1</t>
  </si>
  <si>
    <t>1B -0, LF -0</t>
  </si>
  <si>
    <t>Hoying</t>
  </si>
  <si>
    <t>CF 1, RF 1</t>
  </si>
  <si>
    <t>CF -2, RF -1</t>
  </si>
  <si>
    <t>Rademacher</t>
  </si>
  <si>
    <t>Bijan</t>
  </si>
  <si>
    <t>CF 6, RF 0</t>
  </si>
  <si>
    <t>Marsh</t>
  </si>
  <si>
    <t>C -12</t>
  </si>
  <si>
    <t>C 1, 1B -0</t>
  </si>
  <si>
    <t>Segedin</t>
  </si>
  <si>
    <t>Kevin Russo, T.J. Rivera, Eric Patterson</t>
  </si>
  <si>
    <t>Read</t>
  </si>
  <si>
    <t>Raudy</t>
  </si>
  <si>
    <t>CF 2, RF 0</t>
  </si>
  <si>
    <t>Nido</t>
  </si>
  <si>
    <t>Cozens</t>
  </si>
  <si>
    <t>Chang</t>
  </si>
  <si>
    <t>Yu-Cheng</t>
  </si>
  <si>
    <t>Rosales</t>
  </si>
  <si>
    <t>3B 0, 2B 1</t>
  </si>
  <si>
    <t>Voit</t>
  </si>
  <si>
    <t>Valentin</t>
  </si>
  <si>
    <t>Jesmuel</t>
  </si>
  <si>
    <t>Ibanez</t>
  </si>
  <si>
    <t>Andy</t>
  </si>
  <si>
    <t>2B -1, 3B -1</t>
  </si>
  <si>
    <t>2B -1, 3B 0</t>
  </si>
  <si>
    <t>Ngoepe</t>
  </si>
  <si>
    <t>Gift</t>
  </si>
  <si>
    <t>Ortega</t>
  </si>
  <si>
    <t>Brugman</t>
  </si>
  <si>
    <t>Jaycob</t>
  </si>
  <si>
    <t>Eliezer</t>
  </si>
  <si>
    <t>CF -3, LF 0</t>
  </si>
  <si>
    <t>Trevino</t>
  </si>
  <si>
    <t>Thaiss</t>
  </si>
  <si>
    <t>Hazelbaker</t>
  </si>
  <si>
    <t>Raul Mondesi, Wilmer Flores</t>
  </si>
  <si>
    <t>Gorkys</t>
  </si>
  <si>
    <t>Grossman</t>
  </si>
  <si>
    <t>Narvaez</t>
  </si>
  <si>
    <t>Renda</t>
  </si>
  <si>
    <t>Healy</t>
  </si>
  <si>
    <t>Ryon</t>
  </si>
  <si>
    <t>1B 2, LF -0</t>
  </si>
  <si>
    <t>Graterol</t>
  </si>
  <si>
    <t>Evans</t>
  </si>
  <si>
    <t>Phillip</t>
  </si>
  <si>
    <t>Vincej</t>
  </si>
  <si>
    <t>Okey</t>
  </si>
  <si>
    <t xml:space="preserve">Chris </t>
  </si>
  <si>
    <t>Nellie</t>
  </si>
  <si>
    <t>SS 3, 2B -0</t>
  </si>
  <si>
    <t>Acuna</t>
  </si>
  <si>
    <t>Fletcher</t>
  </si>
  <si>
    <t>Ona</t>
  </si>
  <si>
    <t>Yulieski</t>
  </si>
  <si>
    <t>Hood</t>
  </si>
  <si>
    <t>Destin</t>
  </si>
  <si>
    <t>LF 0, RF -1</t>
  </si>
  <si>
    <t>Ildemaro</t>
  </si>
  <si>
    <t>Cardullo</t>
  </si>
  <si>
    <t>Garver</t>
  </si>
  <si>
    <t>Pina</t>
  </si>
  <si>
    <t>Fryer</t>
  </si>
  <si>
    <t>Higashioka</t>
  </si>
  <si>
    <t>Federowicz</t>
  </si>
  <si>
    <t>Hannemann</t>
  </si>
  <si>
    <t>Gallagher</t>
  </si>
  <si>
    <t>Dawel</t>
  </si>
  <si>
    <t>Andujar</t>
  </si>
  <si>
    <t>Caratini</t>
  </si>
  <si>
    <t>Cordoba</t>
  </si>
  <si>
    <t>Lucius</t>
  </si>
  <si>
    <t>C -3, 1B -0</t>
  </si>
  <si>
    <t>Matt Tolbert, Alberto Gonzalez, Ramiro Pena</t>
  </si>
  <si>
    <t>Christian Vazquez, Carson Kelly, Travis d'Arnaud</t>
  </si>
  <si>
    <t>Valaika</t>
  </si>
  <si>
    <t>Bostick</t>
  </si>
  <si>
    <t>2B -2, 3B -0</t>
  </si>
  <si>
    <t>CF -0, LF 1</t>
  </si>
  <si>
    <t>Darrell Ceciliani, Roger Bernadina, Xavier Avery</t>
  </si>
  <si>
    <t>Ice</t>
  </si>
  <si>
    <t>CF 0, LF -0</t>
  </si>
  <si>
    <t>CF -2, LF -1</t>
  </si>
  <si>
    <t>SS -0, 3B -0</t>
  </si>
  <si>
    <t>RF 1, CF -1</t>
  </si>
  <si>
    <t>3B -0, 2B -1</t>
  </si>
  <si>
    <t>Camargo</t>
  </si>
  <si>
    <t>C -0, 1B -0</t>
  </si>
  <si>
    <t>Yusniel</t>
  </si>
  <si>
    <t>Solak</t>
  </si>
  <si>
    <t>Thames</t>
  </si>
  <si>
    <t>Santander</t>
  </si>
  <si>
    <t>Wynns</t>
  </si>
  <si>
    <t>Viloria</t>
  </si>
  <si>
    <t>Meibrys</t>
  </si>
  <si>
    <t>Eddy</t>
  </si>
  <si>
    <t>Vinny Rottino, Blake Lalli, Stephen Vogt</t>
  </si>
  <si>
    <t>SS -1, 3B -1</t>
  </si>
  <si>
    <t>Keibert</t>
  </si>
  <si>
    <t>Bichette</t>
  </si>
  <si>
    <t>Raul Mondesi, Elvis Andrus, Wilmer Flores</t>
  </si>
  <si>
    <t>Chatham</t>
  </si>
  <si>
    <t>Erceg</t>
  </si>
  <si>
    <t>Dalbec</t>
  </si>
  <si>
    <t>Ali</t>
  </si>
  <si>
    <t>Willi</t>
  </si>
  <si>
    <t>Ockimey</t>
  </si>
  <si>
    <t>Alemais</t>
  </si>
  <si>
    <t>Potts</t>
  </si>
  <si>
    <t>Neuse</t>
  </si>
  <si>
    <t>Sheldon</t>
  </si>
  <si>
    <t>Burt</t>
  </si>
  <si>
    <t>Joe Benson, Cedric Hunter, Ramon Flores</t>
  </si>
  <si>
    <t>Jahmai</t>
  </si>
  <si>
    <t>Miguelangel</t>
  </si>
  <si>
    <t>Khalil</t>
  </si>
  <si>
    <t>Nomar Mazara, Domingo Santana, Engel Beltre</t>
  </si>
  <si>
    <t>Delvin</t>
  </si>
  <si>
    <t>Tatis Jr.</t>
  </si>
  <si>
    <t>Stallings</t>
  </si>
  <si>
    <t>Azocar</t>
  </si>
  <si>
    <t>CF -3, RF -0</t>
  </si>
  <si>
    <t>SS 4, 3B 0</t>
  </si>
  <si>
    <t>Hays</t>
  </si>
  <si>
    <t>Raul Mondesi, Nomar Mazara, Elvis Andrus</t>
  </si>
  <si>
    <t>Moniak</t>
  </si>
  <si>
    <t>Mickey</t>
  </si>
  <si>
    <t>Engel Beltre, Nomar Mazara, Raul Mondesi</t>
  </si>
  <si>
    <t>Rutherford</t>
  </si>
  <si>
    <t>Joe Benson, Engel Beltre, Chris Parmelee</t>
  </si>
  <si>
    <t>Duenez</t>
  </si>
  <si>
    <t>Samir</t>
  </si>
  <si>
    <t>Arauz</t>
  </si>
  <si>
    <t>Chisholm</t>
  </si>
  <si>
    <t>Jasrado</t>
  </si>
  <si>
    <t>Raul Mondesi, Elvis Andrus, Nomar Mazara</t>
  </si>
  <si>
    <t>Lux</t>
  </si>
  <si>
    <t>Raul Mondesi, Elvis Andrus, Carlos Triunfel</t>
  </si>
  <si>
    <t>Trammell</t>
  </si>
  <si>
    <t>Engel Beltre, Nomar Mazara, Francisco Pena</t>
  </si>
  <si>
    <t>Nomar Mazara, Engel Beltre, Raul Mondesi</t>
  </si>
  <si>
    <t>Grier</t>
  </si>
  <si>
    <t>Isabel</t>
  </si>
  <si>
    <t>Ibandel</t>
  </si>
  <si>
    <t>Fabian</t>
  </si>
  <si>
    <t>Sandro</t>
  </si>
  <si>
    <t>Taveras</t>
  </si>
  <si>
    <t>Leody</t>
  </si>
  <si>
    <t>Kirilloff</t>
  </si>
  <si>
    <t>Nomar Mazara, Engel Beltre, Rougned Odor</t>
  </si>
  <si>
    <t>Antuna</t>
  </si>
  <si>
    <t>Yasel</t>
  </si>
  <si>
    <t>Maitan</t>
  </si>
  <si>
    <t>Vladimir</t>
  </si>
  <si>
    <t>Benson</t>
  </si>
  <si>
    <t>Matias</t>
  </si>
  <si>
    <t>Seuly</t>
  </si>
  <si>
    <t>Yordan</t>
  </si>
  <si>
    <t>C -8, 1B 0</t>
  </si>
  <si>
    <t>Almanzar</t>
  </si>
  <si>
    <t>Nonie</t>
  </si>
  <si>
    <t>Nomar Mazara, Raul Mondesi, Rougned Odor</t>
  </si>
  <si>
    <t>Nomar Mazara, Francisco Pena, Raul Mondesi</t>
  </si>
  <si>
    <t>Straily</t>
  </si>
  <si>
    <t>Hoyt</t>
  </si>
  <si>
    <t>Armando</t>
  </si>
  <si>
    <t>Dayton</t>
  </si>
  <si>
    <t>Bush</t>
  </si>
  <si>
    <t>LeBlanc</t>
  </si>
  <si>
    <t>Robby</t>
  </si>
  <si>
    <t>Sewald</t>
  </si>
  <si>
    <t>Gallegos</t>
  </si>
  <si>
    <t>Stephens</t>
  </si>
  <si>
    <t>Boshers</t>
  </si>
  <si>
    <t>Kaprielian</t>
  </si>
  <si>
    <t>Kintzler</t>
  </si>
  <si>
    <t>Edubray</t>
  </si>
  <si>
    <t>Marquez</t>
  </si>
  <si>
    <t>Whalen</t>
  </si>
  <si>
    <t>Zastryzny</t>
  </si>
  <si>
    <t>Hildenberger</t>
  </si>
  <si>
    <t>Cease</t>
  </si>
  <si>
    <t>Paddack</t>
  </si>
  <si>
    <t>Szapucki</t>
  </si>
  <si>
    <t>Swarzak</t>
  </si>
  <si>
    <t>Cervenka</t>
  </si>
  <si>
    <t>Pounders</t>
  </si>
  <si>
    <t>Adleman</t>
  </si>
  <si>
    <t>Sherriff</t>
  </si>
  <si>
    <t>Steckenrider</t>
  </si>
  <si>
    <t>Suter</t>
  </si>
  <si>
    <t>Astin</t>
  </si>
  <si>
    <t>Carle</t>
  </si>
  <si>
    <t>Feyereisen</t>
  </si>
  <si>
    <t>Maton</t>
  </si>
  <si>
    <t>Miranda</t>
  </si>
  <si>
    <t>Waddell</t>
  </si>
  <si>
    <t>Gamboa</t>
  </si>
  <si>
    <t>Bleier</t>
  </si>
  <si>
    <t>Wimmers</t>
  </si>
  <si>
    <t>Moronta</t>
  </si>
  <si>
    <t>Milner</t>
  </si>
  <si>
    <t>Hoby</t>
  </si>
  <si>
    <t>Junis</t>
  </si>
  <si>
    <t>Magnifico</t>
  </si>
  <si>
    <t>Damien</t>
  </si>
  <si>
    <t>Koch</t>
  </si>
  <si>
    <t>Enns</t>
  </si>
  <si>
    <t>Lockett</t>
  </si>
  <si>
    <t>Garton</t>
  </si>
  <si>
    <t>Mayers</t>
  </si>
  <si>
    <t>Gadea</t>
  </si>
  <si>
    <t>Glover</t>
  </si>
  <si>
    <t>Koda</t>
  </si>
  <si>
    <t>Raudes</t>
  </si>
  <si>
    <t>Roniel</t>
  </si>
  <si>
    <t>Sixto</t>
  </si>
  <si>
    <t>Allard</t>
  </si>
  <si>
    <t>Kolby</t>
  </si>
  <si>
    <t>Minter</t>
  </si>
  <si>
    <t>Muller</t>
  </si>
  <si>
    <t>Wentz</t>
  </si>
  <si>
    <t>Gowdy</t>
  </si>
  <si>
    <t>MacGregor</t>
  </si>
  <si>
    <t>Ogle</t>
  </si>
  <si>
    <t>Braeden</t>
  </si>
  <si>
    <t>Pint</t>
  </si>
  <si>
    <t>Puk</t>
  </si>
  <si>
    <t>Zeuch</t>
  </si>
  <si>
    <t>Harrell</t>
  </si>
  <si>
    <t>Javy</t>
  </si>
  <si>
    <t>S</t>
  </si>
  <si>
    <t>Rayan</t>
  </si>
  <si>
    <t>Saupold</t>
  </si>
  <si>
    <t>Warwick</t>
  </si>
  <si>
    <t>Acevedo</t>
  </si>
  <si>
    <t>Hathaway</t>
  </si>
  <si>
    <t>Eppler</t>
  </si>
  <si>
    <t>Sborz</t>
  </si>
  <si>
    <t>McKenzie</t>
  </si>
  <si>
    <t>Triston</t>
  </si>
  <si>
    <t>Roberto Osuna, Jordan Lyles, Vicente Campos</t>
  </si>
  <si>
    <t>Akin</t>
  </si>
  <si>
    <t>Keegan</t>
  </si>
  <si>
    <t>Bieber</t>
  </si>
  <si>
    <t>Dunning</t>
  </si>
  <si>
    <t>Dane</t>
  </si>
  <si>
    <t>Manning</t>
  </si>
  <si>
    <t>Groome</t>
  </si>
  <si>
    <t>Beato</t>
  </si>
  <si>
    <t>De La Cruz</t>
  </si>
  <si>
    <t>Vicente</t>
  </si>
  <si>
    <t>Neverauskas</t>
  </si>
  <si>
    <t>Dovydas</t>
  </si>
  <si>
    <t>Funkhouser</t>
  </si>
  <si>
    <t>Dermody</t>
  </si>
  <si>
    <t>Hearn</t>
  </si>
  <si>
    <t>Krook</t>
  </si>
  <si>
    <t>Quantrill</t>
  </si>
  <si>
    <t>Cal</t>
  </si>
  <si>
    <t>Lauer</t>
  </si>
  <si>
    <t>Ragans</t>
  </si>
  <si>
    <t>Stout</t>
  </si>
  <si>
    <t>Vieira</t>
  </si>
  <si>
    <t>Thyago</t>
  </si>
  <si>
    <t>Rookie</t>
  </si>
  <si>
    <t>Crismatt</t>
  </si>
  <si>
    <t>Nabil</t>
  </si>
  <si>
    <t>Shore</t>
  </si>
  <si>
    <t>Goldberg</t>
  </si>
  <si>
    <t>Arano</t>
  </si>
  <si>
    <t>Sedlock</t>
  </si>
  <si>
    <t>Rodolfo</t>
  </si>
  <si>
    <t>Armenteros</t>
  </si>
  <si>
    <t>Rogelio</t>
  </si>
  <si>
    <t>Ferguson</t>
  </si>
  <si>
    <t>Yaisel</t>
  </si>
  <si>
    <t>Vines</t>
  </si>
  <si>
    <t>Ravenelle</t>
  </si>
  <si>
    <t>Clifton</t>
  </si>
  <si>
    <t>Aiken</t>
  </si>
  <si>
    <t>Long</t>
  </si>
  <si>
    <t>Nikorak</t>
  </si>
  <si>
    <t>Lakins</t>
  </si>
  <si>
    <t>Puckett</t>
  </si>
  <si>
    <t>Littell</t>
  </si>
  <si>
    <t>Lambert</t>
  </si>
  <si>
    <t>Matuella</t>
  </si>
  <si>
    <t>Liranzo</t>
  </si>
  <si>
    <t>Stinnett</t>
  </si>
  <si>
    <t>Staumont</t>
  </si>
  <si>
    <t>Yefrey</t>
  </si>
  <si>
    <t>Moreno</t>
  </si>
  <si>
    <t>Gerson</t>
  </si>
  <si>
    <t>Nix</t>
  </si>
  <si>
    <t>Santillan</t>
  </si>
  <si>
    <t>Payano</t>
  </si>
  <si>
    <t>Flexen</t>
  </si>
  <si>
    <t>Ashe</t>
  </si>
  <si>
    <t>Weigel</t>
  </si>
  <si>
    <t>Chalmers</t>
  </si>
  <si>
    <t>Neidert</t>
  </si>
  <si>
    <t>Alvarado</t>
  </si>
  <si>
    <t>Middleton</t>
  </si>
  <si>
    <t>Keynan</t>
  </si>
  <si>
    <t>Buehler</t>
  </si>
  <si>
    <t>Jemiola</t>
  </si>
  <si>
    <t>Elniery</t>
  </si>
  <si>
    <t>Hillman</t>
  </si>
  <si>
    <t>Barria</t>
  </si>
  <si>
    <t>Hinsz</t>
  </si>
  <si>
    <t>Gage</t>
  </si>
  <si>
    <t>Ofelky</t>
  </si>
  <si>
    <t>RF 5</t>
  </si>
  <si>
    <t>RF -1, LF -2</t>
  </si>
  <si>
    <t>CF -5</t>
  </si>
  <si>
    <t>LF 0, RF 0</t>
  </si>
  <si>
    <t>SS 0, 3B 0</t>
  </si>
  <si>
    <t>C 14</t>
  </si>
  <si>
    <t>C 13</t>
  </si>
  <si>
    <t>RF 2</t>
  </si>
  <si>
    <t>3B 6</t>
  </si>
  <si>
    <t>RF -1, LF 0</t>
  </si>
  <si>
    <t>RF -0, LF -0</t>
  </si>
  <si>
    <t>SS -4</t>
  </si>
  <si>
    <t>LF 1, RF -1</t>
  </si>
  <si>
    <t>3B -3, 2B 0</t>
  </si>
  <si>
    <t>SS -0, 2B 1</t>
  </si>
  <si>
    <t>LF 2, CF -0</t>
  </si>
  <si>
    <t>CF -2, RF 0</t>
  </si>
  <si>
    <t>SS -1, 2B -1</t>
  </si>
  <si>
    <t>C -6</t>
  </si>
  <si>
    <t>1B -1, LF -1</t>
  </si>
  <si>
    <t>LF -3, 1B -0</t>
  </si>
  <si>
    <t>Yolmer</t>
  </si>
  <si>
    <t>RF -0, LF 0</t>
  </si>
  <si>
    <t>SS 7</t>
  </si>
  <si>
    <t>2B -6</t>
  </si>
  <si>
    <t>2B 2, 3B -0</t>
  </si>
  <si>
    <t>2B -2, 3B 1</t>
  </si>
  <si>
    <t>1B -5</t>
  </si>
  <si>
    <t>C -8</t>
  </si>
  <si>
    <t>Breslow</t>
  </si>
  <si>
    <t>1B 6</t>
  </si>
  <si>
    <t>C 5</t>
  </si>
  <si>
    <t>1B -6</t>
  </si>
  <si>
    <t>LF -1, RF -1</t>
  </si>
  <si>
    <t>Presley</t>
  </si>
  <si>
    <t>RF 0</t>
  </si>
  <si>
    <t>1B 0, 3B -0</t>
  </si>
  <si>
    <t>CF -3, LF -0</t>
  </si>
  <si>
    <t>Sal</t>
  </si>
  <si>
    <t>Stammen</t>
  </si>
  <si>
    <t>3B 5</t>
  </si>
  <si>
    <t>1B -4, LF -1</t>
  </si>
  <si>
    <t>3B -1, 2B 1</t>
  </si>
  <si>
    <t>LF 2, CF 0</t>
  </si>
  <si>
    <t>RF 0, LF 0</t>
  </si>
  <si>
    <t>Kozma</t>
  </si>
  <si>
    <t>2018 PECOTA Weighted Mean Projections</t>
  </si>
  <si>
    <t>PECOTA projections are a privilege of your Baseball Prospectus Premium subscription.  Please do not distribute.    © 2002-2018 Prospectus Entertainment Ventures, LLC</t>
  </si>
  <si>
    <t>Fields added or changed in 2018 (Pitchers):</t>
  </si>
  <si>
    <t>Plate Appearances against (also commonly seen as BFP - "Batters Faced by Pitcher")</t>
  </si>
  <si>
    <t>Dwight</t>
  </si>
  <si>
    <t>Shaun</t>
  </si>
  <si>
    <t>Rex</t>
  </si>
  <si>
    <t>P.J.</t>
  </si>
  <si>
    <t>Burch</t>
  </si>
  <si>
    <t>Frank</t>
  </si>
  <si>
    <t>Wes</t>
  </si>
  <si>
    <t>Nik</t>
  </si>
  <si>
    <t>Onelki</t>
  </si>
  <si>
    <t>Miles</t>
  </si>
  <si>
    <t>Deck</t>
  </si>
  <si>
    <t>Diego</t>
  </si>
  <si>
    <t>Stefan</t>
  </si>
  <si>
    <t>Jermaine</t>
  </si>
  <si>
    <t>Fabio</t>
  </si>
  <si>
    <t>Dinelson</t>
  </si>
  <si>
    <t>Edward</t>
  </si>
  <si>
    <t>Roger Clemens, Erik Bedard, Jose Rijo</t>
  </si>
  <si>
    <t>Greg Maddux, Johnny Cueto, Roy Halladay</t>
  </si>
  <si>
    <t>Zack Greinke, Justin Verlander, Roger Clemens</t>
  </si>
  <si>
    <t>Jaime Garcia, Tyler Skaggs, Drew Smyly</t>
  </si>
  <si>
    <t>Marcus Stroman, Carlos Martinez, Rich Harden</t>
  </si>
  <si>
    <t>Erik Bedard, Justin Verlander, David Price</t>
  </si>
  <si>
    <t>Tom Seaver, Pedro Martinez, Jason Schmidt</t>
  </si>
  <si>
    <t>Jered Weaver, Gerrit Cole, Mat Latos</t>
  </si>
  <si>
    <t>Jake Arrieta, Carlos Carrasco, David Price</t>
  </si>
  <si>
    <t>Corey Kluber, Adam Wainwright, David Price</t>
  </si>
  <si>
    <t>Rich Harden, Phil Hughes, Alex Wood</t>
  </si>
  <si>
    <t>Alex Wood, Mat Latos, Rich Harden</t>
  </si>
  <si>
    <t>Adam Wainwright, Chris Carpenter, Justin Verlander</t>
  </si>
  <si>
    <t>Josh Johnson, Hyun-jin Ryu, Matt Cain</t>
  </si>
  <si>
    <t>Brandon Webb, Johnny Cueto, Roy Halladay</t>
  </si>
  <si>
    <t>Sonny Gray, Marcus Stroman, Justin Masterson</t>
  </si>
  <si>
    <t>Sonny Gray, Jose Quintana, David Price</t>
  </si>
  <si>
    <t>Erik Bedard, David Price, Josh Johnson</t>
  </si>
  <si>
    <t>Jose Quintana, David Price, Mat Latos</t>
  </si>
  <si>
    <t>Jacob deGrom, Tyson Ross, Dallas Keuchel</t>
  </si>
  <si>
    <t>Jordan Zimmermann, Patrick Corbin, Jake Odorizzi</t>
  </si>
  <si>
    <t>Dallas Keuchel, Garrett Richards, Brandon Webb</t>
  </si>
  <si>
    <t>Ohtani</t>
  </si>
  <si>
    <t>Shohei</t>
  </si>
  <si>
    <t>Felix Hernandez, Jose Fernandez, Dwight Gooden</t>
  </si>
  <si>
    <t>Andy Pettitte, Justin Verlander, Cliff Lee</t>
  </si>
  <si>
    <t>Masahiro Tanaka, Roy Oswalt, Bert Blyleven</t>
  </si>
  <si>
    <t>Cole Hamels, Zack Greinke, Ben Sheets</t>
  </si>
  <si>
    <t>Gio Gonzalez, Clay Buchholz, Max Scherzer</t>
  </si>
  <si>
    <t>Max Scherzer, John Smoltz, Jake Peavy</t>
  </si>
  <si>
    <t>Daniel Hudson, Brandon Beachy, J.P. Howell</t>
  </si>
  <si>
    <t>Mat Latos, Justin Verlander, Adam Wainwright</t>
  </si>
  <si>
    <t>Michael Fulmer, Daniel Hudson, Zach Davies</t>
  </si>
  <si>
    <t>Michael Pineda, Jarrod Parker, Daniel Hudson</t>
  </si>
  <si>
    <t>Roy Halladay, Zack Greinke, Ryan Dempster</t>
  </si>
  <si>
    <t>Gio Gonzalez, Chad Gaudin, Danny Duffy</t>
  </si>
  <si>
    <t>Hyun-jin Ryu, Jose Quintana, Mark Buehrle</t>
  </si>
  <si>
    <t>Roy Oswalt, Johan Santana, Josh Beckett</t>
  </si>
  <si>
    <t>Alex Cobb, Johnny Cueto, Alexi Ogando</t>
  </si>
  <si>
    <t>Aaron Nola, Brian Matusz, Alex White</t>
  </si>
  <si>
    <t>Shelby Miller, David Price, Matt Garza</t>
  </si>
  <si>
    <t>Josh Collmenter, Adam Warren, Jacob deGrom</t>
  </si>
  <si>
    <t>Justin Verlander, Clay Buchholz, Zack Greinke</t>
  </si>
  <si>
    <t>Jorge De La Rosa, Hisashi Iwakuma, Hiroki Kuroda</t>
  </si>
  <si>
    <t>Andy Pettitte, Gavin Floyd, Whitey Ford</t>
  </si>
  <si>
    <t>Max Scherzer, Brandon Morrow, Francisco Liriano</t>
  </si>
  <si>
    <t>Scott Kazmir, Madison Bumgarner, Joba Chamberlain</t>
  </si>
  <si>
    <t>Martin Perez, Daniel Hudson, Tom Gorzelanny</t>
  </si>
  <si>
    <t>Patrick Corbin, Jordan Zimmermann, Ricky Nolasco</t>
  </si>
  <si>
    <t>Mat Latos, Jordan Zimmermann, John Danks</t>
  </si>
  <si>
    <t>Carlos Carrasco, Tyson Ross, Zach McAllister</t>
  </si>
  <si>
    <t>Drew Pomeranz, Matt Moore, Alex Cobb</t>
  </si>
  <si>
    <t>Roger Clemens, Allie Reynolds, Hoyt Wilhelm</t>
  </si>
  <si>
    <t>Adam Wainwright, Jason Schmidt, Roy Halladay</t>
  </si>
  <si>
    <t>Rich Gossage, Rafael Soriano, David Robertson</t>
  </si>
  <si>
    <t>Joe Blanton, Kris Medlen, Roy Oswalt</t>
  </si>
  <si>
    <t>Alex Colome, Adam Warren, Josh Collmenter</t>
  </si>
  <si>
    <t>Alexi Ogando, Johnny Cueto, Doug Fister</t>
  </si>
  <si>
    <t>Felix Doubront, Luke Hochevar, Ricky Romero</t>
  </si>
  <si>
    <t>Francisco Liriano, Matt Garza, Ricky Nolasco</t>
  </si>
  <si>
    <t>Matt Harrison, Chris Volstad, Jacob Turner</t>
  </si>
  <si>
    <t>Adam Warren, Matt Andriese, Simon Castro</t>
  </si>
  <si>
    <t>Yonny</t>
  </si>
  <si>
    <t>Ross Stripling, Seth Maness, Tim Cooney</t>
  </si>
  <si>
    <t>Zack Greinke, Justin Verlander, Chris Carpenter</t>
  </si>
  <si>
    <t>Jordan Zimmermann, Jon Garland, Matt Cain</t>
  </si>
  <si>
    <t>Josh Outman, Joe Saunders, Jacob deGrom</t>
  </si>
  <si>
    <t>Wandy Rodriguez, Jon Lester, Francisco Liriano</t>
  </si>
  <si>
    <t>Paco Rodriguez, Huston Street, Chris Sale</t>
  </si>
  <si>
    <t>Andrew Heaney, Jesse Hahn, Alex Cobb</t>
  </si>
  <si>
    <t>Justin Verlander, Chris Carpenter, Ervin Santana</t>
  </si>
  <si>
    <t>Greg Holland, Carlos Marmol, A.J. Ramos</t>
  </si>
  <si>
    <t>Alex Cobb, Chris Tillman, Josh Johnson</t>
  </si>
  <si>
    <t>James Shields, Ricky Nolasco, Ervin Santana</t>
  </si>
  <si>
    <t>Tyson Ross, Jake Arrieta, Rubby De La Rosa</t>
  </si>
  <si>
    <t>Zack Greinke, Justin Verlander, Roy Oswalt</t>
  </si>
  <si>
    <t>B.J. Ryan, Francisco Cordero, Robb Nen</t>
  </si>
  <si>
    <t>Greg Holland, Carlos Marmol, David Robertson</t>
  </si>
  <si>
    <t>Greg Holland, Rich Gossage, B.J. Ryan</t>
  </si>
  <si>
    <t>Anthony Reyes, Zach McAllister, James McDonald</t>
  </si>
  <si>
    <t>Matt Shoemaker, Chris Narveson, Dustin Nippert</t>
  </si>
  <si>
    <t>David Huff, Dan Haren, Kevin Slowey</t>
  </si>
  <si>
    <t>Yovani Gallardo, Phil Hughes, David Price</t>
  </si>
  <si>
    <t>John Lackey, Zack Greinke, Shaun Marcum</t>
  </si>
  <si>
    <t>Chris Tillman, Wade Davis, Alex Cobb</t>
  </si>
  <si>
    <t>Tim Hudson, Roy Halladay, Bob Gibson</t>
  </si>
  <si>
    <t>Adam Wainwright, CC Sabathia, C.J. Wilson</t>
  </si>
  <si>
    <t>Jerome Williams, Tim Stauffer, Jake Westbrook</t>
  </si>
  <si>
    <t>Tanner Roark, Clay Buchholz, Alexi Ogando</t>
  </si>
  <si>
    <t>Wilton Lopez, Phil Coke, Tony Watson</t>
  </si>
  <si>
    <t>Jhoulys Chacin, Barry Zito, Carlos Zambrano</t>
  </si>
  <si>
    <t>Mat Latos, John Danks, Vida Blue</t>
  </si>
  <si>
    <t>Joe Saunders, Dustin McGowan, Jeff Niemann</t>
  </si>
  <si>
    <t>Nick Tropeano, Tyler Duffey, A.J. Griffin</t>
  </si>
  <si>
    <t>Marcus Stroman, Jeremy Hellickson, Matt Harvey</t>
  </si>
  <si>
    <t>Mike Montgomery, Tyler Danish, Francis Martes</t>
  </si>
  <si>
    <t>Dallas Braden, Matt Garza, Patrick Corbin</t>
  </si>
  <si>
    <t>Trevor Rosenthal, Jeurys Familia, Jose Arredondo</t>
  </si>
  <si>
    <t>Shaun Marcum, Bud Norris, A.J. Griffin</t>
  </si>
  <si>
    <t>Sean Doolittle, Cody Allen, Francisco Rodriguez</t>
  </si>
  <si>
    <t>Vincent Velasquez, Travis Wood, Matt Harvey</t>
  </si>
  <si>
    <t>Matt Harvey, Scott Elbert, Matt Moore</t>
  </si>
  <si>
    <t>Felipe Rivero, Jeanmar Gomez, Trevor Bell</t>
  </si>
  <si>
    <t>Martin Perez, Aaron Laffey, Sean Marshall</t>
  </si>
  <si>
    <t>Carlos Frias, Taylor Jordan, Tyler Anderson</t>
  </si>
  <si>
    <t>Alexi Ogando, Kris Medlen, Josh Johnson</t>
  </si>
  <si>
    <t>Lamet</t>
  </si>
  <si>
    <t>Jake Odorizzi, Danny Duffy, Marc Rzepczynski</t>
  </si>
  <si>
    <t>Hiroki Kuroda, Adam Wainwright, David Cone</t>
  </si>
  <si>
    <t>Homer Bailey, Kyle Lohse, Jason Hammel</t>
  </si>
  <si>
    <t>Scott Feldman, Tim Hudson, Larry Jackson</t>
  </si>
  <si>
    <t>Brian Fuentes, J.J. Putz, Jonathan Papelbon</t>
  </si>
  <si>
    <t>Dustin McGowan, Justin Grimm, Andrew Cashner</t>
  </si>
  <si>
    <t>Colby Lewis, Josh Towers, Brett Myers</t>
  </si>
  <si>
    <t>Joey Devine, Danny Farquhar, Aaron Barrett</t>
  </si>
  <si>
    <t>Jeremy Accardo, Jesse Crain, Manny Corpas</t>
  </si>
  <si>
    <t>Ian Snell, Chuck James, Dan Haren</t>
  </si>
  <si>
    <t>Tyler Skaggs, Jaime Garcia, Matt Garza</t>
  </si>
  <si>
    <t>Jenrry Mejia, Erasmo Ramirez, Alex Sanabia</t>
  </si>
  <si>
    <t>Woodruff</t>
  </si>
  <si>
    <t>Tim Cooney, Steven Brault, Rafael Montero</t>
  </si>
  <si>
    <t>Chris Bassitt, Lucas Harrell, Darrell Rasner</t>
  </si>
  <si>
    <t>Wade Miley, Williams Perez, Jeanmar Gomez</t>
  </si>
  <si>
    <t>Matt Moore, Trevor Rosenthal, Tony Cingrani</t>
  </si>
  <si>
    <t>Vin Mazzaro, Zach Duke, Robert Gsellman</t>
  </si>
  <si>
    <t>Juan Nicasio, Anthony Reyes, John Maine</t>
  </si>
  <si>
    <t>Hayden Penn, Jason Hammel, Carlos Carrasco</t>
  </si>
  <si>
    <t>Matt Moore, Edwin Diaz, Aroldis Chapman</t>
  </si>
  <si>
    <t>Erik Johnson, Jimmy Nelson, Taylor Jungmann</t>
  </si>
  <si>
    <t>Zach Braddock, Shelby Miller, Tyler Glasnow</t>
  </si>
  <si>
    <t>Lucchesi</t>
  </si>
  <si>
    <t>Matt Maloney, Kyle Gibson, Sean Nolin</t>
  </si>
  <si>
    <t>Jose Contreras, Andy Pettitte, John Lackey</t>
  </si>
  <si>
    <t>Jacob deGrom, Adam Warren, Justin Wilson</t>
  </si>
  <si>
    <t>Felix Doubront, Wandy Rodriguez, Derek Holland</t>
  </si>
  <si>
    <t>Cliff Lee, Jeff Samardzija, Gaylord Perry</t>
  </si>
  <si>
    <t>Chris Young, Vidal Nuno, Chase Anderson</t>
  </si>
  <si>
    <t>Doug Fister, Clay Buchholz, Brandon McCarthy</t>
  </si>
  <si>
    <t>Carlos Martinez, Carlos Zambrano, Jarred Cosart</t>
  </si>
  <si>
    <t>Matt Barnes, David Purcey, Junichi Tazawa</t>
  </si>
  <si>
    <t>Chad Qualls, Alex Wilson, Vin Mazzaro</t>
  </si>
  <si>
    <t>Matt Lindstrom, Jared Hughes, Tom Wilhelmsen</t>
  </si>
  <si>
    <t>Zach McAllister, Justin Germano, Juan Nicasio</t>
  </si>
  <si>
    <t>Ubaldo Jimenez, Jon Lester, Sonny Gray</t>
  </si>
  <si>
    <t>Ramon Ramirez, Justin Grimm, Andrew Bailey</t>
  </si>
  <si>
    <t>Ken Giles, Rex Brothers, Sean Doolittle</t>
  </si>
  <si>
    <t>Jordan Zimmermann, Felix Doubront, Sean Manaea</t>
  </si>
  <si>
    <t>Johnny Cueto, Andrew Miller, David Price</t>
  </si>
  <si>
    <t>Jon Niese, Luke Weaver, Daniel Norris</t>
  </si>
  <si>
    <t>Jaime Garcia, Matt Cain, Noah Syndergaard</t>
  </si>
  <si>
    <t>Zeke Spruill, Mitch Talbot, Tyler Wagner</t>
  </si>
  <si>
    <t>Mike Bolsinger, Eric Surkamp, Nate Karns</t>
  </si>
  <si>
    <t>Jeff Niemann, Jacob deGrom, Matt Andriese</t>
  </si>
  <si>
    <t>Daniel Winkler, Tyler Wilson, Kyle Lobstein</t>
  </si>
  <si>
    <t>Eduardo Rodriguez, David Holmberg, Ian Krol</t>
  </si>
  <si>
    <t>Madison Bumgarner, Clayton Kershaw, Tyler Skaggs</t>
  </si>
  <si>
    <t>Bryan Augenstein, Tyler Danish, Zach Eflin</t>
  </si>
  <si>
    <t>Lloyd</t>
  </si>
  <si>
    <t>Yohan Pino, Logan Darnell, Travis Blackley</t>
  </si>
  <si>
    <t>Jameson Taillon, David Holmberg, Martin Perez</t>
  </si>
  <si>
    <t>Tim Cooney, Rudy Owens, Liam Hendriks</t>
  </si>
  <si>
    <t>James Paxton, Matt Moore, Matt Harvey</t>
  </si>
  <si>
    <t>Scot Shields, Pedro Strop, Jesse Crain</t>
  </si>
  <si>
    <t>Pedro Strop, Brandon Webb, Chad Qualls</t>
  </si>
  <si>
    <t>Freddy Garcia, Ben Sheets, Brandon McCarthy</t>
  </si>
  <si>
    <t>Rich Hill, Corey Kluber, Collin McHugh</t>
  </si>
  <si>
    <t>C.J. Wilson, A.J. Burnett, Anibal Sanchez</t>
  </si>
  <si>
    <t>Mikolas</t>
  </si>
  <si>
    <t>Brandon McCarthy, Zach McAllister, Brian Bannister</t>
  </si>
  <si>
    <t>Taylor Jungmann, Phil Coke, Mike Montgomery</t>
  </si>
  <si>
    <t>Brian Wilson, Joey Devine, A.J. Ramos</t>
  </si>
  <si>
    <t>Matt Garza, Yovani Gallardo, Mark Buehrle</t>
  </si>
  <si>
    <t>Hiroki Kuroda, Kevin Brown, Roger Clemens</t>
  </si>
  <si>
    <t>Liam Hendriks, Jose Alvarez, Joe Saunders</t>
  </si>
  <si>
    <t>Peters</t>
  </si>
  <si>
    <t>Jeff Manship, Wade Miley, T.J. House</t>
  </si>
  <si>
    <t>Joey Devine, Paco Rodriguez, Cody Allen</t>
  </si>
  <si>
    <t>Anthony DeSclafani, Liam Hendriks, Matt Andriese</t>
  </si>
  <si>
    <t>Rucinski</t>
  </si>
  <si>
    <t>Yohan Pino, Toru Murata, Jamie Brown</t>
  </si>
  <si>
    <t>Simon Castro, Carlos Carrasco, Josh Lindblom</t>
  </si>
  <si>
    <t>David Paulino, Mauricio Robles, Dan Cortes</t>
  </si>
  <si>
    <t>Jason Vargas, Roy Oswalt, J.A. Happ</t>
  </si>
  <si>
    <t>Jose Valverde, Akinori Otsuka, Scot Shields</t>
  </si>
  <si>
    <t>Jeff Samardzija, Chad Gaudin, Carlos Villanueva</t>
  </si>
  <si>
    <t>Henderson Alvarez, Mark Buehrle, Hyun-jin Ryu</t>
  </si>
  <si>
    <t>Hector Rondon, Bryan Shaw, Bobby Jenks</t>
  </si>
  <si>
    <t>Tyson Ross, Clay Buchholz, Doug Fister</t>
  </si>
  <si>
    <t>Brian Duensing, Josh Outman, Mitchell Boggs</t>
  </si>
  <si>
    <t>Brian Bannister, John Maine, David Phelps</t>
  </si>
  <si>
    <t>Bruce Rondon, David Robertson, Daniel Schlereth</t>
  </si>
  <si>
    <t>Erik Bedard, A.J. Burnett, Jose Contreras</t>
  </si>
  <si>
    <t>Valdez</t>
  </si>
  <si>
    <t>Justin Germano, Andy Van Hekken, Kyle Davies</t>
  </si>
  <si>
    <t>Yovani Gallardo, Scott Feldman, Clay Buchholz</t>
  </si>
  <si>
    <t>Gil Meche, Paul Maholm, Matt Garza</t>
  </si>
  <si>
    <t>Troy Percival, Lee Smith, John Wetteland</t>
  </si>
  <si>
    <t>J.A. Happ, John Maine, Ramon Ramirez</t>
  </si>
  <si>
    <t>Joe Saunders, Aaron Heilman, Alfredo Aceves</t>
  </si>
  <si>
    <t>Edwards Jr.</t>
  </si>
  <si>
    <t>Kevin Siegrist, Carson Smith, Kevin Quackenbush</t>
  </si>
  <si>
    <t>Anthony Ranaudo, Chris Heston, Joe Biagini</t>
  </si>
  <si>
    <t>Anthony Bass, Anthony Swarzak, Alex Sanabia</t>
  </si>
  <si>
    <t>Travis Wood, Vincent Velasquez, Jon Gray</t>
  </si>
  <si>
    <t>Joe Blanton, Erasmo Ramirez, Jeremy Sowers</t>
  </si>
  <si>
    <t>Leiter</t>
  </si>
  <si>
    <t>Kyle Lobstein, Blake Hawksworth, Jose Alvarez</t>
  </si>
  <si>
    <t>Arodys Vizcaino, German Marquez, Gerrit Cole</t>
  </si>
  <si>
    <t>Hunter Strickland, Sergio Romo, Nick Vincent</t>
  </si>
  <si>
    <t>Red Patterson, Tyler Pill, Roenis Elias</t>
  </si>
  <si>
    <t>Julio Teheran, Jacob Turner, Manny Banuelos</t>
  </si>
  <si>
    <t>Kevin Mulvey, Bobby Livingston, Robert Gsellman</t>
  </si>
  <si>
    <t>Drew Smyly, Zack Wheeler, Blake Snell</t>
  </si>
  <si>
    <t>Rucker</t>
  </si>
  <si>
    <t>Paolo Espino, P.J. Walters, Hector Noesi</t>
  </si>
  <si>
    <t>J.J. Putz, Francisco Cordero, Matt Thornton</t>
  </si>
  <si>
    <t>John Lackey, Kevin Millwood, Johan Santana</t>
  </si>
  <si>
    <t>Francisco Cordero, Scot Shields, Jason Isringhausen</t>
  </si>
  <si>
    <t>Matt Thornton, Heath Bell, Francisco Cordero</t>
  </si>
  <si>
    <t>Luke Gregerson, Scot Shields, J.J. Putz</t>
  </si>
  <si>
    <t>Mariano Rivera, Jason Isringhausen, Casey Janssen</t>
  </si>
  <si>
    <t>Drew Storen, Addison Reed, Jordan Walden</t>
  </si>
  <si>
    <t>Mat Latos, Matt Harrison, John Danks</t>
  </si>
  <si>
    <t>Jason Frasor, Jesse Crain, Kevin Gregg</t>
  </si>
  <si>
    <t>Sergio Santos, Antonio Bastardo, Boone Logan</t>
  </si>
  <si>
    <t>Bronson Arroyo, Shaun Marcum, Jordan Zimmermann</t>
  </si>
  <si>
    <t>Carlos Villanueva, Randall Delgado, Kyle McClellan</t>
  </si>
  <si>
    <t>Joe Blanton, Chris Tillman, Brandon McCarthy</t>
  </si>
  <si>
    <t>Chris Sampson, Luis Mendoza, Jorge Campillo</t>
  </si>
  <si>
    <t>Brandon League, Sean Burnett, Nick Masset</t>
  </si>
  <si>
    <t>Ken Giles, Addison Reed, Kelvin Herrera</t>
  </si>
  <si>
    <t>Drew Storen, Hector Rondon, Joe Black</t>
  </si>
  <si>
    <t>David Wells, Tim Wakefield, Jamie Moyer</t>
  </si>
  <si>
    <t>CC Sabathia, Doug Davis, Andy Pettitte</t>
  </si>
  <si>
    <t>Jordan Zimmermann, Josh Johnson, Kris Medlen</t>
  </si>
  <si>
    <t>Troy Patton, Mike McClendon, Jose Alvarez</t>
  </si>
  <si>
    <t>Francisco Rodriguez, Jonathan Broxton, Jordan Walden</t>
  </si>
  <si>
    <t>Mitch Talbot, Trevor Williams, Brian Flynn</t>
  </si>
  <si>
    <t>Dustin McGowan, Brandon McCarthy, Noah Lowry</t>
  </si>
  <si>
    <t>Nick Tropeano, Josh Collmenter, Rafael Perez</t>
  </si>
  <si>
    <t>Rafael Montero, Tim Cooney, Alfredo Aceves</t>
  </si>
  <si>
    <t>Sammy Solis, Michael Blazek, Blake Treinen</t>
  </si>
  <si>
    <t>Mike Montgomery, Burke Badenhop, Alex Colome</t>
  </si>
  <si>
    <t>Joe Saunders, Josh Outman, Clay Hensley</t>
  </si>
  <si>
    <t>Alex Colome, Justin Wilson, Ryan Cook</t>
  </si>
  <si>
    <t>Andrew Bailey, Phil Coke, Juan Gutierrez</t>
  </si>
  <si>
    <t>David Phelps, Cesar Valdez, Hiram Burgos</t>
  </si>
  <si>
    <t>Brian Duensing, Tyler Wagner, Myles Jaye</t>
  </si>
  <si>
    <t>Angel Guzman, Matt Boyd, Wade LeBlanc</t>
  </si>
  <si>
    <t>Chad Bettis, Hector Noesi, Joe Wieland</t>
  </si>
  <si>
    <t>Henry Owens, Eric Surkamp, Vincent Velasquez</t>
  </si>
  <si>
    <t>Jeff Hoffman, J.R. Graham, Dallas Keuchel</t>
  </si>
  <si>
    <t>David Carpenter, Ryan Speier, Ehren Wassermann</t>
  </si>
  <si>
    <t>Hatch</t>
  </si>
  <si>
    <t>John Gant, Steven Matz, Giovanni Soto</t>
  </si>
  <si>
    <t>Darren Oliver, Larry Andersen, Mike Stanton</t>
  </si>
  <si>
    <t>Fernando Rodriguez, Greg Aquino, Jason Bulger</t>
  </si>
  <si>
    <t>Kris Medlen, David Phelps, A.J. Burnett</t>
  </si>
  <si>
    <t>Bryan Shaw, Bobby Jenks, Robbie Ross</t>
  </si>
  <si>
    <t>Phil Coke, Matt Guerrier, Vinnie Chulk</t>
  </si>
  <si>
    <t>J.P. Howell, Jonathan Papelbon, Jim Johnson</t>
  </si>
  <si>
    <t>Fernando Rodriguez, Grant Balfour, Mike Adams</t>
  </si>
  <si>
    <t>Joakim Soria, Steve Cishek, Bobby Jenks</t>
  </si>
  <si>
    <t>Jose Valverde, Rafael Soriano, Brian Fuentes</t>
  </si>
  <si>
    <t>Mariano Rivera, Burke Badenhop, Jim Johnson</t>
  </si>
  <si>
    <t>Sean Marshall, Carlos Villanueva, Kyle McClellan</t>
  </si>
  <si>
    <t>Brian Schlitter, Dana Eveland, Dan Otero</t>
  </si>
  <si>
    <t>Jared Hughes, Burke Badenhop, Matt Albers</t>
  </si>
  <si>
    <t>Jared Burton, Joe Smith, Jeff Bennett</t>
  </si>
  <si>
    <t>John Franco, Eric O'Flaherty, Sparky Lyle</t>
  </si>
  <si>
    <t>Luke Gregerson, Sparky Lyle, Steve Cishek</t>
  </si>
  <si>
    <t>Aaron Harang, J.A. Happ, Claudio Vargas</t>
  </si>
  <si>
    <t>Wade LeBlanc, Doug Fister, Carlos Carrasco</t>
  </si>
  <si>
    <t>Joe Kelly, Tyson Ross, Roberto Hernandez</t>
  </si>
  <si>
    <t>Antonio Bastardo, Bud Norris, Scott Elbert</t>
  </si>
  <si>
    <t>Ty Blach, Josh Geer, Ryan Merritt</t>
  </si>
  <si>
    <t>Carl Pavano, Bartolo Colon, Josh Beckett</t>
  </si>
  <si>
    <t>Ervin Santana, Jason Hammel, John Lackey</t>
  </si>
  <si>
    <t>Ross Detwiler, Jeff Niemann, Tom Gorzelanny</t>
  </si>
  <si>
    <t>Philip Humber, Edgar Gonzalez, Guillermo Moscoso</t>
  </si>
  <si>
    <t>Dave Williams, Clayton Richard, Charlie Morton</t>
  </si>
  <si>
    <t>Mike Burns, Daniel McCutchen, Seth Lugo</t>
  </si>
  <si>
    <t>Mike Fiers, Matt Wise, Matt Shoemaker</t>
  </si>
  <si>
    <t>Brad Lincoln, Marco Estrada, Ariel Miranda</t>
  </si>
  <si>
    <t>Daniel  Herrera, Steve Cishek, Mark Melancon</t>
  </si>
  <si>
    <t>Brian Johnson, Adam Warren, Steven Matz</t>
  </si>
  <si>
    <t>Gossett</t>
  </si>
  <si>
    <t>Hayden Penn, Nick Tepesch, Christian Friedrich</t>
  </si>
  <si>
    <t>A.J. Ramos, Brian Wilson, Joey Devine</t>
  </si>
  <si>
    <t>Tyler Anderson, Randy Wells, Matt Andriese</t>
  </si>
  <si>
    <t>Dan Runzler, Alex Hinshaw, Mark Melancon</t>
  </si>
  <si>
    <t>Andrew Albers, A.J. Schugel, Chris Heston</t>
  </si>
  <si>
    <t>Aaron Laffey, Robbie Ross, Jake Buchanan</t>
  </si>
  <si>
    <t>Tyler Anderson, Randy Wells, T.J. McFarland</t>
  </si>
  <si>
    <t>Jacob Faria, Dylan Bundy, Jon Gray</t>
  </si>
  <si>
    <t>Edwar Cabrera, Matt Strahm, Jharel Cotton</t>
  </si>
  <si>
    <t>Casey Fien, Brad Brach, Nick Vincent</t>
  </si>
  <si>
    <t>Andrew Albers, Rick VandenHurk, Chris Narveson</t>
  </si>
  <si>
    <t>Cortes</t>
  </si>
  <si>
    <t>Nestor</t>
  </si>
  <si>
    <t>Dylan Bundy, Glenn Sparkman, David Paulino</t>
  </si>
  <si>
    <t>Shawn Morimando, Keury Mella, Andrew Cashner</t>
  </si>
  <si>
    <t>Tyson Brummett, Matt Purke, Oliver Drake</t>
  </si>
  <si>
    <t>Shawn Tolleson, Yimi Garcia, Chad Orvella</t>
  </si>
  <si>
    <t>Conlon</t>
  </si>
  <si>
    <t>Dillon Gee, Troy Patton, Elih Villanueva</t>
  </si>
  <si>
    <t>Civale</t>
  </si>
  <si>
    <t>Brady Rodgers, Logan Verrett, Eric Skoglund</t>
  </si>
  <si>
    <t>Nick Tropeano, Burch Smith, Pierce Johnson</t>
  </si>
  <si>
    <t>JoJo</t>
  </si>
  <si>
    <t>Jordan Walden, Jarred Cosart, Will Smith</t>
  </si>
  <si>
    <t>Cionel</t>
  </si>
  <si>
    <t>Jace Fry, Rudy Owens, Alex Cobb</t>
  </si>
  <si>
    <t>Joakim Soria, Kevin Gregg, Will Ohman</t>
  </si>
  <si>
    <t>Dan Haren, Jon Lieber, Jim Bunning</t>
  </si>
  <si>
    <t>Luke Gregerson, Keith Foulke, Sparky Lyle</t>
  </si>
  <si>
    <t>Sergio Romo, Jonathan Papelbon, Keith Foulke</t>
  </si>
  <si>
    <t>Adam Ottavino, Fernando Rodney, Michael Wuertz</t>
  </si>
  <si>
    <t>Jason Bulger, Blake Wood, Jim Henderson</t>
  </si>
  <si>
    <t>John Lannan, Paul Maholm, Matt Harrison</t>
  </si>
  <si>
    <t>Homer Bailey, Chris Tillman, Danny Duffy</t>
  </si>
  <si>
    <t>Rich Hill, Chris Young, Tyler Thornburg</t>
  </si>
  <si>
    <t>Kittredge</t>
  </si>
  <si>
    <t>Mickey Storey, R.J. Swindle, Jess Todd</t>
  </si>
  <si>
    <t>Michael Bowden, Cory Gearrin, Blaine Hardy</t>
  </si>
  <si>
    <t>Francisco Cordero, Wade Davis, Tyler Clippard</t>
  </si>
  <si>
    <t>Adam Warren, David Phelps, Tom Mastny</t>
  </si>
  <si>
    <t>Ehren Wassermann, Andrew Triggs, Jeremy Jeffress</t>
  </si>
  <si>
    <t>Nick Martinez, Jeremy Sowers, Travis Wood</t>
  </si>
  <si>
    <t>Sean Gilmartin, Brad Lincoln, Kyle Lobstein</t>
  </si>
  <si>
    <t>Anthony Reyes, Vincent Velasquez, Jake Odorizzi</t>
  </si>
  <si>
    <t>Neftali Feliz, David Hernandez, Juan Cruz</t>
  </si>
  <si>
    <t>Tim Wakefield, Kenny Rogers, Jamie Moyer</t>
  </si>
  <si>
    <t>Kensing</t>
  </si>
  <si>
    <t>Josh Kinney, Jason Childers, Bryan Corey</t>
  </si>
  <si>
    <t>Whitey Ford, Scott Feldman, C.J. Wilson</t>
  </si>
  <si>
    <t>Jason Frasor, Michael Wuertz, Joakim Soria</t>
  </si>
  <si>
    <t>Cory Wade, Jesse Carlson, Pedro Baez</t>
  </si>
  <si>
    <t>Eric Stults, Dave Borkowski, Zach Duke</t>
  </si>
  <si>
    <t>Brian Wilson, Jake Diekman, Steve Cishek</t>
  </si>
  <si>
    <t>Espino</t>
  </si>
  <si>
    <t>Paolo</t>
  </si>
  <si>
    <t>Devern Hansack, Mitch Atkins, Mark DiFelice</t>
  </si>
  <si>
    <t>Roberto Hernandez, Jimmy Nelson, Joe Kelly</t>
  </si>
  <si>
    <t>Alexi Ogando, Sergio Santos, Rex Brothers</t>
  </si>
  <si>
    <t>Juan Nicasio, Kei Igawa, Hector Noesi</t>
  </si>
  <si>
    <t>Duane Below, Cha Seung Baek, Pat Misch</t>
  </si>
  <si>
    <t>Boof Bonser, Radhames Liz, Matt Boyd</t>
  </si>
  <si>
    <t>A.J. Ramos, Steve Cishek, Jeremy Jeffress</t>
  </si>
  <si>
    <t>Anthony DeSclafani, A.J. Cole, Luis Cessa</t>
  </si>
  <si>
    <t>Carlos Torres, Warwick Saupold, Jacob Barnes</t>
  </si>
  <si>
    <t>Carlos Fisher, David Rollins, Michael Mariot</t>
  </si>
  <si>
    <t>Zach McAllister, Robbie Ross, Dallas Keuchel</t>
  </si>
  <si>
    <t>Cha Seung Baek, Christian Bergman, Andrew Albers</t>
  </si>
  <si>
    <t>Erick Fedde, Bud Norris, Christian Friedrich</t>
  </si>
  <si>
    <t>Scott Diamond, Garrett Richards, Rookie Davis</t>
  </si>
  <si>
    <t>Wang</t>
  </si>
  <si>
    <t>Wei-Chung</t>
  </si>
  <si>
    <t>Pat Misch, Tyler Olson, Chris Rusin</t>
  </si>
  <si>
    <t>Thorpe</t>
  </si>
  <si>
    <t>Carson Fulmer, Robbie Ray, Michael Stutes</t>
  </si>
  <si>
    <t>Zach McAllister, Matt Bowman, Rudy Owens</t>
  </si>
  <si>
    <t>Chris Tillman, Mat Latos, Jenrry Mejia</t>
  </si>
  <si>
    <t>Carlos Rodon, Tyler Glasnow, Carl Edwards Jr.</t>
  </si>
  <si>
    <t>Palumbo</t>
  </si>
  <si>
    <t>Lisalverto Bonilla, Brad Boxberger, Seth Rosin</t>
  </si>
  <si>
    <t>Justin Haley, James Houser, J.D. Durbin</t>
  </si>
  <si>
    <t>Tanner Scheppers, Josh Lindblom, Ben Taylor</t>
  </si>
  <si>
    <t>Travis Wood, Chris Tillman, Dan Straily</t>
  </si>
  <si>
    <t>Wade Davis, Chris Tillman, Jordan Zimmermann</t>
  </si>
  <si>
    <t>Frankie Montas, Charlie Furbush, Jon Moscot</t>
  </si>
  <si>
    <t>Daniel Gossett, Tyler Pill, Jeff Manship</t>
  </si>
  <si>
    <t>Jen-Ho Tseng, Zach Eflin, Jose Urena</t>
  </si>
  <si>
    <t>Brooks Brown, A.J. Schugel, Shawn Morimando</t>
  </si>
  <si>
    <t>Thornton</t>
  </si>
  <si>
    <t>Adrian Sampson, Tim Cooney, Zach Lee</t>
  </si>
  <si>
    <t>Duplantier</t>
  </si>
  <si>
    <t>Matt Harvey, Jordan Zimmermann, Eric Surkamp</t>
  </si>
  <si>
    <t>Gallen</t>
  </si>
  <si>
    <t>Rafael Montero, Brett Oberholtzer, Chih-Wei Hu</t>
  </si>
  <si>
    <t>Aaron Nola, Jeanmar Gomez, Adam Wilk</t>
  </si>
  <si>
    <t>Matt Lindstrom, Ryan Madson, Matt Guerrier</t>
  </si>
  <si>
    <t>Matt Thornton, Francisco Cordero, J.J. Putz</t>
  </si>
  <si>
    <t>Jason Vargas, Roy Oswalt, Ervin Santana</t>
  </si>
  <si>
    <t>Jose Valverde, Michael Gonzalez, Roberto Hernandez</t>
  </si>
  <si>
    <t>Jason Bulger, Cory Gearrin, Will Harris</t>
  </si>
  <si>
    <t>Heath Bell, Akinori Otsuka, Doug Jones</t>
  </si>
  <si>
    <t>Jon Niese, Felix Doubront, Wandy Rodriguez</t>
  </si>
  <si>
    <t>Carlos Torres, Tim Stauffer, Jorge Sosa</t>
  </si>
  <si>
    <t>Luke Gregerson, Justin Duchscherer, Aaron Heilman</t>
  </si>
  <si>
    <t>Saul Rivera, Casey Janssen, Ryan Mattheus</t>
  </si>
  <si>
    <t>Steve Cishek, Justin Wilson, Bobby Jenks</t>
  </si>
  <si>
    <t>Nick Masset, Jesse Crain, Lindy McDaniel</t>
  </si>
  <si>
    <t>Heath Bell, Casey Janssen, J.J. Putz</t>
  </si>
  <si>
    <t>Alexi Ogando, Jordan Walden, Trevor Rosenthal</t>
  </si>
  <si>
    <t>Jim Johnson, Eric O'Flaherty, Peter Moylan</t>
  </si>
  <si>
    <t>Homer Bailey, Matt Garza, Jason Hammel</t>
  </si>
  <si>
    <t>Tim Adleman, Andrew Albers, Brian Stokes</t>
  </si>
  <si>
    <t>Ricky Romero, Matt Moore, Trevor Cahill</t>
  </si>
  <si>
    <t>Velazquez</t>
  </si>
  <si>
    <t>Tim Adleman, Josh Smith, Rick VandenHurk</t>
  </si>
  <si>
    <t>Nick Vincent, Brad Brach, Heath Hembree</t>
  </si>
  <si>
    <t>Shawn Kelley, Matt Reynolds, Pedro Baez</t>
  </si>
  <si>
    <t>Jon Rauch, Aaron Heilman, Rich Hill</t>
  </si>
  <si>
    <t>Shawn Tolleson, Yimi Garcia, Michael Kohn</t>
  </si>
  <si>
    <t>Alec Mills, Tim Cooney, Steven Brault</t>
  </si>
  <si>
    <t>Jesse Carlson, Pedro Baez, Jason Frasor</t>
  </si>
  <si>
    <t>Ryan Pressly, Ryan Tucker, Jim Johnson</t>
  </si>
  <si>
    <t>Jared Hughes, Brad Ziegler, Chad Qualls</t>
  </si>
  <si>
    <t>Andy Pettitte, Matt Harrison, Hyun-jin Ryu</t>
  </si>
  <si>
    <t>Justin Germano, Kyle Davies, Mike Burns</t>
  </si>
  <si>
    <t>Francisco Cordero, Michael Gonzalez, Brendan Donnelly</t>
  </si>
  <si>
    <t>Gurka</t>
  </si>
  <si>
    <t>Chris Martin, Zach Phillips, Erik Davis</t>
  </si>
  <si>
    <t>Brian Duensing, Randy Wells, Odrisamer Despaigne</t>
  </si>
  <si>
    <t>Brandon Workman, Logan Verrett, Billy Buckner</t>
  </si>
  <si>
    <t>Dallas Beeler, Taylor Jordan, Luis Mendoza</t>
  </si>
  <si>
    <t>Andrew Chafin, Drew VerHagen, Carlos Frias</t>
  </si>
  <si>
    <t>David Rollins, Ramon A. Ramirez, Kevin Hart</t>
  </si>
  <si>
    <t>Billy Buckner, Chad Bettis, Kyle Lobstein</t>
  </si>
  <si>
    <t>Andrew Carpenter, Thad Weber, Oliver Drake</t>
  </si>
  <si>
    <t>Blake Treinen, Duane Below, Eric Surkamp</t>
  </si>
  <si>
    <t>Eduardo Sanchez, Stephen Pryor, Jose Dominguez</t>
  </si>
  <si>
    <t>Jonathan Sanchez, Juan Cruz, Brandon Morrow</t>
  </si>
  <si>
    <t>Scott Oberg, Fu-Te Ni, Tanner Scheppers</t>
  </si>
  <si>
    <t>Vance Worley, Chris Tillman, David Huff</t>
  </si>
  <si>
    <t>Jeff Locke, Matt Barnes, Antonio Bastardo</t>
  </si>
  <si>
    <t>Curtiss</t>
  </si>
  <si>
    <t>Santiago Casilla, Ben Heller, Jeff Beliveau</t>
  </si>
  <si>
    <t>Nick Tropeano, Ross Stripling, Frankie Montas</t>
  </si>
  <si>
    <t>Pedro Strop, Derrick Turnbow, Mark Melancon</t>
  </si>
  <si>
    <t>Brandon Workman, Chase Anderson, Tyler Lyons</t>
  </si>
  <si>
    <t>Fernando Cabrera, Chad Orvella, Tony Sipp</t>
  </si>
  <si>
    <t>Manny Delcarmen, Jordan Walden, Clay Zavada</t>
  </si>
  <si>
    <t>Cory Wade, Daniel  Herrera, Nick Vincent</t>
  </si>
  <si>
    <t>Jon Gray, Michael Bowden, Nick Maronde</t>
  </si>
  <si>
    <t>Kevin Jepsen, Ryan Pressly, Jose Arredondo</t>
  </si>
  <si>
    <t>Dennis Leonard, Jered Weaver, Homer Bailey</t>
  </si>
  <si>
    <t>Ross Stripling, David Phelps, Joe Saunders</t>
  </si>
  <si>
    <t>Chris Heston, Brent Suter, A.J. Schugel</t>
  </si>
  <si>
    <t>J.A. Happ, Jacob deGrom, Matt Barnes</t>
  </si>
  <si>
    <t>Barlow</t>
  </si>
  <si>
    <t>Amir Garrett, Mike Montgomery, Tom Koehler</t>
  </si>
  <si>
    <t>Chris Heston, Chris Bassitt, David Purcey</t>
  </si>
  <si>
    <t>Joe Biagini, Jordan Tata, A.J. Schugel</t>
  </si>
  <si>
    <t>David Huff, Ricardo Pinto, Hoby Milner</t>
  </si>
  <si>
    <t>T.J. House, Blake Wood, Bobby Parnell</t>
  </si>
  <si>
    <t>Charles Brewer, Samuel Gaviglio, Rudy Owens</t>
  </si>
  <si>
    <t>Josh Lindblom, Jose Ascanio, Jess Todd</t>
  </si>
  <si>
    <t>Oaks</t>
  </si>
  <si>
    <t>Ryan Merritt, Ty Blach, Matt Andriese</t>
  </si>
  <si>
    <t>Agrazal</t>
  </si>
  <si>
    <t>Donovan Hand, David Phelps, Joely Rodriguez</t>
  </si>
  <si>
    <t>Mark Worrell, Blake Parker, Drew Hayes</t>
  </si>
  <si>
    <t>Kyle Crockett, Chris Britton, Dominic Leone</t>
  </si>
  <si>
    <t>Zach Lee, Casey Kelly, Kyle Ryan</t>
  </si>
  <si>
    <t>Framber</t>
  </si>
  <si>
    <t>Bryan Price, J.J. Hoover, C.J. Riefenhauser</t>
  </si>
  <si>
    <t>Bud Norris, Erick Fedde, P.J. Walters</t>
  </si>
  <si>
    <t>Rob Rasmussen, Thad Weber, Charlie Furbush</t>
  </si>
  <si>
    <t>Koda Glover, Ken Giles, Silvino Bracho</t>
  </si>
  <si>
    <t>Jon Moscot, Matt Magill, Rudy Owens</t>
  </si>
  <si>
    <t>Casey Fien, Jesse Chavez, Tyler Walker</t>
  </si>
  <si>
    <t>Todd Coffey, Matt Lindstrom, Kevin Gregg</t>
  </si>
  <si>
    <t>Heath Bell, Francisco Cordero, Jose Valverde</t>
  </si>
  <si>
    <t>Daisuke Matsuzaka, Clay Hensley, Eric Stults</t>
  </si>
  <si>
    <t>Sergio Romo, Joakim Soria, Steve Cishek</t>
  </si>
  <si>
    <t>Blake Wood, Dane De La Rosa, Jason Bulger</t>
  </si>
  <si>
    <t>Saul Rivera, Sean Green, Anthony Varvaro</t>
  </si>
  <si>
    <t>Chad Qualls, Dan Jennings, Marc Rzepczynski</t>
  </si>
  <si>
    <t>Mike Lincoln, Jason Frasor, Justin Speier</t>
  </si>
  <si>
    <t>Hirano</t>
  </si>
  <si>
    <t>Yoshihisa</t>
  </si>
  <si>
    <t>Matt Belisle, Scott Downs, Bob Howry</t>
  </si>
  <si>
    <t>Francisco Cordero, Jason Frasor, Scot Shields</t>
  </si>
  <si>
    <t>Font</t>
  </si>
  <si>
    <t>Jordan Jankowski, Aaron Wilkerson, George Kontos</t>
  </si>
  <si>
    <t>Jared Burton, Bobby Seay, Matt Thornton</t>
  </si>
  <si>
    <t>Saul Rivera, Anthony Varvaro, Evan Meek</t>
  </si>
  <si>
    <t>Evan Meek, Cory Gearrin, Will Harris</t>
  </si>
  <si>
    <t>Scott Dohmann, Evan Scribner, Steve Delabar</t>
  </si>
  <si>
    <t>Warner Madrigal, Caleb Thielbar, Jose Ascanio</t>
  </si>
  <si>
    <t>Adam Wainwright, Mat Latos, Matt Cain</t>
  </si>
  <si>
    <t>Rick VandenHurk, Billy Buckner, Bryan Bullington</t>
  </si>
  <si>
    <t>George Kontos, Jay Jackson, Steve Johnson</t>
  </si>
  <si>
    <t>Jensen Lewis, David Hernandez, Fernando Nieve</t>
  </si>
  <si>
    <t>Dustin Nippert, Tyler Cravy, Kyle Weiland</t>
  </si>
  <si>
    <t>Braden Shipley, Bobby Livingston, Yorman Bazardo</t>
  </si>
  <si>
    <t>Kyle Lobstein, Sean Gilmartin, Brad Lincoln</t>
  </si>
  <si>
    <t>Miguel Batista, Bob Gibson, Allie Reynolds</t>
  </si>
  <si>
    <t>Matt Lindstrom, Matt Guerrier, Javier Lopez</t>
  </si>
  <si>
    <t>Josh Beckett, James Shields, A.J. Burnett</t>
  </si>
  <si>
    <t>Mark Buehrle, Hiroki Kuroda, Jim Perry</t>
  </si>
  <si>
    <t>D.J. Carrasco, Jamey Wright, Clay Hensley</t>
  </si>
  <si>
    <t>Barry Zito, Brad Penny, Gary Peters</t>
  </si>
  <si>
    <t>Michael Broadway, Blake Parker, Mike Zagurski</t>
  </si>
  <si>
    <t>Alex Wilson, Michael Bowden, Blaine Hardy</t>
  </si>
  <si>
    <t>Joe Smith, Mariano Rivera, Casey Janssen</t>
  </si>
  <si>
    <t>Jaime Garcia, Charlie Morton, Zach Duke</t>
  </si>
  <si>
    <t>Doug Slaten, Chaz Roe, Cory Gearrin</t>
  </si>
  <si>
    <t>Gavin Floyd, Carlos Zambrano, Gio Gonzalez</t>
  </si>
  <si>
    <t>Justin Masterson, Clay Buchholz, Gio Gonzalez</t>
  </si>
  <si>
    <t>Cody Allen, Antonio Bastardo, Frank Francisco</t>
  </si>
  <si>
    <t>Juan Rincon, Andrew Bailey, Joakim Soria</t>
  </si>
  <si>
    <t>Josh Tomlin, Esmil Rogers, J.A. Happ</t>
  </si>
  <si>
    <t>Jeff Bennett, Sean Burnett, Jared Burton</t>
  </si>
  <si>
    <t>Blake Parker, Michael Broadway, Brandon Gomes</t>
  </si>
  <si>
    <t>Blake Parker, Austin Adams, Jonathan Albaladejo</t>
  </si>
  <si>
    <t>Kyle Lobstein, Cody Anderson, Matt Belisle</t>
  </si>
  <si>
    <t>Bryan Mitchell, Kyle Weiland, Josh Tomlin</t>
  </si>
  <si>
    <t>Aaron Wilkerson, Carlos Torres, Bruce Billings</t>
  </si>
  <si>
    <t>Alex Colome, Josh Collmenter, Tom Koehler</t>
  </si>
  <si>
    <t>Bradford</t>
  </si>
  <si>
    <t>Mike McClendon, Dean Kiekhefer, Preston Guilmet</t>
  </si>
  <si>
    <t>Jake Barrett, Daniel  Herrera, Kyle Crockett</t>
  </si>
  <si>
    <t>Pedro Strop, Alex Hinshaw, Hunter Cervenka</t>
  </si>
  <si>
    <t>Gaviglio</t>
  </si>
  <si>
    <t>Arnold Leon, Charles Brewer, Brad Mills</t>
  </si>
  <si>
    <t>Jacob Barnes, David Rollins, Brent Suter</t>
  </si>
  <si>
    <t>David Huff, Dan Haren, Ian Snell</t>
  </si>
  <si>
    <t>Austin Pruitt, Tim Cooney, Josh Geer</t>
  </si>
  <si>
    <t>Brewer</t>
  </si>
  <si>
    <t>Colten</t>
  </si>
  <si>
    <t>Chris Reed, Collin McHugh, Matt Buschmann</t>
  </si>
  <si>
    <t>Osiris Matos, Randor Bierd, Luis Castillo</t>
  </si>
  <si>
    <t>Bryan Augenstein, Kyle McPherson, Alec Asher</t>
  </si>
  <si>
    <t>Povse</t>
  </si>
  <si>
    <t>David Phelps, Garrett Richards, Chris Rusin</t>
  </si>
  <si>
    <t>Jeff Beliveau, Brandon Gomes, Lisalverto Bonilla</t>
  </si>
  <si>
    <t>Eric Jokisch, Sean Gilmartin, Brent Suter</t>
  </si>
  <si>
    <t>Ben Hendrickson, Luis Mendoza, Graham Godfrey</t>
  </si>
  <si>
    <t>Casey Fien, Tyler Webb, Evan Scribner</t>
  </si>
  <si>
    <t>Pedro Strop, Lester Oliveros, Brandon Gomes</t>
  </si>
  <si>
    <t>Blake Beavan, Alex Sanabia, Casey Coleman</t>
  </si>
  <si>
    <t>Tim Cooney, Ross Stripling, Chris Stratton</t>
  </si>
  <si>
    <t>Oswalt</t>
  </si>
  <si>
    <t>Daniel Gossett, Tyler Pill, Brandon Workman</t>
  </si>
  <si>
    <t>Adam Morgan, Erick Fedde, Edwin Escobar</t>
  </si>
  <si>
    <t>Angel Guzman, Ramon Ramirez, Trevor May</t>
  </si>
  <si>
    <t>O'Grady</t>
  </si>
  <si>
    <t>Arnold Leon, A.J. Murray, Eric Surkamp</t>
  </si>
  <si>
    <t>Brad Hand, Jeanmar Gomez, Casey Coleman</t>
  </si>
  <si>
    <t>Jason Bulger, Jim Henderson, Blake Wood</t>
  </si>
  <si>
    <t>Mark Worrell, Cory Burns, Trevor Hildenberger</t>
  </si>
  <si>
    <t>Dustin Nippert, Phil Coke, Kevin Mulvey</t>
  </si>
  <si>
    <t>Bruce Billings, Francisco Cruceta, Yohan Pino</t>
  </si>
  <si>
    <t>Wilmer Font, Ariel Pena, Felix Pena</t>
  </si>
  <si>
    <t>Eric Surkamp, Arnold Leon, Darin Downs</t>
  </si>
  <si>
    <t>Dygestile-Therrien</t>
  </si>
  <si>
    <t>Jesen</t>
  </si>
  <si>
    <t>Mark Hamburger, Travis Schlichting, Jesse Chavez</t>
  </si>
  <si>
    <t>Drew VerHagen, Andrew Chafin, Jake Buchanan</t>
  </si>
  <si>
    <t>Jack Egbert, Brian Duensing, Joseph Colon</t>
  </si>
  <si>
    <t>George Kontos, Steve Johnson, Brad Mills</t>
  </si>
  <si>
    <t>Jim Henderson, Jason Bulger, Ian Thomas</t>
  </si>
  <si>
    <t>Brian Bannister, Brad Bergesen, Jeremy Sowers</t>
  </si>
  <si>
    <t>Chris Reed, Ryan Sadowski, Ryan Sherriff</t>
  </si>
  <si>
    <t>Buttrey</t>
  </si>
  <si>
    <t>David Hale, Ryan Mattheus, Henry Sosa</t>
  </si>
  <si>
    <t>Ranger</t>
  </si>
  <si>
    <t>Domingo German, Collin Balester, Adam Wilk</t>
  </si>
  <si>
    <t>Zeke Spruill, Kyle Ryan, Dallas Beeler</t>
  </si>
  <si>
    <t>Greg Reynolds, Robert Gsellman, Eduardo Rodriguez</t>
  </si>
  <si>
    <t>Luke Weaver, Casey Kelly, Liam Hendriks</t>
  </si>
  <si>
    <t>Liam Hendriks, Zach Davies, Michael Bowden</t>
  </si>
  <si>
    <t>Trivino</t>
  </si>
  <si>
    <t>Lou</t>
  </si>
  <si>
    <t>Chris Beck, Damien Magnifico, Donn Roach</t>
  </si>
  <si>
    <t>Gardewine</t>
  </si>
  <si>
    <t>Randor Bierd, Esmerling Vasquez, Alec Mills</t>
  </si>
  <si>
    <t>Daniel  Herrera, Zach Putnam, Wes Littleton</t>
  </si>
  <si>
    <t>Hector Santiago, James McDonald, Roman Mendez</t>
  </si>
  <si>
    <t>Michael Pineda, Edwin Diaz, Jacob Faria</t>
  </si>
  <si>
    <t>Akeel Morris, Jose Leclerc, Scott Elbert</t>
  </si>
  <si>
    <t>Yohan Flande, Joe Martinez, Eric Jokisch</t>
  </si>
  <si>
    <t>Drew VerHagen, Bobby Livingston, Eddie Butler</t>
  </si>
  <si>
    <t>Michael Stutes, Tony Sipp, Carson Fulmer</t>
  </si>
  <si>
    <t>Roman Mendez, Robbie Ray, James Houser</t>
  </si>
  <si>
    <t>Daniel Stange, Ryan Kelly, Dane De La Rosa</t>
  </si>
  <si>
    <t>Carl Edwards Jr., Dylan Bundy, Zack Wheeler</t>
  </si>
  <si>
    <t>Edwin Diaz, Matt Moore, Aroldis Chapman</t>
  </si>
  <si>
    <t>Luke Farrell, Justin Thomas, Parker Bridwell</t>
  </si>
  <si>
    <t>Aaron Nola, Adam Wilk, Kyle Drabek</t>
  </si>
  <si>
    <t>C.C. Lee, Josh Judy, Robbie Weinhardt</t>
  </si>
  <si>
    <t>Vicente Campos, Jeremy Hellickson, Brandon Maurer</t>
  </si>
  <si>
    <t>Noah Syndergaard, Shelby Miller, Francisco Liriano</t>
  </si>
  <si>
    <t>Lovelady</t>
  </si>
  <si>
    <t>Alex Claudio, Eduardo Sanchez, Corey Knebel</t>
  </si>
  <si>
    <t>Bruce Billings, Daniel Corcino, Max Fried</t>
  </si>
  <si>
    <t>Matt Harrison, Vance Worley, Zach Lee</t>
  </si>
  <si>
    <t>Bettencourt</t>
  </si>
  <si>
    <t>Greg Mahle, Kyle McGrath, Will Harris</t>
  </si>
  <si>
    <t>Henderson Alvarez, Jameson Taillon, Vicente Campos</t>
  </si>
  <si>
    <t>Bryse</t>
  </si>
  <si>
    <t>Lucas Giolito, Justin Nicolino, Jack Flaherty</t>
  </si>
  <si>
    <t>Felix Doubront, Max Povse, Nik Turley</t>
  </si>
  <si>
    <t>Ricardo Pinto, Cody Anderson, Jonathan Holder</t>
  </si>
  <si>
    <t>Lowther</t>
  </si>
  <si>
    <t>Frank Garces, Tony Cingrani, Vincent Velasquez</t>
  </si>
  <si>
    <t>Strotman</t>
  </si>
  <si>
    <t>Chris Flexen, Nick Martinez, Drew Anderson</t>
  </si>
  <si>
    <t>Jason Isringhausen, Grant Balfour, Francisco Cordero</t>
  </si>
  <si>
    <t>Johan Santana, Roy Oswalt, Jason Hammel</t>
  </si>
  <si>
    <t>Scott Linebrink, Justin Speier, Jason Motte</t>
  </si>
  <si>
    <t>Bob Howry, Jared Burton, LaTroy Hawkins</t>
  </si>
  <si>
    <t>Fernando Rodney, Francisco Cordero, Pedro Feliciano</t>
  </si>
  <si>
    <t>Jim Johnson, Tanner Scheppers, Anthony Swarzak</t>
  </si>
  <si>
    <t>Dayan</t>
  </si>
  <si>
    <t>Marcus McBeth, Conor Mullee, Jess Todd</t>
  </si>
  <si>
    <t>Bronson Arroyo, Shaun Marcum, Freddy Garcia</t>
  </si>
  <si>
    <t>Brad Brach, Louis Coleman, Jesse Chavez</t>
  </si>
  <si>
    <t>David Carpenter, Will Ohman, Al Alburquerque</t>
  </si>
  <si>
    <t>Needy</t>
  </si>
  <si>
    <t>Brooks Brown, Warwick Saupold, Joseph Colon</t>
  </si>
  <si>
    <t>Steve Delabar, Boone Logan, Vinnie Pestano</t>
  </si>
  <si>
    <t>Carlos Fisher, Tony Watson, Ian Thomas</t>
  </si>
  <si>
    <t>Dane De La Rosa, Will Harris, Cory Gearrin</t>
  </si>
  <si>
    <t>Robby Scott, Rob Delaney, Michael Mariot</t>
  </si>
  <si>
    <t>Kolarek</t>
  </si>
  <si>
    <t>Steve Schmoll, Jorge Rondon, Eric Fornataro</t>
  </si>
  <si>
    <t>Tony Sipp, David Aardsma, Shawn Kelley</t>
  </si>
  <si>
    <t>Scott Maine, Pedro Strop, Onelki Garcia</t>
  </si>
  <si>
    <t>Dan Otero, Kevin Cameron, Ryan Speier</t>
  </si>
  <si>
    <t>Alberto Arias, Colin Rea, Carlos Frias</t>
  </si>
  <si>
    <t>Francisco Cordero, Jim Brewer, Michael Gonzalez</t>
  </si>
  <si>
    <t>Chan Ho Park, Chris Capuano, Darren Oliver</t>
  </si>
  <si>
    <t>Akinori Otsuka, Mike Lincoln, Bob Wickman</t>
  </si>
  <si>
    <t>Takashi Saito, Hoyt Wilhelm, Satchel Paige</t>
  </si>
  <si>
    <t>Carl Pavano, Brian Bannister, Jeff Francis</t>
  </si>
  <si>
    <t>Phil Niekro, Gavin Floyd, Kevin Millwood</t>
  </si>
  <si>
    <t>Pat Neshek, Kerry Ligtenberg, Joe Thatcher</t>
  </si>
  <si>
    <t>Eddie Guardado, Rich Gossage, Francisco Rodriguez</t>
  </si>
  <si>
    <t>Scott Atchison, Jamey Wright, Doug Brocail</t>
  </si>
  <si>
    <t>Matt Wise, Kevin Jepsen, Craig Breslow</t>
  </si>
  <si>
    <t>D.J. Carrasco, Carlos Zambrano, Clay Hensley</t>
  </si>
  <si>
    <t>Matt Thornton, Akinori Otsuka, Tom Gordon</t>
  </si>
  <si>
    <t>Jean Machi, Josh Kinney, Scott Atchison</t>
  </si>
  <si>
    <t>Tim Stauffer, Brandon Morrow, Chris Narveson</t>
  </si>
  <si>
    <t>Armando Galarraga, Christian Friedrich, Chase Anderson</t>
  </si>
  <si>
    <t>Ramon A. Ramirez, Erik Goeddel, Rob Rasmussen</t>
  </si>
  <si>
    <t>Justin Lehr, Shane Loux, Clay Condrey</t>
  </si>
  <si>
    <t>Chien-Ming Wang, Aaron Cook, Jhoulys Chacin</t>
  </si>
  <si>
    <t>Hector Rondon, Boone Logan, Joe Smith</t>
  </si>
  <si>
    <t>Chad Reineke, Steven Shell, Erik Goeddel</t>
  </si>
  <si>
    <t>Tony Sipp, Shawn Tolleson, David Aardsma</t>
  </si>
  <si>
    <t>Mark Lowe, Hoyt Wilhelm, Jorge Julio</t>
  </si>
  <si>
    <t>Derek Law, Will Harris, Cory Gearrin</t>
  </si>
  <si>
    <t>Snelten</t>
  </si>
  <si>
    <t>Jack Egbert, Mike Hauschild, C.J. Riefenhauser</t>
  </si>
  <si>
    <t>Weiss</t>
  </si>
  <si>
    <t>Tyler Webb, Michael Brady, Danny Barnes</t>
  </si>
  <si>
    <t>Kenneth Roberts, Jeff Gray, Mike McClendon</t>
  </si>
  <si>
    <t>Joe Wieland, Alec Asher, Billy Buckner</t>
  </si>
  <si>
    <t>Jesse Chavez, Mayckol Guaipe, Chad Smith</t>
  </si>
  <si>
    <t>Abe Alvarez, Barry Enright, Todd Redmond</t>
  </si>
  <si>
    <t>Chris Heston, Luis Mendoza, Samuel Deduno</t>
  </si>
  <si>
    <t>Myles Jaye, Cesar Valdez, Amir Garrett</t>
  </si>
  <si>
    <t>C.C. Lee, Jose De La Torre, Cory Gearrin</t>
  </si>
  <si>
    <t>Mazzoni</t>
  </si>
  <si>
    <t>George Kontos, Eric Surkamp, Chris Narveson</t>
  </si>
  <si>
    <t>Matt Daley, Michael Mariot, Mitch Stetter</t>
  </si>
  <si>
    <t>Jon Gray, Matt Harvey, Michael Feliz</t>
  </si>
  <si>
    <t>Mike Foltynewicz, Buck Farmer, Felix Doubront</t>
  </si>
  <si>
    <t>Dustin McGowan, Brad Hand, Andy Oliver</t>
  </si>
  <si>
    <t>Eric Hurley, Garrett Olson, Neil Ramirez</t>
  </si>
  <si>
    <t>Taylor Jungmann, Tyler Anderson, Andrew Chafin</t>
  </si>
  <si>
    <t>Brady Rodgers, Logan Verrett, Charles Brewer</t>
  </si>
  <si>
    <t>Sandy Rosario, Jairo Asencio, Kelvin Jimenez</t>
  </si>
  <si>
    <t>Samuel Deduno, Alex Meyer, Bruce Billings</t>
  </si>
  <si>
    <t>Carlos Frias, Joe Biagini, John Koronka</t>
  </si>
  <si>
    <t>Nick Goody, R.J. Alvarez, Shawn Tolleson</t>
  </si>
  <si>
    <t>Callahan</t>
  </si>
  <si>
    <t>Chase Anderson, Seth Rosin, Jeremy Horst</t>
  </si>
  <si>
    <t>Joe Ortiz, Nick Rumbelow, Robbie Weinhardt</t>
  </si>
  <si>
    <t>Addison Reed, Jacob Lindgren, Craig Kimbrel</t>
  </si>
  <si>
    <t>Lucas Harrell, Jonny Venters, Tom Mastny</t>
  </si>
  <si>
    <t>Sergio Romo, Santiago Casilla, Vinnie Pestano</t>
  </si>
  <si>
    <t>Raul Alcantara, Trevor Williams, Dillon Peters</t>
  </si>
  <si>
    <t>Allen Webster, Brian Flynn, Ivan Nova</t>
  </si>
  <si>
    <t>Zach McAllister, Dallas Beeler, Kyle Hendricks</t>
  </si>
  <si>
    <t>Crichton</t>
  </si>
  <si>
    <t>Chad Smith, Mark Hamburger, Chad Girodo</t>
  </si>
  <si>
    <t>Hunter Jones, Zach Putnam, Jonathan Aro</t>
  </si>
  <si>
    <t>Alex Wilson, Jack Egbert, Samuel Gaviglio</t>
  </si>
  <si>
    <t>Paolo Espino, Brayan Villarreal, Zach Stewart</t>
  </si>
  <si>
    <t>A.J. Ramos, Vic Black, Michael Schwimer</t>
  </si>
  <si>
    <t>Darren O'Day, Ryan Cook, Craig Breslow</t>
  </si>
  <si>
    <t>Daniel Stumpf, Deunte Heath, Brent Suter</t>
  </si>
  <si>
    <t>Kurt Birkins, Tim Wood, Jonathan Albaladejo</t>
  </si>
  <si>
    <t>Pill</t>
  </si>
  <si>
    <t>Phil Irwin, Logan Darnell, Asher Wojciechowski</t>
  </si>
  <si>
    <t>Jimmie Sherfy, Cody Ege, A.J. Ramos</t>
  </si>
  <si>
    <t>David Buchanan, Ryan Mattheus, Hector Ambriz</t>
  </si>
  <si>
    <t>Ricardo Pinto, Ivan Nova, Trevor Williams</t>
  </si>
  <si>
    <t>Busenitz</t>
  </si>
  <si>
    <t>Alan</t>
  </si>
  <si>
    <t>Travis Schlichting, C.J. Riefenhauser, Tim Wood</t>
  </si>
  <si>
    <t>Evan Marshall, Jose Arredondo, Justin De Fratus</t>
  </si>
  <si>
    <t>Ramon Troncoso, Franquelis Osoria, Miles Mikolas</t>
  </si>
  <si>
    <t>Pedro Villarreal, Angel Sanchez, Deck McGuire</t>
  </si>
  <si>
    <t>Evan Scribner, Michael Schwimer, Chris Hatcher</t>
  </si>
  <si>
    <t>R.J. Swindle, Cody Ege, Louis Coleman</t>
  </si>
  <si>
    <t>Slegers</t>
  </si>
  <si>
    <t>Tommy Hanson, Christian Friedrich, Daniel Norris</t>
  </si>
  <si>
    <t>Rafael Montero, Will Smith, Blake Beavan</t>
  </si>
  <si>
    <t>Erick Fedde, Sean Nolin, Scott Barnes</t>
  </si>
  <si>
    <t>Lucas Harrell, Luis Mendoza, Samuel Deduno</t>
  </si>
  <si>
    <t>Lewicki</t>
  </si>
  <si>
    <t>Artie</t>
  </si>
  <si>
    <t>Eric Jokisch, Ross Stripling, Cory Luebke</t>
  </si>
  <si>
    <t>Brandon Woodruff, Chad Bettis, Steven Matz</t>
  </si>
  <si>
    <t>Herb</t>
  </si>
  <si>
    <t>Tobi Stoner, Matt Buschmann, Luke Farrell</t>
  </si>
  <si>
    <t>Wieck</t>
  </si>
  <si>
    <t>Zac Rosscup, Dario Alvarez, Onelki Garcia</t>
  </si>
  <si>
    <t>Ronald Herrera, Luis Cessa, Felix Doubront</t>
  </si>
  <si>
    <t>Yordano Ventura, Tyler Mahle, Kyle Drabek</t>
  </si>
  <si>
    <t>Merryweather</t>
  </si>
  <si>
    <t>Julian</t>
  </si>
  <si>
    <t>Simon Castro, Vidal Nuno, Chase Anderson</t>
  </si>
  <si>
    <t>Dane De La Rosa, Anthony Slama, Zach Phillips</t>
  </si>
  <si>
    <t>Jason Hursh, Andrew Cashner, Kevin Siegrist</t>
  </si>
  <si>
    <t>Alex Colome, Lucas Sims, Aaron Blair</t>
  </si>
  <si>
    <t>Shairon Martis, Daryl Thompson, Esmailin Caridad</t>
  </si>
  <si>
    <t>Derian</t>
  </si>
  <si>
    <t>Matt Purke, Ben Taylor, Brandon Workman</t>
  </si>
  <si>
    <t>Dennis</t>
  </si>
  <si>
    <t>Rubby De La Rosa, Chris Archer, Anthony Banda</t>
  </si>
  <si>
    <t>Genesis</t>
  </si>
  <si>
    <t>Michael Fulmer, Jayson Aquino, Ryan Tucker</t>
  </si>
  <si>
    <t>Bivens</t>
  </si>
  <si>
    <t>Nik Turley, Rudy Owens, Max Povse</t>
  </si>
  <si>
    <t>Jose Urena, Max Povse, Ronald Herrera</t>
  </si>
  <si>
    <t>Beeks</t>
  </si>
  <si>
    <t>Erick Fedde, John Ely, Adam Morgan</t>
  </si>
  <si>
    <t>Jake McGee, Alex Meyer, David Huff</t>
  </si>
  <si>
    <t>Jose Berrios, Michael Pineda, John Lamb</t>
  </si>
  <si>
    <t>Joe Musgrove, Brett Oberholtzer, Junichi Tazawa</t>
  </si>
  <si>
    <t>Seth Frankoff, Jose Veras, Mitch Stetter</t>
  </si>
  <si>
    <t>Kevin Quackenbush, Yimi Garcia, Jack Leathersich</t>
  </si>
  <si>
    <t>Burnes</t>
  </si>
  <si>
    <t>Carl Edwards Jr., David Paulino, Zack Wheeler</t>
  </si>
  <si>
    <t>Edwin Escobar, Sean Gilmartin, A.J. Cole</t>
  </si>
  <si>
    <t>Josh Smith, Taylor Williams, Yohan Pino</t>
  </si>
  <si>
    <t>Michael Pineda, Jeremy Hellickson, Miguel Almonte</t>
  </si>
  <si>
    <t>P.J. Walters, Matt Bowman, Kyle Gibson</t>
  </si>
  <si>
    <t>Sodders</t>
  </si>
  <si>
    <t>Anthony Ortega, Jayson Aquino, Jonathan Holder</t>
  </si>
  <si>
    <t>Jordan Montgomery, Tyler Wilson, Burch Smith</t>
  </si>
  <si>
    <t>Tyler Glasnow, Zach Braddock, Clayton Kershaw</t>
  </si>
  <si>
    <t>Kiko Calero, Jose Veras, Akinori Otsuka</t>
  </si>
  <si>
    <t>Burke Badenhop, Brad Ziegler, Ronald Belisario</t>
  </si>
  <si>
    <t>Frank Francisco, Michael Gonzalez, Will Ohman</t>
  </si>
  <si>
    <t>John Axford, Joakim Soria, Armando Benitez</t>
  </si>
  <si>
    <t>Barry Zito, Carlos Zambrano, Brad Penny</t>
  </si>
  <si>
    <t>Joe Nelson, Scott Patterson, Cedrick Bowers</t>
  </si>
  <si>
    <t>Burke Badenhop, Jim Johnson, Matt Albers</t>
  </si>
  <si>
    <t>Edwin Jackson, Tim Lincecum, J.A. Happ</t>
  </si>
  <si>
    <t>Craig Breslow, Jerry Blevins, Brad Brach</t>
  </si>
  <si>
    <t>Brandon Gomes, Grant Dayton, Mike Zagurski</t>
  </si>
  <si>
    <t>Edinson Volquez, Jason Hammel, Roberto Hernandez</t>
  </si>
  <si>
    <t>Logan Ondrusek, Adam Warren, Ryan Webb</t>
  </si>
  <si>
    <t>Turley</t>
  </si>
  <si>
    <t>Bruce Billings, Thomas Diamond, Alex Graman</t>
  </si>
  <si>
    <t>Shawn Kelley, Scott Williamson, Mike Dunn</t>
  </si>
  <si>
    <t>Brothers</t>
  </si>
  <si>
    <t>Sergio Santos, Will Ohman, Fernando Rodney</t>
  </si>
  <si>
    <t>Brandon Kintzler, Burke Badenhop, Ryan Webb</t>
  </si>
  <si>
    <t>Colton Murray, Craig Breslow, Caleb Thielbar</t>
  </si>
  <si>
    <t>Chris Gissell, Mark DiFelice, Colt Hynes</t>
  </si>
  <si>
    <t>Kirby Yates, Fernando Cabrera, Blake Parker</t>
  </si>
  <si>
    <t>Cory Rasmus, John Parrish, Michael Kohn</t>
  </si>
  <si>
    <t>Jeremy Accardo, Javy Guerra, Brian Tallet</t>
  </si>
  <si>
    <t>Tom Wilhelmsen, Tony Watson, Dustin Nippert</t>
  </si>
  <si>
    <t>Fernando Salas, Brad Brach, Ryan Dull</t>
  </si>
  <si>
    <t>Frankoff</t>
  </si>
  <si>
    <t>Chris Martin, Blake Smith, Ryan Reid</t>
  </si>
  <si>
    <t>Chris Reed, Pierce Johnson, Chris Carpenter</t>
  </si>
  <si>
    <t>Ross Stripling, Chris Stratton, Tim Cooney</t>
  </si>
  <si>
    <t>Heath Hembree, Keith Butler, Justin Miller</t>
  </si>
  <si>
    <t>Suero</t>
  </si>
  <si>
    <t>Wander</t>
  </si>
  <si>
    <t>Armando Gabino, Zach Kroenke, Blaine Hardy</t>
  </si>
  <si>
    <t>Miles Mikolas, Zach Phillips, Bryan Shaw</t>
  </si>
  <si>
    <t>Shackelford</t>
  </si>
  <si>
    <t>Ross Wolf, Mike Ekstrom, Jon Link</t>
  </si>
  <si>
    <t xml:space="preserve">Roberto </t>
  </si>
  <si>
    <t>Alex Graman, Yohan Flande, Phil Irwin</t>
  </si>
  <si>
    <t>Arthur Rhodes, Tom Gordon, Takashi Saito</t>
  </si>
  <si>
    <t>Bob Wickman, Darren Oliver, Gene Garber</t>
  </si>
  <si>
    <t>David Weathers, Kyle Farnsworth, Francisco Cordero</t>
  </si>
  <si>
    <t>Nate Robertson, Edwin Jackson, Vicente Padilla</t>
  </si>
  <si>
    <t>Dale Thayer, Pat Neshek, John Bale</t>
  </si>
  <si>
    <t>Jerry Blevins, Hideki Okajima, Damaso Marte</t>
  </si>
  <si>
    <t>Jeremy Affeldt, Matt Lindstrom, Matt Guerrier</t>
  </si>
  <si>
    <t>Kevin Millwood, Kyle Lohse, Tim Hudson</t>
  </si>
  <si>
    <t>Jurrjens</t>
  </si>
  <si>
    <t>Jair</t>
  </si>
  <si>
    <t>Thad Weber, Greg Smith, Anthony Lerew</t>
  </si>
  <si>
    <t>Tim Hudson, Zack Greinke, Scott Feldman</t>
  </si>
  <si>
    <t>Jake Westbrook, Jason Vargas, Jason Marquis</t>
  </si>
  <si>
    <t>Anthony Swarzak, Ryan Webb, Burke Badenhop</t>
  </si>
  <si>
    <t>Scott Eyre, Fernando Rodney, Luis Vizcaino</t>
  </si>
  <si>
    <t>Kris Medlen, Brandon McCarthy, Doug Davis</t>
  </si>
  <si>
    <t>Dusty Hughes, Gus Schlosser, Chad Bell</t>
  </si>
  <si>
    <t>Alex Hinshaw, Daniel Coulombe, Brandon Cunniff</t>
  </si>
  <si>
    <t>Wilk</t>
  </si>
  <si>
    <t>Thad Weber, Yohan Pino, Kei Igawa</t>
  </si>
  <si>
    <t>George Kontos, Fu-Te Ni, Carlos Fisher</t>
  </si>
  <si>
    <t>Chris Smith, R.J. Swindle, Mark Worrell</t>
  </si>
  <si>
    <t>Mike Zagurski, Greg Holland, Jim Hoey</t>
  </si>
  <si>
    <t>Tim Dillard, Dallas Beeler, Damien Magnifico</t>
  </si>
  <si>
    <t>Tyler Pill, Daniel McCutchen, Luis Santos</t>
  </si>
  <si>
    <t>James Houser, Luke Farrell, Nik Turley</t>
  </si>
  <si>
    <t>Edgmer Escalona, Fernando Salas, Pedro Strop</t>
  </si>
  <si>
    <t>Patrick Schuster, Brian Omogrosso, Jose Arredondo</t>
  </si>
  <si>
    <t>Carlos Estevez, Chris Britton, Cesar Jimenez</t>
  </si>
  <si>
    <t>David Phelps, Brandon Claussen, J.A. Happ</t>
  </si>
  <si>
    <t>Carlos Contreras, Charlie Haeger, Kevin Siegrist</t>
  </si>
  <si>
    <t>Billy Buckner, Jeff Karstens, Yorman Bazardo</t>
  </si>
  <si>
    <t>Kevin Jepsen, Aaron Poreda, Gregory Infante</t>
  </si>
  <si>
    <t>Matt Shoemaker, Nate Karns, Corey Kluber</t>
  </si>
  <si>
    <t>Myles Jaye, Andrew Chafin, Tyler Wagner</t>
  </si>
  <si>
    <t>Aaron Poreda, Clint Nageotte, Dustin Nippert</t>
  </si>
  <si>
    <t>Jay Buente, Robby Scott, Jason Gurka</t>
  </si>
  <si>
    <t>Matt Shoemaker, Daniel Winkler, Francisco Cruceta</t>
  </si>
  <si>
    <t>Yacksel</t>
  </si>
  <si>
    <t>C.J. Riefenhauser, Daniel Stumpf, Dylan Axelrod</t>
  </si>
  <si>
    <t>Tayler</t>
  </si>
  <si>
    <t>Brian Bass, Robert Mosebach, A.J. Morris</t>
  </si>
  <si>
    <t>Kevin Hart, Taylor Cole, Sam LeCure</t>
  </si>
  <si>
    <t>Manny Banuelos, Joel Hanrahan, Philip Humber</t>
  </si>
  <si>
    <t>Myles Jaye, Adam Warren, Tyler Wagner</t>
  </si>
  <si>
    <t>Adam Kolarek, Ryan Reid, Neil Wagner</t>
  </si>
  <si>
    <t>Shawn Hill, Nick Tepesch, Casey Coleman</t>
  </si>
  <si>
    <t>Ben Hendrickson, John Koronka, Carlos Frias</t>
  </si>
  <si>
    <t>Abe Alvarez, Brock Stewart, Steven Shell</t>
  </si>
  <si>
    <t>Jeff Karstens, Ivan Nova, Jon Moscot</t>
  </si>
  <si>
    <t>Jeff Marquez, Sugar Ray Marimon, Ryan Mattheus</t>
  </si>
  <si>
    <t>Dallas Keuchel, Jayson Aquino, T.J. McFarland</t>
  </si>
  <si>
    <t>Stephen Pryor, Bruce Rondon, Eduardo Sanchez</t>
  </si>
  <si>
    <t>Domingo German, Williams Perez, Clayton Mortensen</t>
  </si>
  <si>
    <t>Alfredo Figaro, Taylor Cole, Zach Miner</t>
  </si>
  <si>
    <t>Domingo German, Asher Wojciechowski, Myles Jaye</t>
  </si>
  <si>
    <t>Evan Scribner, Sam Demel, Brad Brach</t>
  </si>
  <si>
    <t>Jared Burton, Scott Oberg, Brandon Cunniff</t>
  </si>
  <si>
    <t>Darin Downs, Seth Frankoff, Justin Thomas</t>
  </si>
  <si>
    <t>Shane Komine, Ryan Mattheus, Steven Register</t>
  </si>
  <si>
    <t>Samuel Gaviglio, Duane Below, Kyle McPherson</t>
  </si>
  <si>
    <t>Pannone</t>
  </si>
  <si>
    <t>John Ely, Yohan Pino, Josh Smith</t>
  </si>
  <si>
    <t>Josh Edgin, Caleb Thielbar, Bryan Morris</t>
  </si>
  <si>
    <t>Chris Dwyer, Warwick Saupold, James Houser</t>
  </si>
  <si>
    <t>Chad Bell, Ryan Cook, Andrew Chafin</t>
  </si>
  <si>
    <t>Pat Misch, Matt Guerrier, Dan Meyer</t>
  </si>
  <si>
    <t>Todd Coffey, Alexi Ogando, Fu-Te Ni</t>
  </si>
  <si>
    <t>John Gaub, Josh Fields, Anthony Slama</t>
  </si>
  <si>
    <t>Chris Beck, Jeff Marquez, Raul Alcantara</t>
  </si>
  <si>
    <t>Vic Black, Dan Runzler, Alex Hinshaw</t>
  </si>
  <si>
    <t>Shairon Martis, Dustin Moseley, Troy Patton</t>
  </si>
  <si>
    <t>Jake Barrett, Alex Claudio, Daniel  Herrera</t>
  </si>
  <si>
    <t>Ian Krol, Juan Oviedo, Logan Kensing</t>
  </si>
  <si>
    <t>Kyle McPherson, Philip Humber, Pat Misch</t>
  </si>
  <si>
    <t>Anyelo</t>
  </si>
  <si>
    <t>Carlos Torres, Buddy Baumann, Victor Garate</t>
  </si>
  <si>
    <t>Barret Browning, Nefi Ogando, Layne Somsen</t>
  </si>
  <si>
    <t>Stephen Fife, Taylor Williams, Alec Asher</t>
  </si>
  <si>
    <t>Graham Godfrey, Rob Scahill, J.R. Graham</t>
  </si>
  <si>
    <t>Tony Sipp, Michael Stutes, Carlos Carrasco</t>
  </si>
  <si>
    <t>Jeremy Hefner, Bruce Billings, Steven Wright</t>
  </si>
  <si>
    <t>Edgmer Escalona, Pedro Strop, Scott Maine</t>
  </si>
  <si>
    <t>Steven Okert, Kyle McGrath, C.C. Lee</t>
  </si>
  <si>
    <t>Bruce Billings, Wade Miley, Yoervis Medina</t>
  </si>
  <si>
    <t>Mike Zagurski, Rich Thompson, Ben Heller</t>
  </si>
  <si>
    <t>Deetz</t>
  </si>
  <si>
    <t>Jose Cisnero, Andre Rienzo, Christian Garcia</t>
  </si>
  <si>
    <t>McGrath</t>
  </si>
  <si>
    <t>Tony Zych, Mark Melancon, R.J. Swindle</t>
  </si>
  <si>
    <t>Chase Whitley, Chad Girodo, Hunter Jones</t>
  </si>
  <si>
    <t>Wilkerson</t>
  </si>
  <si>
    <t>Hiram Burgos, Ryan Verdugo, Brad Mills</t>
  </si>
  <si>
    <t>Ross Stripling, Eric Jokisch, Mark Leiter</t>
  </si>
  <si>
    <t>Loaisiga</t>
  </si>
  <si>
    <t>Alex Wilson, A.J. Morris, Erick Fedde</t>
  </si>
  <si>
    <t>Steve Geltz, Donnie Joseph, R.J. Alvarez</t>
  </si>
  <si>
    <t>Braden Shipley, James Houser, Michael Stutes</t>
  </si>
  <si>
    <t>Fillmyer</t>
  </si>
  <si>
    <t>Tobi Stoner, Ryne Stanek, Jason Berken</t>
  </si>
  <si>
    <t>Luis Perez, Kris Johnson, Graham Godfrey</t>
  </si>
  <si>
    <t>Steele</t>
  </si>
  <si>
    <t>Aaron Thompson, Juan Morillo, Michael Belfiore</t>
  </si>
  <si>
    <t>Steve Garrison, Jon Moscot, Rudy Owens</t>
  </si>
  <si>
    <t>Daniel Winkler, Red Patterson, Tyler Pill</t>
  </si>
  <si>
    <t>Greg Holland, Mike Zagurski, Jess Todd</t>
  </si>
  <si>
    <t>Trevor May, Bud Norris, Troy Scribner</t>
  </si>
  <si>
    <t>Jose Urena, Kyle Ryan, Raul Alcantara</t>
  </si>
  <si>
    <t>Rookie Davis, Pat Misch, Ross Ohlendorf</t>
  </si>
  <si>
    <t>Ryan Mattheus, Neal Musser, Wandy Peralta</t>
  </si>
  <si>
    <t>Eshelman</t>
  </si>
  <si>
    <t>Tim Cooney, Adalberto Mejia, Adam Wilk</t>
  </si>
  <si>
    <t>David Huff, Hoby Milner, Ryne Stanek</t>
  </si>
  <si>
    <t>Jefferies</t>
  </si>
  <si>
    <t>Daulton</t>
  </si>
  <si>
    <t>Kyle Weiland, Matt Andriese, Caleb Smith</t>
  </si>
  <si>
    <t>Shawaryn</t>
  </si>
  <si>
    <t>Dinelson Lamet, Bud Norris, Robert Stephenson</t>
  </si>
  <si>
    <t>Johan Santana, Wandy Rodriguez, Whitey Ford</t>
  </si>
  <si>
    <t>Hiroki Kuroda, Kyle Lohse, Roy Halladay</t>
  </si>
  <si>
    <t>Gavin Floyd, Edinson Volquez, Vicente Padilla</t>
  </si>
  <si>
    <t>Brad Radke, Don Newcombe, Freddy Garcia</t>
  </si>
  <si>
    <t>Javier Lopez, Scott Downs, Mariano Rivera</t>
  </si>
  <si>
    <t>Tim Redding, Philip Humber, Armando Galarraga</t>
  </si>
  <si>
    <t>Shawn Kelley, Jorge Julio, Fernando Abad</t>
  </si>
  <si>
    <t>Tim Hamulack, Mark Corey, Kane Davis</t>
  </si>
  <si>
    <t>Chad Harville, Brian Bruney, Manny Delcarmen</t>
  </si>
  <si>
    <t>Shairon Martis, Kyle Lobstein, Josh Tomlin</t>
  </si>
  <si>
    <t>Wojciechowski</t>
  </si>
  <si>
    <t>Everett Teaford, Seth Etherton, Andrew Albers</t>
  </si>
  <si>
    <t>Steve Johnson, Daniel McCutchen, Neil Ramirez</t>
  </si>
  <si>
    <t>Dayan Diaz, Atahualpa Severino, Chia-Jen Lo</t>
  </si>
  <si>
    <t>Mike Hauschild, Eric Jokisch, Kevin Mulvey</t>
  </si>
  <si>
    <t>Scott Maine, Lester Oliveros, Kam Mickolio</t>
  </si>
  <si>
    <t>Dan Plesac, Joel Peralta, Doug Bair</t>
  </si>
  <si>
    <t>Hector Carrasco, Shawn Camp, D.J. Carrasco</t>
  </si>
  <si>
    <t>Matt Lindstrom, Luis Ayala, Javier Lopez</t>
  </si>
  <si>
    <t>Matt Herges, Ben Weber, George Sherrill</t>
  </si>
  <si>
    <t>Guillermo Mota, Jason Motte, Aaron Fultz</t>
  </si>
  <si>
    <t>Phil Coke, Danys Baez, Shawn Camp</t>
  </si>
  <si>
    <t>Mujica</t>
  </si>
  <si>
    <t>Jamie Walker, Blaine Boyer, Joel Peralta</t>
  </si>
  <si>
    <t>Brad Penny, Jason Jennings, Travis Wood</t>
  </si>
  <si>
    <t>Santiago Casilla, Manny Acosta, David Carpenter</t>
  </si>
  <si>
    <t>Aaron Cook, Jhoulys Chacin, Chien-Ming Wang</t>
  </si>
  <si>
    <t>Matt Daley, Brian Sikorski, Joel Peralta</t>
  </si>
  <si>
    <t>Chris Narveson, Adam Bernero, Tom Koehler</t>
  </si>
  <si>
    <t>Bryan Morris, Dan Jennings, Chad Qualls</t>
  </si>
  <si>
    <t>Rick VandenHurk, Eric Surkamp, Arnold Leon</t>
  </si>
  <si>
    <t>Josh Hancock, Cha Seung Baek, Pat Misch</t>
  </si>
  <si>
    <t>Robert Ray, Jacob deGrom, Graham Godfrey</t>
  </si>
  <si>
    <t>Steve Schmoll, Gary Majewski, Jeremy Jeffress</t>
  </si>
  <si>
    <t>John Ennis, Brian Omogrosso, Brian Slocum</t>
  </si>
  <si>
    <t>Jeff Fulchino, Carlos Torres, Everett Teaford</t>
  </si>
  <si>
    <t>Brandon Workman, Ariel Miranda, Kyle McPherson</t>
  </si>
  <si>
    <t>Hiram Burgos, Bruce Billings, Chad Reineke</t>
  </si>
  <si>
    <t>Eddie Butler, Carlos Frias, Casey Coleman</t>
  </si>
  <si>
    <t>Ryan Mattheus, Fernando Rodney, Doug Slaten</t>
  </si>
  <si>
    <t>Wick</t>
  </si>
  <si>
    <t>Rowan</t>
  </si>
  <si>
    <t>Ryan Reid, Josh Edgin, Blake Parker</t>
  </si>
  <si>
    <t>Lucas Harrell, Dylan Covey, Jason Hursh</t>
  </si>
  <si>
    <t>Del Pozo</t>
  </si>
  <si>
    <t>Chris Leroux, Jay Buente, Michael O'Connor</t>
  </si>
  <si>
    <t>James Houser, Tyler Wilson, Hansel Robles</t>
  </si>
  <si>
    <t>Jimmie Sherfy, Derek Law, Santiago Casilla</t>
  </si>
  <si>
    <t>Juan Jaime, Jason Motte, John Gaub</t>
  </si>
  <si>
    <t>Dave Williams, Garrett Olson, Brian Burres</t>
  </si>
  <si>
    <t>Dustin Nippert, Jose Capellan, Charlie Haeger</t>
  </si>
  <si>
    <t>Michael Kohn, John Gaub, Ben Heller</t>
  </si>
  <si>
    <t>Maples</t>
  </si>
  <si>
    <t>Victor Garate, Jake Diekman, Phillippe Aumont</t>
  </si>
  <si>
    <t>Wei-Chung Wang, Jon Moscot, David Pauley</t>
  </si>
  <si>
    <t>Bummer</t>
  </si>
  <si>
    <t>Wesley Wright, Chris Resop, Chance Ruffin</t>
  </si>
  <si>
    <t>Darren O'Day, Wes Littleton, Aaron Loup</t>
  </si>
  <si>
    <t>Dave Gassner, Pat Dean, Jose De Paula</t>
  </si>
  <si>
    <t>Maddox</t>
  </si>
  <si>
    <t>Ross Wolf, Hunter Jones, Scott McGough</t>
  </si>
  <si>
    <t>Cesar Jimenez, Josh Roenicke, Nick Vincent</t>
  </si>
  <si>
    <t>Eric O'Flaherty, Josh Johnson, Jason Vargas</t>
  </si>
  <si>
    <t>Mike Fiers, Dario Alvarez, Dustin Richardson</t>
  </si>
  <si>
    <t>Caleb Smith, David Rollins, James Houser</t>
  </si>
  <si>
    <t>Zack Godley, Michael Kirkman, Randor Bierd</t>
  </si>
  <si>
    <t>Felix Pena, Adam Johnson, Luis Santos</t>
  </si>
  <si>
    <t>Jeff Beliveau, Grant Dayton, Guido Knudson</t>
  </si>
  <si>
    <t>Brandon Lyon, Anthony Swarzak, Tommy Hunter</t>
  </si>
  <si>
    <t>Chad Girodo, Luke Gregerson, Chase Whitley</t>
  </si>
  <si>
    <t>Jerad Eickhoff, Jeff Ferrell, Angel Sanchez</t>
  </si>
  <si>
    <t>Bobby Parnell, Matt Purke, Jason Hammel</t>
  </si>
  <si>
    <t>Patrick Schuster, Cesar Jimenez, Luis Avilan</t>
  </si>
  <si>
    <t>Jharel Cotton, Carlos Carrasco, Edwin Escobar</t>
  </si>
  <si>
    <t>Mayza</t>
  </si>
  <si>
    <t>Scott Maine, Juan Minaya, Chris Leroux</t>
  </si>
  <si>
    <t>Steven Register, Austin Bibens-Dirkx, Justin James</t>
  </si>
  <si>
    <t>Yacabonis</t>
  </si>
  <si>
    <t>Roy Corcoran, Patrick Schuster, Scott Alexander</t>
  </si>
  <si>
    <t>Dan Altavilla, Hansel Robles, Carlos Rosa</t>
  </si>
  <si>
    <t>Adalberto Mejia, Jen-Ho Tseng, Gabriel Ynoa</t>
  </si>
  <si>
    <t>Todd Redmond, Sean Gilmartin, Steven Shell</t>
  </si>
  <si>
    <t>Angel Nesbitt, Jorge De Leon, Preston Claiborne</t>
  </si>
  <si>
    <t>Juan Jaime, Duane Below, Charlie Furbush</t>
  </si>
  <si>
    <t>Braden Shipley, Kyle Lobstein, Vance Worley</t>
  </si>
  <si>
    <t>Sammy Solis, Chris Dwyer, Nik Turley</t>
  </si>
  <si>
    <t>Samuel Gaviglio, Mark Leiter, Yohan Flande</t>
  </si>
  <si>
    <t>Stolmy Pimentel, Hector Rondon, Alex Sanabia</t>
  </si>
  <si>
    <t>Vicente Campos, Noah Syndergaard, Manny Banuelos</t>
  </si>
  <si>
    <t>Jeff Hoffman, Aaron Blair, John Gant</t>
  </si>
  <si>
    <t>Juan Nicasio, Marc Rzepczynski, John Gant</t>
  </si>
  <si>
    <t>Hammer</t>
  </si>
  <si>
    <t>Danny Barnes, Cody Allen, Shae Simmons</t>
  </si>
  <si>
    <t>Luzardo</t>
  </si>
  <si>
    <t>Luiz Gohara, Kyle Lobstein, Luis Severino</t>
  </si>
  <si>
    <t>Michel</t>
  </si>
  <si>
    <t>Christian Friedrich, Tommy Hanson, Eric Surkamp</t>
  </si>
  <si>
    <t>Hanifee</t>
  </si>
  <si>
    <t>Brenan</t>
  </si>
  <si>
    <t>Ronald Herrera, Maikel Cleto, Blake Beavan</t>
  </si>
  <si>
    <t>Houck</t>
  </si>
  <si>
    <t>Braden Shipley, Steven Brault, Myles Jaye</t>
  </si>
  <si>
    <t>Ben Lively, Carlos Carrasco, Kyle Drabek</t>
  </si>
  <si>
    <t>Blake Parker, Mike Zagurski, Fernando Cabrera</t>
  </si>
  <si>
    <t>Justin Miller, Joel Peralta, Mark Lowe</t>
  </si>
  <si>
    <t>Brian Falkenborg, Jairo Asencio, Aquilino Lopez</t>
  </si>
  <si>
    <t>Kevin Chapman, Alex Hinshaw, Clay Rapada</t>
  </si>
  <si>
    <t>Stephen Pryor, Kyle Barraclough, Jose Dominguez</t>
  </si>
  <si>
    <t>Keith Butler, Craig Breslow, Jermaine Van Buren</t>
  </si>
  <si>
    <t>Phil Coke, Matt Guerrier, Aaron Heilman</t>
  </si>
  <si>
    <t>Gorzelanny</t>
  </si>
  <si>
    <t>Dustin McGowan, Jim Brower, Steve Karsay</t>
  </si>
  <si>
    <t>Aaron Fultz, Craig Stammen, Manny Parra</t>
  </si>
  <si>
    <t>Josh Fields, Will Harris, Heath Bell</t>
  </si>
  <si>
    <t>Arcenio</t>
  </si>
  <si>
    <t>Steve Green, Tony Pena, Jon Link</t>
  </si>
  <si>
    <t>Shawn Camp, Craig Breslow, Matt Herges</t>
  </si>
  <si>
    <t>Justin Speier, Jason Motte, Brian Fuentes</t>
  </si>
  <si>
    <t>Rafael Perez, Cesar Ramos, Brad Ziegler</t>
  </si>
  <si>
    <t>Bibens-Dirkx</t>
  </si>
  <si>
    <t>Brian Sweeney, Justin Germano, Yunesky Maya</t>
  </si>
  <si>
    <t>Doug Mathis, Eddie Bonine, Yohan Flande</t>
  </si>
  <si>
    <t>Jim Henderson, Mark Lowe, David Aardsma</t>
  </si>
  <si>
    <t>Jared Hughes, Ryan Webb, Matt Albers</t>
  </si>
  <si>
    <t>Jason Vargas, John Danks, Vicente Padilla</t>
  </si>
  <si>
    <t>Jason Jennings, Kip Wells, Wade Miller</t>
  </si>
  <si>
    <t>Holmberg</t>
  </si>
  <si>
    <t>Zach Jackson, Mitchell Boggs, Craig Stammen</t>
  </si>
  <si>
    <t>Manny Delcarmen, Chris Ray, Ryan Mattheus</t>
  </si>
  <si>
    <t>Travis Chick, Taylor Cole, Chris Stratton</t>
  </si>
  <si>
    <t>Lawrence</t>
  </si>
  <si>
    <t>Andy Van Hekken, Eric Hacker, Yohan Flande</t>
  </si>
  <si>
    <t>Jean Machi, Jordan De Jong, Nick Christiani</t>
  </si>
  <si>
    <t>Kevin Gregg, Brad Peacock, Brad Lincoln</t>
  </si>
  <si>
    <t>David Buchanan, Burke Badenhop, Zach Jackson</t>
  </si>
  <si>
    <t>Bard</t>
  </si>
  <si>
    <t>Carlos Muniz, Marcus Hatley, Tyler Sturdevant</t>
  </si>
  <si>
    <t>Josh Collmenter, Jacob deGrom, David Phelps</t>
  </si>
  <si>
    <t>Farrell</t>
  </si>
  <si>
    <t>Chris Narveson, Fabio Castro, Asher Wojciechowski</t>
  </si>
  <si>
    <t>Josh Banks, Andrew Good, Pedro Hernandez</t>
  </si>
  <si>
    <t>Jack Egbert, Jonny Venters, Dylan Covey</t>
  </si>
  <si>
    <t>Poteet</t>
  </si>
  <si>
    <t>Ryan Pressly, Jeff Marquez, Mike Parisi</t>
  </si>
  <si>
    <t>Santos</t>
  </si>
  <si>
    <t>Shane Komine, Daryl Thompson, Drew Rucinski</t>
  </si>
  <si>
    <t>Felix Doubront, Jesse Litsch, Ronald Herrera</t>
  </si>
  <si>
    <t>Josh Judy, Hector Neris, Rob Delaney</t>
  </si>
  <si>
    <t>Rowley</t>
  </si>
  <si>
    <t>Brent Suter, David Rollins, Frank Herrmann</t>
  </si>
  <si>
    <t>Michael Schwimer, Evan Scribner, A.J. Ramos</t>
  </si>
  <si>
    <t>Alzolay</t>
  </si>
  <si>
    <t>Adbert</t>
  </si>
  <si>
    <t>Ricardo Pinto, Jonathan Holder, John Gast</t>
  </si>
  <si>
    <t>Merandy</t>
  </si>
  <si>
    <t>Scott Diamond, Robert Whalen, Jayson Aquino</t>
  </si>
  <si>
    <t>Justin Marks, Anthony Ranaudo, Ben Taylor</t>
  </si>
  <si>
    <t>Cyr</t>
  </si>
  <si>
    <t>Tyler Sturdevant, Neil Wagner, Jaye Chapman</t>
  </si>
  <si>
    <t>Patrick Corbin, Giovanni Soto, Randall Delgado</t>
  </si>
  <si>
    <t>Rainey</t>
  </si>
  <si>
    <t>Mike Dunn, Dustin Richardson, Ariel Pena</t>
  </si>
  <si>
    <t>Michael Stutes, Carson Fulmer, Tony Sipp</t>
  </si>
  <si>
    <t>Albertos</t>
  </si>
  <si>
    <t>Keury Mella, Tyler Glasnow, Domingo German</t>
  </si>
  <si>
    <t>Festa</t>
  </si>
  <si>
    <t>Brandon Gomes, Randy Wells, Mike Fiers</t>
  </si>
  <si>
    <t>Mata</t>
  </si>
  <si>
    <t>Noah Syndergaard, Jayson Aquino, Manny Banuelos</t>
  </si>
  <si>
    <t>Noah Syndergaard, Keury Mella, Martin Perez</t>
  </si>
  <si>
    <t>Henry Sosa, Dinelson Lamet, Garrett Olson</t>
  </si>
  <si>
    <t>Jordan Lyles, Roberto Osuna, Danny Duffy</t>
  </si>
  <si>
    <t>Norge</t>
  </si>
  <si>
    <t>Burke Badenhop, Cole DeVries, Tyson Brummett</t>
  </si>
  <si>
    <t>Dunshee</t>
  </si>
  <si>
    <t>Brayan Villarreal, Michael Blazek, Brooks Pounders</t>
  </si>
  <si>
    <t>Elledge</t>
  </si>
  <si>
    <t>Nick Wittgren, Cody Martin, Yimi Garcia</t>
  </si>
  <si>
    <t>Jess Todd, Elih Villanueva, Troy Scribner</t>
  </si>
  <si>
    <t>Raquet</t>
  </si>
  <si>
    <t>Cody Reed, Romulo Sanchez, Ryan Sherriff</t>
  </si>
  <si>
    <t>MacKenzie</t>
  </si>
  <si>
    <t>Pearson</t>
  </si>
  <si>
    <t>Jordan Walden, Jhoulys Chacin, Miguel Almonte</t>
  </si>
  <si>
    <t>Myles Jaye, Steven Brault, Adam Warren</t>
  </si>
  <si>
    <t>Nick Masset, Brian Duensing, Peter Moylan</t>
  </si>
  <si>
    <t>Infante</t>
  </si>
  <si>
    <t>Cesar Jimenez, Joe Paterson, Dalier Hinojosa</t>
  </si>
  <si>
    <t>Jon Rauch, Donnie Moore, Edward Mujica</t>
  </si>
  <si>
    <t>Cesar Jimenez, Bobby LaFromboise, Dalier Hinojosa</t>
  </si>
  <si>
    <t>Chan Ho Park, Eric Milton, Paul Wilson</t>
  </si>
  <si>
    <t>Nelson Figueroa, John Wasdin, Brandon Duckworth</t>
  </si>
  <si>
    <t>Frieri</t>
  </si>
  <si>
    <t>Ernesto</t>
  </si>
  <si>
    <t>Andrew Bailey, Sergio Santos, Matt Mantei</t>
  </si>
  <si>
    <t>Jason Marquis, Jake Westbrook, Jeff Suppan</t>
  </si>
  <si>
    <t>Pat Venditte, Dale Thayer, Rafael Martin</t>
  </si>
  <si>
    <t>David Pauley, Garrett Olson, Yunesky Maya</t>
  </si>
  <si>
    <t>Marcus McBeth, Arquimedes Caminero, Carlos Guevara</t>
  </si>
  <si>
    <t>Jose Ramirez, Jeff Ferrell, Pedro Liriano</t>
  </si>
  <si>
    <t>David Davidson, Jeff Beliveau, Jose Mijares</t>
  </si>
  <si>
    <t>Casey Coleman, Jorge Rondon, Steve Edlefsen</t>
  </si>
  <si>
    <t>Raudel Lazo, Tyler Sturdevant, Carlos Muniz</t>
  </si>
  <si>
    <t>Michael Ynoa, Hunter Cervenka, Ethan Martin</t>
  </si>
  <si>
    <t>Matt Harrison, Yorman Bazardo, Chad Kuhl</t>
  </si>
  <si>
    <t>Reininger</t>
  </si>
  <si>
    <t>Angel Nesbitt, Chad Smith, Osiris Matos</t>
  </si>
  <si>
    <t>Hess</t>
  </si>
  <si>
    <t>Greg Smith, James Houser, Hansel Robles</t>
  </si>
  <si>
    <t>Bashlor</t>
  </si>
  <si>
    <t>A.J. Ramos, John Gaub, Jimmie Sherfy</t>
  </si>
  <si>
    <t>Eusebio</t>
  </si>
  <si>
    <t>Breiling</t>
  </si>
  <si>
    <t>Deolis Guerra, Max Fried, Alex Cobb</t>
  </si>
  <si>
    <t>Victor Alcantara, Robert Whalen, Jayson Aquino</t>
  </si>
  <si>
    <t>Patrick Schuster, Robert Gsellman, Brett Marshall</t>
  </si>
  <si>
    <t>Herget</t>
  </si>
  <si>
    <t>Mickey Storey, Josh Judy, Sammy Gervacio</t>
  </si>
  <si>
    <t>Humphreys</t>
  </si>
  <si>
    <t>Kyle Drabek, Adam Wilk, Simon Castro</t>
  </si>
  <si>
    <t>Ben Lively, John Ely, Adam Morgan</t>
  </si>
  <si>
    <t>Freicer</t>
  </si>
  <si>
    <t>Adam Ottavino, Zach Phillips, Timothy Melville</t>
  </si>
  <si>
    <t>Art</t>
  </si>
  <si>
    <t>Damien Magnifico, Levale Speigner, Evan Reed</t>
  </si>
  <si>
    <t>Yohander Mendez, Jordan Walden, Wandy Peralta</t>
  </si>
  <si>
    <t>Morejon</t>
  </si>
  <si>
    <t>John Barbato, Jenrry Mejia, Jamie Callahan</t>
  </si>
  <si>
    <t>Braxton</t>
  </si>
  <si>
    <t>Luiz Gohara, Jarrod Parker, Jack Flaherty</t>
  </si>
  <si>
    <t>Villines</t>
  </si>
  <si>
    <t>Steven Ames, Glenn Sparkman, Scott McGough</t>
  </si>
  <si>
    <t>Justin Haley, Aaron Blair, Justin Wilson</t>
  </si>
  <si>
    <t>Lange</t>
  </si>
  <si>
    <t>Braden Shipley, Jose Ramirez, Myles Jaye</t>
  </si>
  <si>
    <t>Tabor</t>
  </si>
  <si>
    <t>Jonathan Pettibone, Tyrell Jenkins, Jake Thompson</t>
  </si>
  <si>
    <t>Joel Peralta, Craig Lefferts, Scott Linebrink</t>
  </si>
  <si>
    <t>Jaret Wright, Chien-Ming Wang, Scott Feldman</t>
  </si>
  <si>
    <t>Mark Lowe, David Carpenter, Brandon Gomes</t>
  </si>
  <si>
    <t>Logan Darnell, Josh Smith, Robert Ray</t>
  </si>
  <si>
    <t>Mike Flanagan, Bud Norris, Eric Milton</t>
  </si>
  <si>
    <t>Philip Humber, Dylan Axelrod, Josh Hancock</t>
  </si>
  <si>
    <t>Brebbia</t>
  </si>
  <si>
    <t>T.J. Beam, Mike Adams, Marcus McBeth</t>
  </si>
  <si>
    <t>Edinson Volquez, Kyle Davies, Jo-Jo Reyes</t>
  </si>
  <si>
    <t>McCreery</t>
  </si>
  <si>
    <t>Reymin Guduan, Kevin Chapman, Jimmy Yacabonis</t>
  </si>
  <si>
    <t>Jay Buente, Chris Leroux, Josh Lueke</t>
  </si>
  <si>
    <t>Rob Zastryzny, George Kontos, Bryan Price</t>
  </si>
  <si>
    <t>Seranthony</t>
  </si>
  <si>
    <t>Dinelson Lamet, Steven Matz, Luke Jackson</t>
  </si>
  <si>
    <t>Tobi Stoner, Juan Gutierrez, Joely Rodriguez</t>
  </si>
  <si>
    <t>Sean Manaea, Dellin Betances, Jered Weaver</t>
  </si>
  <si>
    <t>Dustin Antolin, Michael Lorenzen, Emiliano Fruto</t>
  </si>
  <si>
    <t>Matt Purke, Cody Anderson, Jason Wheeler</t>
  </si>
  <si>
    <t>Robbie Ross, Ricardo Pinto, Tyrell Jenkins</t>
  </si>
  <si>
    <t>Cole DeVries, Daniel Davidson, Tyson Brummett</t>
  </si>
  <si>
    <t>Erling</t>
  </si>
  <si>
    <t>Jacob Faria, Vance Worley, Matt Harrison</t>
  </si>
  <si>
    <t>J.A. Happ, Chase Anderson, Wade LeBlanc</t>
  </si>
  <si>
    <t>Michael Stutes, Trevor May, Radhames Liz</t>
  </si>
  <si>
    <t>Brusdar</t>
  </si>
  <si>
    <t>Arodys Vizcaino, Martin Perez, Noah Syndergaard</t>
  </si>
  <si>
    <t>Braden Shipley, Jose Ramirez, Michael Fulmer</t>
  </si>
  <si>
    <t>Trevor May, James McDonald, Christian Garcia</t>
  </si>
  <si>
    <t>Lucas Giolito, Julio Teheran, Justin Nicolino</t>
  </si>
  <si>
    <t>Carlos Martinez, Trevor Cahill, Kyle Crick</t>
  </si>
  <si>
    <t>Trevor May, Alex Reyes, Jarrod Parker</t>
  </si>
  <si>
    <t>Blake Wood, Evan Reed, Jhonny Nunez</t>
  </si>
  <si>
    <t>Vincent Velasquez, Alex Colome, Roman Mendez</t>
  </si>
  <si>
    <t>Brandon Villafuerte, Manny Delcarmen, Pat Neshek</t>
  </si>
  <si>
    <t>Salomon Torres, Todd Coffey, Valerio De Los Santos</t>
  </si>
  <si>
    <t>Mike Garcia, Charlie Leibrandt, Juan Marichal</t>
  </si>
  <si>
    <t>Bruce Billings, Ryan Verdugo, Red Patterson</t>
  </si>
  <si>
    <t>Ryan Verdugo, Brooks Pounders, Francisco Cruceta</t>
  </si>
  <si>
    <t>Michael Ynoa, Jae Kuk Ryu, Ben Taylor</t>
  </si>
  <si>
    <t>Jamie Callahan, Mitch Atkins, Steve Johnson</t>
  </si>
  <si>
    <t>Jason Miller, Davis Romero, Kyle Barraclough</t>
  </si>
  <si>
    <t>Jeanmar Gomez, Jarlin Garcia, Justin De Fratus</t>
  </si>
  <si>
    <t>Kranick</t>
  </si>
  <si>
    <t>Sandy Alcantara, Robert Gsellman, Felipe Rivero</t>
  </si>
  <si>
    <t>Bukauskas</t>
  </si>
  <si>
    <t>David Hernandez, Ryan Pressly, Jason Garcia</t>
  </si>
  <si>
    <t>Mercado</t>
  </si>
  <si>
    <t>Julio Teheran, Chris Flexen, Alex Reyes</t>
  </si>
  <si>
    <t>Tetreault</t>
  </si>
  <si>
    <t>Vidal Nuno, Deunte Heath, Nick Vincent</t>
  </si>
  <si>
    <t>Abbott</t>
  </si>
  <si>
    <t>Kevin Millwood, Jeff Fassero, Cory Lidle</t>
  </si>
  <si>
    <t>D.J. Carrasco, Scott Feldman, Scott Downs</t>
  </si>
  <si>
    <t>Josh Tomlin, Dillon Gee, Josh Towers</t>
  </si>
  <si>
    <t>Robbie Ross, Jacob Faria, Edwin Escobar</t>
  </si>
  <si>
    <t>Adam Warren, Kyle Weiland, Patrick Light</t>
  </si>
  <si>
    <t>Juan Jaime, Henry Sosa, Jeremy Jeffress</t>
  </si>
  <si>
    <t>Anthony Ortega, Josh Outman, Michael Ynoa</t>
  </si>
  <si>
    <t>Mekkes</t>
  </si>
  <si>
    <t>Tommy Kahnle, Keith Butler, Lester Oliveros</t>
  </si>
  <si>
    <t>Ross Ohlendorf, Patrick Light, Sergio Romo</t>
  </si>
  <si>
    <t>Jaskie</t>
  </si>
  <si>
    <t>Josh Wall, Tyrell Jenkins, Nick Vincent</t>
  </si>
  <si>
    <t>Crowe</t>
  </si>
  <si>
    <t>Dillon Peters, Joseph Mantiply, Amir Garrett</t>
  </si>
  <si>
    <t>Octavio Dotel, Paul Assenmacher, Randy Myers</t>
  </si>
  <si>
    <t>Rhiner Cruz, Steve Cishek, Phil Klein</t>
  </si>
  <si>
    <t>Donnie Hart, Kyle Lloyd, James Pazos</t>
  </si>
  <si>
    <t>Uceta</t>
  </si>
  <si>
    <t>Austin Pruitt, Tyler Lyons, Michael Belfiore</t>
  </si>
  <si>
    <t>Robbie Ray, Michael Stutes, Yordano Ventura</t>
  </si>
  <si>
    <t>Nick Hagadone, Chris Bassitt, Evan Reed</t>
  </si>
  <si>
    <t>Diplan</t>
  </si>
  <si>
    <t>Lance McCullers, Christian Garcia, Johnny Cueto</t>
  </si>
  <si>
    <t>Pedro Beato, Luke French, Luis Perdomo</t>
  </si>
  <si>
    <t>Bernardo</t>
  </si>
  <si>
    <t>Myles Jaye, Braden Shipley, Kyle Lobstein</t>
  </si>
  <si>
    <t>T.J. House, Tyler Chatwood, Carlos Carrasco</t>
  </si>
  <si>
    <t>Aaron Thompson, Allen Webster, Brad Hand</t>
  </si>
  <si>
    <t>Matt Purke, Garrett Mock, Brad Lincoln</t>
  </si>
  <si>
    <t>Tyler Chatwood, Timothy Melville, Carlos Carrasco</t>
  </si>
  <si>
    <t>Erik Cordier, Chris Rusin, Luke Putkonen</t>
  </si>
  <si>
    <t>Brett Marshall, Chris Flexen, Jairo Labourt</t>
  </si>
  <si>
    <t>Wandy Peralta, Daniel Norris, Carlos Estevez</t>
  </si>
  <si>
    <t>Gaddis</t>
  </si>
  <si>
    <t>Carlos Monasterios, Roberto Gomez, Kyle McPherson</t>
  </si>
  <si>
    <t>Brett Sinkbeil, Cesar Valdez, Myles Jaye</t>
  </si>
  <si>
    <t>Darwinzon</t>
  </si>
  <si>
    <t>Alex Torres, Casey Crosby, Vincent Velasquez</t>
  </si>
  <si>
    <t>Crouse</t>
  </si>
  <si>
    <t>Hans</t>
  </si>
  <si>
    <t>Jose Berrios, Martin Perez, Luis Avilan</t>
  </si>
  <si>
    <t>Doyle</t>
  </si>
  <si>
    <t>Greg Holland, Mark Hamburger, Dylan Axelrod</t>
  </si>
  <si>
    <t>Brandon Maurer, Antonio Senzatela, Sal Romano</t>
  </si>
  <si>
    <t>Little</t>
  </si>
  <si>
    <t>Nick Gardewine, Justin De Fratus, Nick Pivetta</t>
  </si>
  <si>
    <t>Zach McAllister, Doug Fister, Randy Wells</t>
  </si>
  <si>
    <t>Matt Albers, Ricky Romero, Donnie Veal</t>
  </si>
  <si>
    <t>Nick Hagadone, Mauricio Robles, Samuel Deduno</t>
  </si>
  <si>
    <t>York</t>
  </si>
  <si>
    <t>Mikey</t>
  </si>
  <si>
    <t>Tommy Milone, Aaron Slegers, Joe Musgrove</t>
  </si>
  <si>
    <t>Danny Salazar, Chris Flexen, Jake Junis</t>
  </si>
  <si>
    <t>Sauer</t>
  </si>
  <si>
    <t>Jenrry Mejia, Jamie Callahan, Alberto Cabrera</t>
  </si>
  <si>
    <t>Tomo Ohka, Dave Bush, Brian Lawrence</t>
  </si>
  <si>
    <t>Harol</t>
  </si>
  <si>
    <t>Myles Jaye, Brett Sinkbeil, Josh Zeid</t>
  </si>
  <si>
    <t>Supak</t>
  </si>
  <si>
    <t>James Houser, Vance Worley, Lucas Luetge</t>
  </si>
  <si>
    <t>Matt Albers, Justin Wilson, Matt Maloney</t>
  </si>
  <si>
    <t>Bryan Mitchell, Joe Biagini, Nick Pivetta</t>
  </si>
  <si>
    <t>Mat Latos, Jarrod Parker, Franklin Morales</t>
  </si>
  <si>
    <t>Lemons</t>
  </si>
  <si>
    <t>Caden</t>
  </si>
  <si>
    <t>Deolis Guerra, Adrian Houser, David Holmberg</t>
  </si>
  <si>
    <t>Julio DePaula, Blake Smith, Bo Schultz</t>
  </si>
  <si>
    <t>Baz</t>
  </si>
  <si>
    <t>Alberto Cabrera, Jenrry Mejia, Alex Reyes</t>
  </si>
  <si>
    <t>Austin Brice, Dellin Betances, Ethan Martin</t>
  </si>
  <si>
    <t>Justin De Fratus, Nick Pivetta, Parker Bridwell</t>
  </si>
  <si>
    <t>Matt Magill, Dan Cortes, Vincent Velasquez</t>
  </si>
  <si>
    <t>Heatherly</t>
  </si>
  <si>
    <t>Drew Anderson, Jeanmar Gomez, Jairo Labourt</t>
  </si>
  <si>
    <t>Hector Noesi, Josh Wall, Rudy Owens</t>
  </si>
  <si>
    <t>Scott Elbert, Juan Minaya, Patrick Schuster</t>
  </si>
  <si>
    <t>Enlow</t>
  </si>
  <si>
    <t>Blayne</t>
  </si>
  <si>
    <t>Tyler Danish, Severino Gonzalez, Michael Blazek</t>
  </si>
  <si>
    <t>Woody Williams, David Wells, Sal Maglie</t>
  </si>
  <si>
    <t>Jairo Labourt, Shawn Morimando, Timothy Melville</t>
  </si>
  <si>
    <t>DL</t>
  </si>
  <si>
    <t>Jamie Callahan, Jenrry Mejia, Brad Hand</t>
  </si>
  <si>
    <t>Chase DeJong, Josh Smoker, Jose Alvarez</t>
  </si>
  <si>
    <t>Ryan Verdugo, Ben Heller, Cory Gearrin</t>
  </si>
  <si>
    <t>Hock</t>
  </si>
  <si>
    <t>Colton</t>
  </si>
  <si>
    <t>Evan Crawford, Justin Miller, Steve Cishek</t>
  </si>
  <si>
    <t>Parker Bridwell, Justin De Fratus, Enrique Burgos</t>
  </si>
  <si>
    <t>Matt Grace, Dylan Covey, Kyle Waldrop</t>
  </si>
  <si>
    <t>Evan Crawford, Paul Clemens, Tayron Guerrero</t>
  </si>
  <si>
    <t>Corry</t>
  </si>
  <si>
    <t>Thyago Vieira, Brad Hand, Jairo Labourt</t>
  </si>
  <si>
    <t>Cam Bedrosian, Nick Gardewine, Enrique Burgos</t>
  </si>
  <si>
    <t>Elvin Ramirez, Shawn Morimando, Esmil Rogers</t>
  </si>
  <si>
    <t>Elian</t>
  </si>
  <si>
    <t>Michael Ynoa, Jake Diekman, Daryl Thompson</t>
  </si>
  <si>
    <t>Mickey Mantle, Frank Thomas, Willie Mays</t>
  </si>
  <si>
    <t>Yadier Molina, John Jaso, Jonathan Lucroy</t>
  </si>
  <si>
    <t>SS 11</t>
  </si>
  <si>
    <t>Ian Desmond, Starling Marte, Marcus Semien</t>
  </si>
  <si>
    <t>1B 9</t>
  </si>
  <si>
    <t>Mark Teixeira, Stan Musial, Lance Berkman</t>
  </si>
  <si>
    <t>Tony Gwynn, Nick Markakis, Jason Heyward</t>
  </si>
  <si>
    <t>Todd Helton, Albert Pujols, Lance Berkman</t>
  </si>
  <si>
    <t>Miguel Cabrera, Jason Heyward, Ryan Zimmerman</t>
  </si>
  <si>
    <t>SS 8</t>
  </si>
  <si>
    <t>J.J. Hardy, Xander Bogaerts, Troy Tulowitzki</t>
  </si>
  <si>
    <t>Paul Goldschmidt, Justin Morneau, Brandon Belt</t>
  </si>
  <si>
    <t>Justin Upton, Ken Griffey, Jack Clark</t>
  </si>
  <si>
    <t>Evan Longoria, David Wright, Eddie Mathews</t>
  </si>
  <si>
    <t>Josh Hamilton, Grady Sizemore, Matt Kemp</t>
  </si>
  <si>
    <t>CF 17</t>
  </si>
  <si>
    <t>Jon Jay, Cameron Maybin, Angel Pagan</t>
  </si>
  <si>
    <t>George Springer, Jabari Blash, Giancarlo Stanton</t>
  </si>
  <si>
    <t>Ralph Kiner, Jose Canseco, Darryl Strawberry</t>
  </si>
  <si>
    <t>Dustin Pedroia, Bill Madlock, Roberto Alomar</t>
  </si>
  <si>
    <t>Maikel Franco, Mike Moustakas, Anthony Rendon</t>
  </si>
  <si>
    <t>Billy Butler, Todd Helton, Nick Johnson</t>
  </si>
  <si>
    <t>John Jaso, J.R. Towles, Ryan Lavarnway</t>
  </si>
  <si>
    <t>Troy Tulowitzki, Pablo Sandoval, Hanley Ramirez</t>
  </si>
  <si>
    <t>Garrett Atkins, Bill Madlock, Aubrey Huff</t>
  </si>
  <si>
    <t>George Brett, Al Rosen, Aramis Ramirez</t>
  </si>
  <si>
    <t>Michael Bourn, Reed Johnson, Angel Pagan</t>
  </si>
  <si>
    <t>3B 17</t>
  </si>
  <si>
    <t>Mike Olt, Pedro Alvarez, Dallas McPherson</t>
  </si>
  <si>
    <t>Carlos Beltran, Shin-Soo Choo, Bernie Williams</t>
  </si>
  <si>
    <t>Adrian Beltre, Pablo Sandoval, Richie Hebner</t>
  </si>
  <si>
    <t>Matt Holliday, Carlos Gonzalez, Bob Nieman</t>
  </si>
  <si>
    <t>Nate Schierholtz, Roger Bernadina, Josh Reddick</t>
  </si>
  <si>
    <t>Matt Kemp, Marcell Ozuna, Melvin Upton</t>
  </si>
  <si>
    <t>Hunter Pence, George Springer, Andre Ethier</t>
  </si>
  <si>
    <t>Miguel Cabrera, Adrian Gonzalez, Mark Teixeira</t>
  </si>
  <si>
    <t>George Brett, Puddin Head Jones, Ryan Zimmerman</t>
  </si>
  <si>
    <t>Alfonso Soriano, Benny Ayala, Willie Horton</t>
  </si>
  <si>
    <t>Carl Crawford, Shane Mack, Chris Heisey</t>
  </si>
  <si>
    <t>1B 4</t>
  </si>
  <si>
    <t>Kendrys Morales, Ted Kluszewski, Corey Hart</t>
  </si>
  <si>
    <t>LF -6, 1B -0</t>
  </si>
  <si>
    <t>Chris Carter, Brandon Allen, Paul Goldschmidt</t>
  </si>
  <si>
    <t>John Buck, Jason LaRue, Mike Macfarlane</t>
  </si>
  <si>
    <t>Abraham Almonte, Lorenzo Cain, Jon Jay</t>
  </si>
  <si>
    <t>Ben Zobrist, Carlos Guillen, Chase Utley</t>
  </si>
  <si>
    <t>Denard Span, Jacoby Ellsbury, Jon Jay</t>
  </si>
  <si>
    <t>Paul Konerko, Vladimir Guerrero, Lance Berkman</t>
  </si>
  <si>
    <t>Miguel Montero, Chris Iannetta, Alex Avila</t>
  </si>
  <si>
    <t>Brad Hawpe, Shin-Soo Choo, Steven Souza</t>
  </si>
  <si>
    <t>2B 6</t>
  </si>
  <si>
    <t>Dilson Herrera, Mookie Betts, Rougned Odor</t>
  </si>
  <si>
    <t>Giancarlo Stanton, Jay Bruce, Travis Snider</t>
  </si>
  <si>
    <t>Jason Bay, Pat Burrell, Todd Hundley</t>
  </si>
  <si>
    <t>Travis d'Arnaud, Buster Posey, Chris Shelton</t>
  </si>
  <si>
    <t>Lance Berkman, Vladimir Guerrero, Stan Musial</t>
  </si>
  <si>
    <t>LF -2</t>
  </si>
  <si>
    <t>Chet Lemon, Melvin Upton, Grady Sizemore</t>
  </si>
  <si>
    <t>Brian Schneider, Dioner Navarro, Jonathan Lucroy</t>
  </si>
  <si>
    <t>John Buck, Miguel Montero, Wilson Ramos</t>
  </si>
  <si>
    <t>Carlos Delgado, David Ortiz, Frank Howard</t>
  </si>
  <si>
    <t>Richie Ashburn, Curt Flood, Mickey Stanley</t>
  </si>
  <si>
    <t>Mike Greenwell, Gregg Jefferies, Dale Mitchell</t>
  </si>
  <si>
    <t>David Wright, Aramis Ramirez, Carlos Guillen</t>
  </si>
  <si>
    <t>Moises Alou, Johnny Damon, Melvin Mora</t>
  </si>
  <si>
    <t>Sid Gordon, Bobby Abreu, Al Kaline</t>
  </si>
  <si>
    <t>Joe Benson, Kyle Parker, Bradley Zimmer</t>
  </si>
  <si>
    <t>Rickie Weeks, Kelly Johnson, Don Money</t>
  </si>
  <si>
    <t>Derrek Lee, David Ortiz, Andre Thornton</t>
  </si>
  <si>
    <t>Jose Tabata, Mookie Betts, Gordon Beckham</t>
  </si>
  <si>
    <t>Jacoby Ellsbury, Jon Jay, Shane Victorino</t>
  </si>
  <si>
    <t>SS 6</t>
  </si>
  <si>
    <t>Mark Loretta, Edgar Renteria, Rafael Bournigal</t>
  </si>
  <si>
    <t>Jhonny Peralta, Miguel Tejada, Derek Jeter</t>
  </si>
  <si>
    <t>Kent Hrbek, Paul Konerko, Mike Sweeney</t>
  </si>
  <si>
    <t>Trayvon Robinson, Michael Taylor, Kirk Nieuwenhuis</t>
  </si>
  <si>
    <t>Scott Van Slyke, Scott Hairston, Josh Willingham</t>
  </si>
  <si>
    <t>Brandon Phillips, Ian Kinsler, Aaron Hill</t>
  </si>
  <si>
    <t>Chris Coghlan, Desmond Jennings, Blake DeWitt</t>
  </si>
  <si>
    <t>Trevor Story, Randal Grichuk, Brandon Wood</t>
  </si>
  <si>
    <t>Elvis Andrus, Bobby Valentine, Alex Arias</t>
  </si>
  <si>
    <t>Angel Pagan, Vernon Wells, Alex Rios</t>
  </si>
  <si>
    <t>Jonathan Lucroy, Wilson Ramos, Ronny Paulino</t>
  </si>
  <si>
    <t>Mark Reynolds, Kris Bryant, Mike Schmidt</t>
  </si>
  <si>
    <t>A.J. Reed, Rhys Hoskins, Paul Goldschmidt</t>
  </si>
  <si>
    <t>Khalil Greene, Bobby Crosby, Sean Rodriguez</t>
  </si>
  <si>
    <t>Gene Richards, Rocco Baldelli, Marquis Grissom</t>
  </si>
  <si>
    <t>Sherm Lollar, Jorge Posada, Ed Bailey</t>
  </si>
  <si>
    <t>Andy Marte, Jon Singleton, Dilson Herrera</t>
  </si>
  <si>
    <t>Jorge Soler, Carlos Gonzalez, Anthony Rizzo</t>
  </si>
  <si>
    <t>Chase Headley, David Freese, Morgan Ensberg</t>
  </si>
  <si>
    <t>Orlando Hudson, Mark Ellis, Brian Roberts</t>
  </si>
  <si>
    <t>Hank Conger, Nick Hundley, Brian Schneider</t>
  </si>
  <si>
    <t>Randal Grichuk, Mark Reynolds, Oswaldo Arcia</t>
  </si>
  <si>
    <t>Dee Gordon, Chris Getz, Alexi Casilla</t>
  </si>
  <si>
    <t>Dustin Pedroia, Nellie Fox, Ron Hunt</t>
  </si>
  <si>
    <t>Kyle Seager, Edwin Encarnacion, Robin Ventura</t>
  </si>
  <si>
    <t>Nolan Reimold, Chris Duncan, Corey Dickerson</t>
  </si>
  <si>
    <t>Josh Reddick, Austin Kearns, John Wockenfuss</t>
  </si>
  <si>
    <t>Ernie Banks, Dale Sveum, Denis Menke</t>
  </si>
  <si>
    <t>Sean Burroughs, Blake DeWitt, Aaron Hill</t>
  </si>
  <si>
    <t>Ketel Marte, Hanley Ramirez, Everth Cabrera</t>
  </si>
  <si>
    <t>Travis Buck, Ryan Sweeney, Elijah Dukes</t>
  </si>
  <si>
    <t>Jose Cardenal, David Murphy, Shannon Stewart</t>
  </si>
  <si>
    <t>Jonny Gomes, Jason Bay, Willie Stargell</t>
  </si>
  <si>
    <t>Delino DeShields, Andrew McCutchen, Gerardo Parra</t>
  </si>
  <si>
    <t>Erick Aybar, Bill Russell, Alcides Escobar</t>
  </si>
  <si>
    <t>Mark Trumbo, Khris Davis, Yoenis Cespedes</t>
  </si>
  <si>
    <t>Bobby Abreu, Kosuke Fukudome, J.D. Drew</t>
  </si>
  <si>
    <t>Jonathan Schoop, Gordon Beckham, Carlos Baerga</t>
  </si>
  <si>
    <t>Greg Garcia, Daniel Robertson, Gavin Cecchini</t>
  </si>
  <si>
    <t>Brian Roberts, Orlando Hudson, Aaron Hill</t>
  </si>
  <si>
    <t>Tony Cruz, Luis Exposito, Tim Federowicz</t>
  </si>
  <si>
    <t>Ryan Raburn, Casper Wells, Rick Ankiel</t>
  </si>
  <si>
    <t>2B 4, 3B -0</t>
  </si>
  <si>
    <t>Todd Frazier, Kevin Kouzmanoff, Wilson Betemit</t>
  </si>
  <si>
    <t>Brandon Crawford, Yuniesky Betancourt, Erick Aybar</t>
  </si>
  <si>
    <t>J.P. Arencibia, Jarrod Saltalamacchia, Yan Gomes</t>
  </si>
  <si>
    <t>1B 0, 3B -2</t>
  </si>
  <si>
    <t>Justin Morneau, John Jaso, Eddie Murray</t>
  </si>
  <si>
    <t>Alexi Casilla, Jace Peterson, Chris Getz</t>
  </si>
  <si>
    <t>Monte Irvin, Ryan Ludwick, Jason Bay</t>
  </si>
  <si>
    <t>Joc Pederson, Jorge Soler, Ryan Klesko</t>
  </si>
  <si>
    <t>Ryan Freel, Gregor Blanco, Rajai Davis</t>
  </si>
  <si>
    <t>Matt Kemp, Reggie Jackson, Carlos Gonzalez</t>
  </si>
  <si>
    <t>Russell Branyan, Bryan LaHair, Brett Wallace</t>
  </si>
  <si>
    <t>C 9, 1B -0</t>
  </si>
  <si>
    <t>Brian Schneider, Bob Stinson, Rick Dempsey</t>
  </si>
  <si>
    <t>Jeff Baker, Eli Marrero, Garrett Jones</t>
  </si>
  <si>
    <t>Evan Longoria, Todd Frazier, Eric Chavez</t>
  </si>
  <si>
    <t>Edwin Encarnacion, Chase Headley, Kevin Kouzmanoff</t>
  </si>
  <si>
    <t>Tony Cruz, Yorvit Torrealba, James McCann</t>
  </si>
  <si>
    <t>Jerry Lumpe, Jim Gantner, Bob Randall</t>
  </si>
  <si>
    <t>Gary Carter, Ramon Hernandez, Bill Freehan</t>
  </si>
  <si>
    <t>John Jaso, John Olerud, Joe Mauer</t>
  </si>
  <si>
    <t>Scott Hatteberg, Bob Boone, Sherm Lollar</t>
  </si>
  <si>
    <t>Alejandro De Aza, Aaron Cunningham, Lou Montanez</t>
  </si>
  <si>
    <t>Adrian Beltre, Chris Sabo, Chase Headley</t>
  </si>
  <si>
    <t>Kris Bryant, Miguel Sano, Giancarlo Stanton</t>
  </si>
  <si>
    <t>Will Venable, Torii Hunter, Aaron Rowand</t>
  </si>
  <si>
    <t>Bubba Phillips, Joe Randa, Carney Lansford</t>
  </si>
  <si>
    <t>C -9, 1B -0</t>
  </si>
  <si>
    <t>Darrin Fletcher, Yadier Molina, Del Crandall</t>
  </si>
  <si>
    <t>Andrelton Simmons, Ruben Tejada, Jean Segura</t>
  </si>
  <si>
    <t>Sean Rodriguez, Bobby Crosby, Danny Espinosa</t>
  </si>
  <si>
    <t>Howie Kendrick, Bret Boone, Jeff Kent</t>
  </si>
  <si>
    <t>Hunter Pence, Alex Rios, Derek Bell</t>
  </si>
  <si>
    <t>Jhonny Peralta, Wilson Betemit, Travis Fryman</t>
  </si>
  <si>
    <t>Ryan Sweeney, Gene Larkin, Matt Lawton</t>
  </si>
  <si>
    <t>David DeJesus, Nick Markakis, Ben Francisco</t>
  </si>
  <si>
    <t>Ramon Castro, Ozzie Virgil, John Buck</t>
  </si>
  <si>
    <t>Brandon Belt, Tommy Joseph, Justin Morneau</t>
  </si>
  <si>
    <t>Matt Duffy, Lonnie Chisenhall, Scooter Gennett</t>
  </si>
  <si>
    <t>Asdrubal Cabrera, Jhonny Peralta, J.J. Hardy</t>
  </si>
  <si>
    <t>Enos Slaughter, Hank Bauer, Kirby Puckett</t>
  </si>
  <si>
    <t>Mike Redmond, A.J. Pierzynski, Ramon Hernandez</t>
  </si>
  <si>
    <t>A.J. Pierzynski, Ronny Paulino, Ramon Hernandez</t>
  </si>
  <si>
    <t>Maikel Franco, Lonnie Chisenhall, Dilson Herrera</t>
  </si>
  <si>
    <t>Mark Ellis, Brandon Phillips, Tony Graffanino</t>
  </si>
  <si>
    <t>Aaron Rowand, Torii Hunter, Willie Davis</t>
  </si>
  <si>
    <t>SS -10</t>
  </si>
  <si>
    <t>Jose Reyes, Starlin Castro, Jean Segura</t>
  </si>
  <si>
    <t>Placido Polanco, Mark Loretta, Ian Kinsler</t>
  </si>
  <si>
    <t>Kendrys Morales, Aubrey Huff, Adrian Gonzalez</t>
  </si>
  <si>
    <t>Fred McGriff, Richie Sexson, Mark McGwire</t>
  </si>
  <si>
    <t>Travis Snider, Dexter Fowler, Andre Ethier</t>
  </si>
  <si>
    <t>2B -2, 3B 0</t>
  </si>
  <si>
    <t>Freddy Sanchez, Omar Infante, Mike Aviles</t>
  </si>
  <si>
    <t>Robin Yount, Chet Lemon, Cesar Cedeno</t>
  </si>
  <si>
    <t>2B -1, 3B 1</t>
  </si>
  <si>
    <t>Didi Gregorius, Daniel Descalso, Marwin Gonzalez</t>
  </si>
  <si>
    <t>Ryan Howard, Mike Napoli, Adam Dunn</t>
  </si>
  <si>
    <t>Ben Zobrist, Cliff Pennington, Brian Dozier</t>
  </si>
  <si>
    <t>Khalil Greene, Didi Gregorius, Brandon Crawford</t>
  </si>
  <si>
    <t>Victor Diaz, Wladimir Balentien, Cody Ross</t>
  </si>
  <si>
    <t>CF -2, 2B -0</t>
  </si>
  <si>
    <t>Sandy Alomar, Aaron Miles, Eduardo Nunez</t>
  </si>
  <si>
    <t>Aaron Altherr, Moises Sierra, Rymer Liriano</t>
  </si>
  <si>
    <t>Jay Payton, Reed Johnson, Marlon Anderson</t>
  </si>
  <si>
    <t>Xander Bogaerts, Addison Russell, Alen Hanson</t>
  </si>
  <si>
    <t>Paul DeJong, Brett Wallace, Alex Liddi</t>
  </si>
  <si>
    <t>Delmonico</t>
  </si>
  <si>
    <t>Jefry Marte, Yamaico Navarro, Ryan Rua</t>
  </si>
  <si>
    <t>LF 4, RF -0</t>
  </si>
  <si>
    <t>Joe Benson, Brett Jackson, Bradley Zimmer</t>
  </si>
  <si>
    <t>Nomar Garciaparra, Juan Rivera, Ross Gload</t>
  </si>
  <si>
    <t>Trot Nixon, David DeJesus, Jim King</t>
  </si>
  <si>
    <t>Conor Jackson, Joey Votto, Jason Kubel</t>
  </si>
  <si>
    <t>Rocco Baldelli, Gil Hodges, Glenn Davis</t>
  </si>
  <si>
    <t>Mark Teahen, Jhonny Peralta, Jorge Cantu</t>
  </si>
  <si>
    <t>Nick Markakis, Jeremy Hermida, Delmon Young</t>
  </si>
  <si>
    <t>Oswaldo Arcia, Javier Baez, Evan Longoria</t>
  </si>
  <si>
    <t>Placido Polanco, Johnny Ray, Rich Dauer</t>
  </si>
  <si>
    <t>3B -2, 1B 0</t>
  </si>
  <si>
    <t>Pablo Sandoval, Jorge Cantu, Buddy Bell</t>
  </si>
  <si>
    <t>Puello</t>
  </si>
  <si>
    <t>Paul McAnulty, Jon Knott, Fred Lewis</t>
  </si>
  <si>
    <t>RF 1, LF -1</t>
  </si>
  <si>
    <t>Jarrett Parker, Travis Taijeron, Jason Dubois</t>
  </si>
  <si>
    <t>J.P. Crawford, Mookie Betts, Francisco Lindor</t>
  </si>
  <si>
    <t>Elian Herrera, Jason Bourgeois, Bubba Crosby</t>
  </si>
  <si>
    <t>LF 3, RF -1</t>
  </si>
  <si>
    <t>Ramon Flores, Alex Hassan, Mark Zagunis</t>
  </si>
  <si>
    <t>Hideki Matsui, Bobby Abreu, Johnny Damon</t>
  </si>
  <si>
    <t>Chris Snyder, Jason Varitek, John Buck</t>
  </si>
  <si>
    <t>Wilkin Castillo, Rob Johnson, Kyle Farmer</t>
  </si>
  <si>
    <t>Matt Antonelli, Josh Barfield, Dilson Herrera</t>
  </si>
  <si>
    <t>Rich Gedman, Haywood Sullivan, Yorvit Torrealba</t>
  </si>
  <si>
    <t>Chad Moeller, Humberto Quintero, Eli Whiteside</t>
  </si>
  <si>
    <t>Edwin Encarnacion, Hank Blalock, Alex Gordon</t>
  </si>
  <si>
    <t>John Buck, Ryan Doumit, Gene Oliver</t>
  </si>
  <si>
    <t>Grady Sizemore, Nick Swisher, Carlos Quentin</t>
  </si>
  <si>
    <t>Jefry Marte, Adam Duvall, Matthew Duffy</t>
  </si>
  <si>
    <t>Al Kozar, Omar Infante, Carlos Garcia</t>
  </si>
  <si>
    <t>David DeJesus, Desmond Jennings, Leonys Martin</t>
  </si>
  <si>
    <t>Brad Hawpe, Jayson Werth, J.D. Martinez</t>
  </si>
  <si>
    <t>Brett Lawrie, Howie Kendrick, Jorge Orta</t>
  </si>
  <si>
    <t>Drew Stubbs, Curtis Granderson, Peter Bourjos</t>
  </si>
  <si>
    <t>Tyler Austin, Caleb Gindl, Chris Pettit</t>
  </si>
  <si>
    <t>Dilson Herrera, Marcus Semien, Kolten Wong</t>
  </si>
  <si>
    <t>Everth Cabrera, Jurickson Profar, Asdrubal Cabrera</t>
  </si>
  <si>
    <t>Brady Anderson, Ken Griffey, Bernie Williams</t>
  </si>
  <si>
    <t>RF -4</t>
  </si>
  <si>
    <t>Scott Hairston, Cody Ross, Matt Kemp</t>
  </si>
  <si>
    <t>Billy Butler, Eddie Robinson, Richie Hebner</t>
  </si>
  <si>
    <t>SS 5, 2B 0</t>
  </si>
  <si>
    <t>Derek Dietrich, Trevor Story, Nick Franklin</t>
  </si>
  <si>
    <t>Straw</t>
  </si>
  <si>
    <t>Boog Powell, Mallex Smith, Ezequiel Carrera</t>
  </si>
  <si>
    <t>Carlos Quentin, L.J. Hoes, Ramon Flores</t>
  </si>
  <si>
    <t>Boog</t>
  </si>
  <si>
    <t>Brett Gardner, Abraham Almonte, Ezequiel Carrera</t>
  </si>
  <si>
    <t>Josh Satin, Nate Freiman, Brandon Guyer</t>
  </si>
  <si>
    <t>Kelly Johnson, Brian Dozier, Jason Kipnis</t>
  </si>
  <si>
    <t>Travis Snider, Oswaldo Arcia, Derek Dietrich</t>
  </si>
  <si>
    <t>Nate McLouth, Desmond Jennings, Milton Bradley</t>
  </si>
  <si>
    <t>Odubel Herrera, Ender Inciarte, Billy Hamilton</t>
  </si>
  <si>
    <t>Orlando Hudson, Mark Ellis, Dick McAuliffe</t>
  </si>
  <si>
    <t>Didi Gregorius, Jurickson Profar, Enrique Hernandez</t>
  </si>
  <si>
    <t>Desmond Jennings, Ryan Kalish, Aaron Hicks</t>
  </si>
  <si>
    <t>Todd Walker, Aaron Hill, Skip Schumaker</t>
  </si>
  <si>
    <t>Alex Rios, Al Cowens, Mark Teahen</t>
  </si>
  <si>
    <t>Tike Redman, Charlie Blackmon, Willie Bloomquist</t>
  </si>
  <si>
    <t>Shawn Green, Kosuke Fukudome, Jim King</t>
  </si>
  <si>
    <t>Erubiel Durazo, Cliff Johnson, Boog Powell</t>
  </si>
  <si>
    <t>LF 3, RF 0</t>
  </si>
  <si>
    <t>Trot Nixon, Juan Rivera, Lenny Green</t>
  </si>
  <si>
    <t>Josmil Pinto, Jeff Larish, Mike Carp</t>
  </si>
  <si>
    <t>C 1, 1B 0</t>
  </si>
  <si>
    <t>Vinny Rottino, Carlos Ruiz, Dustin Garneau</t>
  </si>
  <si>
    <t>Stamets</t>
  </si>
  <si>
    <t>Lance Zawadzki, Tommy Field, Zack Cozart</t>
  </si>
  <si>
    <t>Bote</t>
  </si>
  <si>
    <t>2B 1, RF 0</t>
  </si>
  <si>
    <t>Ryan Raburn, Scott Sizemore, Taylor Featherston</t>
  </si>
  <si>
    <t>Orlando Arcia, Alen Hanson, Tim Beckham</t>
  </si>
  <si>
    <t>Joc Pederson, Christian Yelich, Alex Verdugo</t>
  </si>
  <si>
    <t>Ford</t>
  </si>
  <si>
    <t>Kila Ka'aihue, Chris Carter, Gaby Sanchez</t>
  </si>
  <si>
    <t>LF 2, RF 0</t>
  </si>
  <si>
    <t>Phil Ervin, Chad Huffman, Mark Zagunis</t>
  </si>
  <si>
    <t>Orlando Hudson, Omar Infante, Ryan Flaherty</t>
  </si>
  <si>
    <t>Derek Dietrich, Tim Beckham, Chris Owings</t>
  </si>
  <si>
    <t>Richie Sexson, Marcus Thames, Tony Clark</t>
  </si>
  <si>
    <t>3B -2, LF 0</t>
  </si>
  <si>
    <t>Chase Headley, Todd Frazier, Trevor Plouffe</t>
  </si>
  <si>
    <t>Billy Williams, Rondell White, Dusty Baker</t>
  </si>
  <si>
    <t>Oswaldo Arcia, Jonny Gomes, Joc Pederson</t>
  </si>
  <si>
    <t>Cody Asche, Delmon Young, George Bell</t>
  </si>
  <si>
    <t>Todd Zeile, Daryl Spencer, Kurt Bevacqua</t>
  </si>
  <si>
    <t>Eduardo Nunez, Josh Rutledge, Jason Bartlett</t>
  </si>
  <si>
    <t>C.J. Cron, Jesus Montero, Ryan Doumit</t>
  </si>
  <si>
    <t>Justin Ruggiano, Marcus Thames, Josh Hamilton</t>
  </si>
  <si>
    <t>2B -2, 1B 0</t>
  </si>
  <si>
    <t>Mike Cervenak, Steve Tolleson, Tommy Field</t>
  </si>
  <si>
    <t>Demeritte</t>
  </si>
  <si>
    <t>Trevor Story, J.D. Davis, Paul DeJong</t>
  </si>
  <si>
    <t>Chris Carter, Domingo Santana, Oswaldo Arcia</t>
  </si>
  <si>
    <t>Shed</t>
  </si>
  <si>
    <t>Ian Happ, Dilson Herrera, Yoan Moncada</t>
  </si>
  <si>
    <t>1B -2, LF 1</t>
  </si>
  <si>
    <t>Kendrys Morales, Kevin Millar, Aubrey Huff</t>
  </si>
  <si>
    <t>Ryan Spilborghs, Nolan Reimold, Franklin Gutierrez</t>
  </si>
  <si>
    <t>Mike Felder, Endy Chavez, Rudy Law</t>
  </si>
  <si>
    <t>CF 1, RF 0</t>
  </si>
  <si>
    <t>Shane Peterson, Bryce Brentz, Sean Halton</t>
  </si>
  <si>
    <t>Joey Rickard, L.J. Hoes, Jon Jay</t>
  </si>
  <si>
    <t>SS 3, 3B -0</t>
  </si>
  <si>
    <t>Mike McCoy, Chase d'Arnaud, Brian Barden</t>
  </si>
  <si>
    <t>Dickson</t>
  </si>
  <si>
    <t>O'Koyea</t>
  </si>
  <si>
    <t>Alex Hassan, Jake Goebbert, Cedric Hunter</t>
  </si>
  <si>
    <t>Nick Franklin, Marcus Semien, Eugenio Suarez</t>
  </si>
  <si>
    <t>Victor Caratini, Christian Vazquez, David Freitas</t>
  </si>
  <si>
    <t>Thairo</t>
  </si>
  <si>
    <t>Tyler Pastornicky, Ivan De Jesus, Jorge Polanco</t>
  </si>
  <si>
    <t>Ji-Man Choi, Max Muncy, Chris Carter</t>
  </si>
  <si>
    <t>Jurickson Profar, Carlos Correa, Elvis Andrus</t>
  </si>
  <si>
    <t>Gary Sanchez, Josh Donaldson, Devin Mesoraco</t>
  </si>
  <si>
    <t>Arozarena</t>
  </si>
  <si>
    <t>Shin-Soo Choo, Chad Huffman, Thomas Neal</t>
  </si>
  <si>
    <t>Mitch Moreland, Matt Adams, Mike Jacobs</t>
  </si>
  <si>
    <t>John Buck, Ozzie Virgil, Mike Macfarlane</t>
  </si>
  <si>
    <t>2B -3, RF -1</t>
  </si>
  <si>
    <t>Marco Scutaro, Chase Utley, Mark Loretta</t>
  </si>
  <si>
    <t>Kevin Mench, Nate Schierholtz, David Peralta</t>
  </si>
  <si>
    <t>Jason Varitek, Ed Bailey, Carl Sawatski</t>
  </si>
  <si>
    <t>James Darnell, Marcus Semien, Cody Asche</t>
  </si>
  <si>
    <t>Matt Duffy, Wilmer Flores, Lonnie Chisenhall</t>
  </si>
  <si>
    <t>Danny Espinosa, Chris Burke, Luis Gonzalez</t>
  </si>
  <si>
    <t>JD Closser, Jason Jaramillo, Steve Clevenger</t>
  </si>
  <si>
    <t>Ryan Rua, John Bowker, Seth Smith</t>
  </si>
  <si>
    <t>Mark DeRosa, Jhonny Peralta, Melvin Mora</t>
  </si>
  <si>
    <t>Oswaldo Arcia, Wily Mo Pena, Carlos Gonzalez</t>
  </si>
  <si>
    <t>Dave Collins, Lastings Milledge, Gregor Blanco</t>
  </si>
  <si>
    <t>Ty Wigginton, Adrian Gonzalez, Aubrey Huff</t>
  </si>
  <si>
    <t>Byron Buxton, Mike Trout, Delmon Young</t>
  </si>
  <si>
    <t>Roger Bernadina, Shane Victorino, David Murphy</t>
  </si>
  <si>
    <t>Shin-Soo Choo, Josh Reddick, Travis Buck</t>
  </si>
  <si>
    <t>Luis Aparicio, Elvis Andrus, Alcides Escobar</t>
  </si>
  <si>
    <t>Roger Bernadina, Brian Anderson, Lorenzo Cain</t>
  </si>
  <si>
    <t>LF -2, SS -1</t>
  </si>
  <si>
    <t>Reed Johnson, Keith Moreland, Andy Dirks</t>
  </si>
  <si>
    <t>Jose Reyes, Yunel Escobar, Kevin Seitzer</t>
  </si>
  <si>
    <t>Steve Lombardozzi, Alexi Casilla, Aaron Hill</t>
  </si>
  <si>
    <t>Scott Hairston, Eric Thames, Preston Tucker</t>
  </si>
  <si>
    <t>Chris Denorfia, Bubba Crosby, Elian Herrera</t>
  </si>
  <si>
    <t>2B 0, 3B 1</t>
  </si>
  <si>
    <t>Matt Tolbert, Eric Sogard, Johnny Giavotella</t>
  </si>
  <si>
    <t>Lucas Duda, Ryan Zimmerman, Seth Smith</t>
  </si>
  <si>
    <t>Rob Refsnyder, Matt Carpenter, Ty Kelly</t>
  </si>
  <si>
    <t>1B -0, 3B 2</t>
  </si>
  <si>
    <t>Rhys Hoskins, Jerry Sands, Ryan Lavarnway</t>
  </si>
  <si>
    <t>J.B. Shuck, Michael Brantley, Reggie Willits</t>
  </si>
  <si>
    <t>LF -4, RF -1</t>
  </si>
  <si>
    <t>Bobby Abreu, Johnny Grubb, Luis Gonzalez</t>
  </si>
  <si>
    <t>Orlando Cabrera, Cookie Rojas, Jim Gantner</t>
  </si>
  <si>
    <t>LF -1, RF 1</t>
  </si>
  <si>
    <t>Don Lenhardt, Alfonso Soriano, Mack Jones</t>
  </si>
  <si>
    <t>Sam Dente, Alfredo Griffin, Bill Russell</t>
  </si>
  <si>
    <t>C -2, 1B 0</t>
  </si>
  <si>
    <t>Mike Rivera, Anthony Recker, Hector Gimenez</t>
  </si>
  <si>
    <t>Jason Bourgeois, Jason Tyner, Pablo Ozuna</t>
  </si>
  <si>
    <t>L.J. Hoes, Skip Schumaker, Matt Angle</t>
  </si>
  <si>
    <t>Kyle Blanks, Brad Hawpe, Tyler Colvin</t>
  </si>
  <si>
    <t>1B -0, LF 0</t>
  </si>
  <si>
    <t>Joey Terdoslavich, Chris McGuiness, Lars Anderson</t>
  </si>
  <si>
    <t>Taijeron</t>
  </si>
  <si>
    <t>Mike Wilson, Joe Koshansky, Brad Snyder</t>
  </si>
  <si>
    <t>Landon Powell, Jose Lobaton, George Kottaras</t>
  </si>
  <si>
    <t>Scott Cousins, Blake Tekotte, Mikie Mahtook</t>
  </si>
  <si>
    <t>Haase</t>
  </si>
  <si>
    <t>Tom Murphy, Taylor Teagarden, Xavier Scruggs</t>
  </si>
  <si>
    <t>Logan Watkins, Cord Phelps, Jose Pirela</t>
  </si>
  <si>
    <t>Adam Rosales, Josh Donaldson, David Adams</t>
  </si>
  <si>
    <t>2B 1, 1B -1</t>
  </si>
  <si>
    <t>Johnny Giavotella, Eric Sogard, Justin Turner</t>
  </si>
  <si>
    <t>Luke Allen, Chad Huffman, Jamie Romak</t>
  </si>
  <si>
    <t>Tyler Wade, Yolmer Sanchez, Amed Rosario</t>
  </si>
  <si>
    <t>Donald</t>
  </si>
  <si>
    <t>Abraham Almonte, Jon Jay, Charlie Blackmon</t>
  </si>
  <si>
    <t>Adam Frazier, Cristhian Adames, Dixon Machado</t>
  </si>
  <si>
    <t>Matt Clark, Neftali Soto, Matt Adams</t>
  </si>
  <si>
    <t>Hampson</t>
  </si>
  <si>
    <t>Logan Watkins, Tim Locastro, Tony Renda</t>
  </si>
  <si>
    <t>Craig Counsell, Jamey Carroll, Red Schoendienst</t>
  </si>
  <si>
    <t>Melvin Mora, Mark DeRosa, Jhonny Peralta</t>
  </si>
  <si>
    <t>RF -0, 1B -1</t>
  </si>
  <si>
    <t>Trot Nixon, Kosuke Fukudome, Seth Smith</t>
  </si>
  <si>
    <t>Alex Gonzalez, Clint Barmes, Bill Almon</t>
  </si>
  <si>
    <t>CF 0, LF 0</t>
  </si>
  <si>
    <t>Scott Podsednik, Ryan Freel, Darryl Hamilton</t>
  </si>
  <si>
    <t>Jason Bourgeois, Kerry Robinson, Sam Fuld</t>
  </si>
  <si>
    <t>Eddie Milner, Jacoby Ellsbury, Bill Tuttle</t>
  </si>
  <si>
    <t>Dusty</t>
  </si>
  <si>
    <t>Ed Lucas, Danny Worth, Trent Oeltjen</t>
  </si>
  <si>
    <t>Sean Halton, Joe Benson, Lane Adams</t>
  </si>
  <si>
    <t>Cole Gillespie, Jeff Salazar, Mike Edwards</t>
  </si>
  <si>
    <t>Chin-lung Hu, Brandon Phillips, Joaquin Arias</t>
  </si>
  <si>
    <t>Luke Maile, Dustin Garneau, Jason Jaramillo</t>
  </si>
  <si>
    <t>Erich</t>
  </si>
  <si>
    <t>2B 1, 3B 0</t>
  </si>
  <si>
    <t>Steve Tolleson, Brian Dinkelman, Andrew Burns</t>
  </si>
  <si>
    <t>Jose Lobaton, Chris Gimenez, John Baker</t>
  </si>
  <si>
    <t>SS 1, CF -0</t>
  </si>
  <si>
    <t>Junior Lake, Derek Dietrich, Tim Anderson</t>
  </si>
  <si>
    <t>Locastro</t>
  </si>
  <si>
    <t>Todd Cunningham, Matt Angle, Rafael Ortega</t>
  </si>
  <si>
    <t>Preston Tucker, Caleb Gindl, Tyler Austin</t>
  </si>
  <si>
    <t>Kiner-Falefa</t>
  </si>
  <si>
    <t>Isiah</t>
  </si>
  <si>
    <t>3B 4, 2B 1</t>
  </si>
  <si>
    <t>Ty Kelly, Jefry Marte, Josh Harrison</t>
  </si>
  <si>
    <t>2B 1, LF -0</t>
  </si>
  <si>
    <t>Steve Tolleson, Joey Wendle, Josh Rodriguez</t>
  </si>
  <si>
    <t>Cheslor Cuthbert, Kaleb Cowart, Rio Ruiz</t>
  </si>
  <si>
    <t>Franklin Barreto, Addison Russell, Corey Seager</t>
  </si>
  <si>
    <t>Trevor Story, Addison Russell, Xander Bogaerts</t>
  </si>
  <si>
    <t>3B 1, SS -1</t>
  </si>
  <si>
    <t>Adam Duvall, Paul DeJong, Will Middlebrooks</t>
  </si>
  <si>
    <t>Carlos Correa, Freddie Freeman, Domingo Santana</t>
  </si>
  <si>
    <t>John Ryan</t>
  </si>
  <si>
    <t>Rob Johnson, Steve Clevenger, Bryan Holaday</t>
  </si>
  <si>
    <t>Willie Harris, Jose Cruz Jr., Rickie Weeks</t>
  </si>
  <si>
    <t>1B -9</t>
  </si>
  <si>
    <t>Lyle Overbay, Kendrys Morales, Matthew Lecroy</t>
  </si>
  <si>
    <t>John Bowker, Alejandro De Aza, Chris Carter</t>
  </si>
  <si>
    <t>Angel Pagan, Brady Clark, Cesar Tovar</t>
  </si>
  <si>
    <t>Alex Hassan, Khris Davis, Chad Huffman</t>
  </si>
  <si>
    <t>Jaff Decker, Shane Peterson, Garin Cecchini</t>
  </si>
  <si>
    <t>Todd Cunningham, Travis Jankowski, A.J. Pollock</t>
  </si>
  <si>
    <t>Desmond Jennings, Austin Jackson, Gary Brown</t>
  </si>
  <si>
    <t>LF -1, RF -2</t>
  </si>
  <si>
    <t>Adam Jones, Matt Kemp, Nick Williams</t>
  </si>
  <si>
    <t>Eric Hosmer, Freddie Freeman, Billy Butler</t>
  </si>
  <si>
    <t>Jesus Montero, Chris Parmelee, Mark Canha</t>
  </si>
  <si>
    <t>Kolten Wong, Jose Castillo, Josh Barfield</t>
  </si>
  <si>
    <t>Jose Molina, Paul Bako, Mike Matheny</t>
  </si>
  <si>
    <t>Lane</t>
  </si>
  <si>
    <t>Ryan LaMarre, Matt Carson, Jared Hoying</t>
  </si>
  <si>
    <t>Craig Monroe, Xavier Nady, Eric Karros</t>
  </si>
  <si>
    <t>Dioner Navarro, Kevin Higgins, Steve Nicosia</t>
  </si>
  <si>
    <t>2B -0, SS -0</t>
  </si>
  <si>
    <t>Jason Kipnis, Joey Wendle, Devon Travis</t>
  </si>
  <si>
    <t>Fernando Martinez, Randal Grichuk, Victor Diaz</t>
  </si>
  <si>
    <t>Peter Bourjos, Felix Pie, Dave Sappelt</t>
  </si>
  <si>
    <t>Corey Patterson, Cameron Maybin, Franklin Gutierrez</t>
  </si>
  <si>
    <t>Eric Thames, Preston Tucker, Jason Kubel</t>
  </si>
  <si>
    <t>Dioner Navarro, Josh Bard, Robinson Chirinos</t>
  </si>
  <si>
    <t>Brett Wallace, Mike Carp, Mark Canha</t>
  </si>
  <si>
    <t>Xavier Nady, Richard Hidalgo, Eric Hinske</t>
  </si>
  <si>
    <t>Hank Conger, Lou Marson, JD Closser</t>
  </si>
  <si>
    <t>Matt Downs, Travis Ishikawa, Nate Freiman</t>
  </si>
  <si>
    <t>Victor Diaz, Wladimir Balentien, Matt Joyce</t>
  </si>
  <si>
    <t>Kila Ka'aihue, Travis Shaw, Jeff Larish</t>
  </si>
  <si>
    <t>Caleb Gindl, Zoilo Almonte, Shin-Soo Choo</t>
  </si>
  <si>
    <t>Rob Brantly, John Ryan Murphy, Kevin Plawecki</t>
  </si>
  <si>
    <t>Jack Wilson, Alcides Escobar, Craig Reynolds</t>
  </si>
  <si>
    <t>Dustin Ackley, Kyle Seager, Luis Valbuena</t>
  </si>
  <si>
    <t>Evan Gattis, Eric Karros, Shane Spencer</t>
  </si>
  <si>
    <t>Ryan Howard, Carlos Pena, Mickey Tettleton</t>
  </si>
  <si>
    <t>Eric Byrnes, Coco Crisp, Jacob Brumfield</t>
  </si>
  <si>
    <t>Chase Headley, Andres Blanco, John Valentin</t>
  </si>
  <si>
    <t>2B 5, SS 0</t>
  </si>
  <si>
    <t>Kazuo Matsui, Chris Woodward, Jayson Nix</t>
  </si>
  <si>
    <t>2B -0, LF 0</t>
  </si>
  <si>
    <t>Bryan Petersen, Robbie Grossman, Ryan Rua</t>
  </si>
  <si>
    <t>Skip Schumaker, Ryan Lollis, Michael Tauchman</t>
  </si>
  <si>
    <t>SS -1, LF 1</t>
  </si>
  <si>
    <t>Andy LaRoche, Chris Getz, Brian Roberts</t>
  </si>
  <si>
    <t>Josh Donaldson, Scott Sizemore, Scott Moore</t>
  </si>
  <si>
    <t>Cooper</t>
  </si>
  <si>
    <t>Luis Antonio Jimenez, Clint Robinson, Justin Bour</t>
  </si>
  <si>
    <t>Ian Happ, Daniel Robertson, Eugenio Suarez</t>
  </si>
  <si>
    <t>Rhys Hoskins, Matt Adams, Ryan Lavarnway</t>
  </si>
  <si>
    <t>Eric Patterson, Kevin Russo, Brian Dinkelman</t>
  </si>
  <si>
    <t>Kean</t>
  </si>
  <si>
    <t>Jose Pirela, Odubel Herrera, Austin Barnes</t>
  </si>
  <si>
    <t>Siri</t>
  </si>
  <si>
    <t>CF 5, RF 0</t>
  </si>
  <si>
    <t>Teoscar Hernandez, Franchy Cordero, David Dahl</t>
  </si>
  <si>
    <t>RF 0, CF 0</t>
  </si>
  <si>
    <t>Kyle Parker, Tyler Austin, Yorman Rodriguez</t>
  </si>
  <si>
    <t>Mullins</t>
  </si>
  <si>
    <t>Cedric</t>
  </si>
  <si>
    <t>Bryan Petersen, Eddie Rosario, Austin Jackson</t>
  </si>
  <si>
    <t>Rivas</t>
  </si>
  <si>
    <t>Leonardo</t>
  </si>
  <si>
    <t>SS 4, 2B 0</t>
  </si>
  <si>
    <t>Francisco Lindor, Delino DeShields, Ruben Tejada</t>
  </si>
  <si>
    <t>Jordan Pacheco, Ramon Cabrera, Chris Herrmann</t>
  </si>
  <si>
    <t>Jose Adolis</t>
  </si>
  <si>
    <t>Alex Castellanos, Jeremy Moore, Kyle Parker</t>
  </si>
  <si>
    <t>CF -4, LF 1</t>
  </si>
  <si>
    <t>Mike Kingery, Sam Fuld, Tony Gonzalez</t>
  </si>
  <si>
    <t>Scott Hairston, Cody Ross, Joe Rudi</t>
  </si>
  <si>
    <t>Eric Byrnes, Cody Ross, Ryan Doumit</t>
  </si>
  <si>
    <t>Nolan Reimold, Mike Jacobs, Steve Pearce</t>
  </si>
  <si>
    <t>Corky Miller, Chris Widger, Chad Moeller</t>
  </si>
  <si>
    <t>Ryan Church, Franklin Gutierrez, Gabe Gross</t>
  </si>
  <si>
    <t>Clint Barmes, Eugenio Velez, Anderson Hernandez</t>
  </si>
  <si>
    <t>Eury</t>
  </si>
  <si>
    <t>CF -3, LF 1</t>
  </si>
  <si>
    <t>Jason Bourgeois, Chris Roberson, Ezequiel Carrera</t>
  </si>
  <si>
    <t>John-Ford Griffin, Bryce Brentz, Luke Scott</t>
  </si>
  <si>
    <t>Kevin Frandsen, Will Rhymes, Esteban German</t>
  </si>
  <si>
    <t>Jason Grabowski, Jeff Salazar, Lou Montanez</t>
  </si>
  <si>
    <t>Jonathan Diaz, Will Rhymes, Reid Brignac</t>
  </si>
  <si>
    <t>Angel Pagan, Dewayne Wise, Omar Infante</t>
  </si>
  <si>
    <t>Brent Abernathy, Will Rhymes, Johnny Giavotella</t>
  </si>
  <si>
    <t>Tim Raines, Brett Carroll, Ray Sadler</t>
  </si>
  <si>
    <t>Kyle Jensen, Mike Wilson, Jai Miller</t>
  </si>
  <si>
    <t>SS 1, 3B -0</t>
  </si>
  <si>
    <t>Gavin Cecchini, Ramiro Pena, Christian Colon</t>
  </si>
  <si>
    <t>3B 1, 2B -0</t>
  </si>
  <si>
    <t>Rafael Ynoa, Brian Buscher, Cole Figueroa</t>
  </si>
  <si>
    <t>Giovanny Urshela, Henry Rodriguez, Brent Morel</t>
  </si>
  <si>
    <t>Polo</t>
  </si>
  <si>
    <t>Tito</t>
  </si>
  <si>
    <t>CF -2, LF 1</t>
  </si>
  <si>
    <t>Trayvon Robinson, Peter Bourjos, Austin Jackson</t>
  </si>
  <si>
    <t>Phil Ervin, Dwight Smith, Jose Osuna</t>
  </si>
  <si>
    <t>Burks</t>
  </si>
  <si>
    <t>Charcer</t>
  </si>
  <si>
    <t>Phil Ervin, Dwight Smith, Jordan Luplow</t>
  </si>
  <si>
    <t>Ezequiel Carrera, Charlie Tilson, Matt Szczur</t>
  </si>
  <si>
    <t>Eric Young, Nate Spears, Tim Locastro</t>
  </si>
  <si>
    <t>Freddie Freeman, Wilmer Flores, Rougned Odor</t>
  </si>
  <si>
    <t>Schrock</t>
  </si>
  <si>
    <t>Steve Lombardozzi, Johnny Giavotella, Adrian Cardenas</t>
  </si>
  <si>
    <t>Daniel Dorn, Jerry Sands, Kyle Parker</t>
  </si>
  <si>
    <t>Christian Yelich, Joc Pederson, Clint Frazier</t>
  </si>
  <si>
    <t>Guerrero Jr.</t>
  </si>
  <si>
    <t>Jurickson Profar, Carlos Correa, Mike Trout</t>
  </si>
  <si>
    <t>Max Moroff, Travis Denker, Corban Joseph</t>
  </si>
  <si>
    <t>Pache</t>
  </si>
  <si>
    <t>Cristian</t>
  </si>
  <si>
    <t>Engel Beltre, Elvis Andrus, Raul Mondesi</t>
  </si>
  <si>
    <t>Lewis Brinson, Domingo Santana, Chris Young</t>
  </si>
  <si>
    <t>LF 0, CF -1</t>
  </si>
  <si>
    <t>Phil Ervin, Chad Huffman, Shin-Soo Choo</t>
  </si>
  <si>
    <t>Edgar Renteria, Jason Bartlett, Alexei Ramirez</t>
  </si>
  <si>
    <t>Al Spangler, Tommy Holmes, Willard Marshall</t>
  </si>
  <si>
    <t>Jon Knott, Jerad Head, Michael Restovich</t>
  </si>
  <si>
    <t>Darwin Barney, Willie Bloomquist, DJ LeMahieu</t>
  </si>
  <si>
    <t>David DeJesus, Kosuke Fukudome, Nick Markakis</t>
  </si>
  <si>
    <t>Rusty Staub, Scott Hatteberg, Todd Helton</t>
  </si>
  <si>
    <t>Dave Cash, Felix Millan, Rich Dauer</t>
  </si>
  <si>
    <t>LF 1, SS 1</t>
  </si>
  <si>
    <t>Kevin Frandsen, Angel Sanchez, Brandon Fahey</t>
  </si>
  <si>
    <t>Doug Mientkiewicz, Greg Brock, Gates Brown</t>
  </si>
  <si>
    <t>Aubrey Huff, Justin Morneau, Mike Sweeney</t>
  </si>
  <si>
    <t>Lonnie Chisenhall, Danny Valencia, Josh Harrison</t>
  </si>
  <si>
    <t>Justin Sellers, Josh Wilson, Brian Buscher</t>
  </si>
  <si>
    <t>Carlos Peguero, Ryan Ludwick, Justin Maxwell</t>
  </si>
  <si>
    <t>LF -3, CF 0</t>
  </si>
  <si>
    <t>Julio Borbon, Kevin Kiermaier, Jacoby Ellsbury</t>
  </si>
  <si>
    <t>SS -8</t>
  </si>
  <si>
    <t>Danny Santana, Ian Desmond, Ronny Cedeno</t>
  </si>
  <si>
    <t>2B -0, 3B 2</t>
  </si>
  <si>
    <t>Chris Taylor, Greg Garcia, Yamaico Navarro</t>
  </si>
  <si>
    <t>Luplow</t>
  </si>
  <si>
    <t>Michael Choice, Austin Slater, Justin Huber</t>
  </si>
  <si>
    <t>Willie Bloomquist, Jack Wilson, Mike Bordick</t>
  </si>
  <si>
    <t>Bill Russell, Sam Dente, Larry Bowa</t>
  </si>
  <si>
    <t>2B -0, 3B -1</t>
  </si>
  <si>
    <t>Kazuo Matsui, Jack Wilson, Aaron Hill</t>
  </si>
  <si>
    <t>Mike Greenwell, Shannon Stewart, Frank Catalanotto</t>
  </si>
  <si>
    <t>LF -3, RF -0</t>
  </si>
  <si>
    <t>David DeJesus, Johnny Damon, Mark DeRosa</t>
  </si>
  <si>
    <t>Wilson Valdez, Ryan Freel, Jason Bourgeois</t>
  </si>
  <si>
    <t>Juan Pierre, Manny Mota, Darryl Hamilton</t>
  </si>
  <si>
    <t>Nyjer Morgan, Gregor Blanco, Rajai Davis</t>
  </si>
  <si>
    <t>Chris Gimenez, Robby Hammock, Jason Ellison</t>
  </si>
  <si>
    <t>Ryan Theriot, Jonathan Herrera, Paul Janish</t>
  </si>
  <si>
    <t>Garrett Jones, Brett Pill, Tommy Everidge</t>
  </si>
  <si>
    <t>1B 1, RF -3</t>
  </si>
  <si>
    <t>Mike Jacobs, Wilson Betemit, Adam LaRoche</t>
  </si>
  <si>
    <t>Luis Gonzalez, Danny Heep, Joe Orsulak</t>
  </si>
  <si>
    <t>Jeff Clement, Brandon Allen, Jeff Larish</t>
  </si>
  <si>
    <t>Will Rhymes, Dean Anna, Brent Abernathy</t>
  </si>
  <si>
    <t>2B -1, LF -0</t>
  </si>
  <si>
    <t>Jarrett Hoffpauir, Christian Colon, Luis Rodriguez</t>
  </si>
  <si>
    <t>Cory Spangenberg, Donovan Solano, Tyler Pastornicky</t>
  </si>
  <si>
    <t>Argenis Diaz, Josh Labandeira, Sean Kazmar</t>
  </si>
  <si>
    <t>Teoscar Hernandez, Lewis Brinson, Franklin Gutierrez</t>
  </si>
  <si>
    <t>Justin Sellers, Ramon Torres, James Beresford</t>
  </si>
  <si>
    <t>Wilfredo Tovar, Tyler Pastornicky, Ehire Adrianza</t>
  </si>
  <si>
    <t>Trayce Thompson, Lewis Brinson, Nick Williams</t>
  </si>
  <si>
    <t>Travis Shaw, Chris McGuiness, Tommy Medica</t>
  </si>
  <si>
    <t>2B -0, SS -1</t>
  </si>
  <si>
    <t>Ian Happ, Yoan Moncada, Matt Davidson</t>
  </si>
  <si>
    <t>SS 1, C -0</t>
  </si>
  <si>
    <t>Joe Panik, Wilfredo Tovar, Cristhian Adames</t>
  </si>
  <si>
    <t>Derek Norris, Matt Olson, Ryan McMahon</t>
  </si>
  <si>
    <t>Tony Renda, Jake Elmore, Cole Figueroa</t>
  </si>
  <si>
    <t>Rafael Devers, Josh Vitters, Jose Osuna</t>
  </si>
  <si>
    <t>Filia</t>
  </si>
  <si>
    <t>Erik Komatsu, Jake Smolinski, Jake Goebbert</t>
  </si>
  <si>
    <t>Jonathan Lucroy, Josh Donaldson, John Ryan Murphy</t>
  </si>
  <si>
    <t>Chuckie</t>
  </si>
  <si>
    <t>Luis Exposito, Tim Federowicz, Tony Cruz</t>
  </si>
  <si>
    <t>T.J. Rivera, Diory Hernandez, Trevor Plouffe</t>
  </si>
  <si>
    <t>Gerardo Parra, Ryan Sweeney, Ender Inciarte</t>
  </si>
  <si>
    <t>Carlos Lee, Victor Martinez, Rico Carty</t>
  </si>
  <si>
    <t>Brandon Moss, Eric Thames, Brett Carroll</t>
  </si>
  <si>
    <t>Ryon Healy, Ryan Wheeler, Danny Valencia</t>
  </si>
  <si>
    <t>Donovan Solano, Ronny Cedeno, DJ LeMahieu</t>
  </si>
  <si>
    <t>Willy Taveras, Michael Bourn, Billy Burns</t>
  </si>
  <si>
    <t>John Buck, Nick Hundley, Matt Nokes</t>
  </si>
  <si>
    <t>Carlos Perez, Christian Vazquez, Francisco Cervelli</t>
  </si>
  <si>
    <t>Franklin Gutierrez, Brian Anderson, Luis Matos</t>
  </si>
  <si>
    <t>Wilson Ramos, Rich Gedman, Dave Valle</t>
  </si>
  <si>
    <t>Justin Leone, Steve Pearce, Jason Rogers</t>
  </si>
  <si>
    <t>Bryan LaHair, Jason Rogers, Nate Freiman</t>
  </si>
  <si>
    <t>Todd Linden, Michael Restovich, Joe Borchard</t>
  </si>
  <si>
    <t>Edgar Gonzalez, Glenn Williams, David Adams</t>
  </si>
  <si>
    <t>Didi Gregorius, Russ Adams, Joe Panik</t>
  </si>
  <si>
    <t>Richie Shaffer, Alex Castellanos, Jeff Larish</t>
  </si>
  <si>
    <t>Brendan Ryan, Nick Ahmed, Leury Garcia</t>
  </si>
  <si>
    <t>David Freese, Alex Liddi, Brian Barden</t>
  </si>
  <si>
    <t>Chris Gimenez, Jose Lobaton, Johnny Monell</t>
  </si>
  <si>
    <t>David Dahl, Michael Saunders, Chad Huffman</t>
  </si>
  <si>
    <t>Chris Marrero, Nick Evans, Max Kepler</t>
  </si>
  <si>
    <t>Joe Benson, Starling Marte, Michael Taylor</t>
  </si>
  <si>
    <t>Tyler Pastornicky, Yamaico Navarro, Reid Brignac</t>
  </si>
  <si>
    <t>Jesse Winker, Thomas Neal, Ramon Flores</t>
  </si>
  <si>
    <t>Bill Bruton, Russ Snyder, Willie McGee</t>
  </si>
  <si>
    <t>Alfonso Soriano, Ron Gant, Jeromy Burnitz</t>
  </si>
  <si>
    <t>Mark Ellis, Adam Kennedy, Keith Lockhart</t>
  </si>
  <si>
    <t>Pete Orr, Sean Burroughs, Ramon Vazquez</t>
  </si>
  <si>
    <t>3B -1, 1B 1</t>
  </si>
  <si>
    <t>Joe Crede, Ken Caminiti, Casey McGehee</t>
  </si>
  <si>
    <t>CF -0, RF -2</t>
  </si>
  <si>
    <t>Dewayne Wise, Fernando Tatis, Jeromy Burnitz</t>
  </si>
  <si>
    <t>Adduci</t>
  </si>
  <si>
    <t>Cole Gillespie, Roger Bernadina, Darnell McDonald</t>
  </si>
  <si>
    <t>1B -2, RF -0</t>
  </si>
  <si>
    <t>Mark Reynolds, Cecil Fielder, Craig Wilson</t>
  </si>
  <si>
    <t>2B 0, SS 1</t>
  </si>
  <si>
    <t>Brendan Ryan, Johnny Berardino, Mickey Morandini</t>
  </si>
  <si>
    <t>Snider</t>
  </si>
  <si>
    <t>Collin Cowgill, Ryan Spilborghs, Trevor Crowe</t>
  </si>
  <si>
    <t>Berry</t>
  </si>
  <si>
    <t>Quintin</t>
  </si>
  <si>
    <t>Hernan Iribarren, Chris Prieto, Rich Thompson</t>
  </si>
  <si>
    <t>Ramiro Pena, Elian Herrera, Matt Kata</t>
  </si>
  <si>
    <t>Drew Macias, Kevin Thompson, Matt Angle</t>
  </si>
  <si>
    <t>Moncrief</t>
  </si>
  <si>
    <t>RF 0, LF -0</t>
  </si>
  <si>
    <t>Cole Gillespie, Reid Gorecki, Michael Taylor</t>
  </si>
  <si>
    <t>Josh Wilson, Robert Andino, Matt Tolbert</t>
  </si>
  <si>
    <t>Mike Lamb, Casey McGehee, Mitch Maier</t>
  </si>
  <si>
    <t>LF -0, 1B -0</t>
  </si>
  <si>
    <t>Matt LaPorta, Mark Canha, Ryan Garko</t>
  </si>
  <si>
    <t>Brett Carroll, Bryan Petersen, Joe Mather</t>
  </si>
  <si>
    <t>LF -1, 2B -1</t>
  </si>
  <si>
    <t>Chris Pettit, Bryan Petersen, David Lough</t>
  </si>
  <si>
    <t>Shin-Soo Choo, Gorkys Hernandez, L.J. Hoes</t>
  </si>
  <si>
    <t>Rhyne Hughes, Brock Peterson, Ben Paulsen</t>
  </si>
  <si>
    <t>Beaty</t>
  </si>
  <si>
    <t>Matt Hague, Jordan Brown, O'Koyea Dickson</t>
  </si>
  <si>
    <t>3B -3, LF -0</t>
  </si>
  <si>
    <t>Yulieski Gurriel, Don Kelly, Andres Blanco</t>
  </si>
  <si>
    <t>Franmil</t>
  </si>
  <si>
    <t>Tyler Austin, Carlos Gonzalez, Domonic Brown</t>
  </si>
  <si>
    <t>Bryan Petersen, Shane Peterson, Cameron Perkins</t>
  </si>
  <si>
    <t>Trevor Plouffe, Orlando Calixte, Chris Valaika</t>
  </si>
  <si>
    <t>Sean Kazmar, Danny Sandoval, Argenis Diaz</t>
  </si>
  <si>
    <t>Lorenzo Cain, Cameron Perkins, Destin Hood</t>
  </si>
  <si>
    <t>Gerardo Parra, Manuel Margot, Albert Almora</t>
  </si>
  <si>
    <t>Josh Donaldson, Gary Sanchez, Jonathan Lucroy</t>
  </si>
  <si>
    <t>CF 3, RF 0</t>
  </si>
  <si>
    <t>Daniel Fields, Trayvon Robinson, Franchy Cordero</t>
  </si>
  <si>
    <t>Daniel Fields, Teoscar Hernandez, Michael Saunders</t>
  </si>
  <si>
    <t>Kevin Plawecki, Russell Martin, Hank Conger</t>
  </si>
  <si>
    <t>Matt Clark, Xavier Scruggs, Cody Decker</t>
  </si>
  <si>
    <t>SS 2, 3B 1</t>
  </si>
  <si>
    <t>Yadiel Rivera, Nick Ahmed, Angel Chavez</t>
  </si>
  <si>
    <t>2B 0, SS -1</t>
  </si>
  <si>
    <t>Ramon Torres, Darwin Barney, Brian Dozier</t>
  </si>
  <si>
    <t>Max Muncy, David Cooper, Chris McGuiness</t>
  </si>
  <si>
    <t>Max Muncy, David Cooper, Mike Carp</t>
  </si>
  <si>
    <t>Jesse Winker, Victor Robles, Ramon Flores</t>
  </si>
  <si>
    <t>Royce</t>
  </si>
  <si>
    <t>Carlos Correa, Elvis Andrus, Jurickson Profar</t>
  </si>
  <si>
    <t>Varsho</t>
  </si>
  <si>
    <t>Christian Vazquez, Francisco Mejia, Travis d'Arnaud</t>
  </si>
  <si>
    <t>Chase Headley, Robin Ventura, Morgan Ensberg</t>
  </si>
  <si>
    <t>Kyle Waldrop, Jason Coats, Jared Hoying</t>
  </si>
  <si>
    <t>Justin Ruggiano, Chris Aguila, Laynce Nix</t>
  </si>
  <si>
    <t>Christian Colon, Jarrett Hoffpauir, Jeff Keppinger</t>
  </si>
  <si>
    <t>Jonathan Herrera, Eric Sogard, Ryan Freel</t>
  </si>
  <si>
    <t>Chris Parmelee, Chris Marrero, Mike Carp</t>
  </si>
  <si>
    <t>Scott Sizemore, Colin Walsh, Cord Phelps</t>
  </si>
  <si>
    <t>Alexi Casilla, Emmanuel Burriss, Yolmer Sanchez</t>
  </si>
  <si>
    <t>Cody Ross, Ryan Ludwick, Jordan Danks</t>
  </si>
  <si>
    <t>Jordan Danks, Matt Den Dekker, Brett Eibner</t>
  </si>
  <si>
    <t>Chris Carter, Brandon Allen, Aaron Judge</t>
  </si>
  <si>
    <t>Angel Sanchez, Paul Janish, Jonathan Herrera</t>
  </si>
  <si>
    <t>Kirk Nieuwenhuis, Ryan Church, Casper Wells</t>
  </si>
  <si>
    <t>Brett Jackson, Joe Benson, Bradley Zimmer</t>
  </si>
  <si>
    <t>Robinson Chirinos, Rene Rivera, Robby Hammock</t>
  </si>
  <si>
    <t>Kevin Youkilis, Yonder Alonso, Ryan Garko</t>
  </si>
  <si>
    <t>Colin Moran, Jedd Gyorko, Neil Walker</t>
  </si>
  <si>
    <t>Mat Gamel, Brandon Allen, Tommy Medica</t>
  </si>
  <si>
    <t>Jeremy Brown, Johnny Monell, Hector Gimenez</t>
  </si>
  <si>
    <t>Jerry Hairston, Orlando Cabrera, Luis Aparicio</t>
  </si>
  <si>
    <t>Jeremy Hermida, Will Venable, Craig Monroe</t>
  </si>
  <si>
    <t>Jorge Cantu, Adrian Gonzalez, Scott Thorman</t>
  </si>
  <si>
    <t>Kevin Thompson, Collin Cowgill, Craig Gentry</t>
  </si>
  <si>
    <t>Lorenzo Cain, Abraham Almonte, Roger Bernadina</t>
  </si>
  <si>
    <t>Logan Forsythe, Chris Taylor, Jed Lowrie</t>
  </si>
  <si>
    <t>Moises Sierra, Alfredo Marte, Rene Tosoni</t>
  </si>
  <si>
    <t>Matthew Duffy, James D'Antona, Jesus Guzman</t>
  </si>
  <si>
    <t>Jesus Aguilar, Justin Bour, Justin Huber</t>
  </si>
  <si>
    <t>Geovany Soto, John Buck, David Ross</t>
  </si>
  <si>
    <t>Rob Johnson, Bryan Holaday, Juan Centeno</t>
  </si>
  <si>
    <t>Abraham Almonte, Brett Gardner, Lorenzo Cain</t>
  </si>
  <si>
    <t>Che-Hsuan Lin, Rafael Ortega, Todd Cunningham</t>
  </si>
  <si>
    <t>Nick Franklin, Franklin Barreto, Eugenio Suarez</t>
  </si>
  <si>
    <t>Alen Hanson, Ryan Brett, Joey Wendle</t>
  </si>
  <si>
    <t>David Ross, Ramon Castro, Jason Varitek</t>
  </si>
  <si>
    <t>Bob Boone, Ryan Hanigan, Brad Ausmus</t>
  </si>
  <si>
    <t>Cesar Geronimo, Alejandro De Aza, Will Venable</t>
  </si>
  <si>
    <t>Clint Barmes, Alex Gonzalez, Edgar Renteria</t>
  </si>
  <si>
    <t>Emil Brown, Ryan Freel, Dave May</t>
  </si>
  <si>
    <t>CF -2, LF 2</t>
  </si>
  <si>
    <t>Kerry Robinson, Craig Gentry, Jason Bourgeois</t>
  </si>
  <si>
    <t>CF -0, LF -1</t>
  </si>
  <si>
    <t>Reed Johnson, Dwight Smith, Bobby Brown</t>
  </si>
  <si>
    <t>Jason Ellison, Tike Redman, Tony Gwynn</t>
  </si>
  <si>
    <t>Paul Phillips, Wil Nieves, Chris Heintz</t>
  </si>
  <si>
    <t>1B 0, LF 1</t>
  </si>
  <si>
    <t>Max Ramirez, Sean Halton, Jason Hart</t>
  </si>
  <si>
    <t>3B 0, 2B -1</t>
  </si>
  <si>
    <t>Kazuo Matsui, Art Howe, Clint Barmes</t>
  </si>
  <si>
    <t>Darwin Barney, Jonathan Herrera, Aaron Miles</t>
  </si>
  <si>
    <t>Matt Hague, Eric Campbell, Jason Rogers</t>
  </si>
  <si>
    <t>Hector Luna, Donovan Solano, Reid Brignac</t>
  </si>
  <si>
    <t>Anderson Hernandez, Joe Inglett, Ramiro Pena</t>
  </si>
  <si>
    <t>Tommy Murphy, Gary Brown, Buck Coats</t>
  </si>
  <si>
    <t>Marmolejos</t>
  </si>
  <si>
    <t>LF -0, 1B -1</t>
  </si>
  <si>
    <t>Tyler Collins, Steve Susdorf, Scott Van Slyke</t>
  </si>
  <si>
    <t>Hunter Renfroe, Roger Kieschnick, Zoilo Almonte</t>
  </si>
  <si>
    <t>Mike Baxter, Jake Goebbert, Collin Cowgill</t>
  </si>
  <si>
    <t>Tyler Moore, Cody Decker, Joe Koshansky</t>
  </si>
  <si>
    <t>Norwood</t>
  </si>
  <si>
    <t>Carlos Moncrief, Jordan Patterson, Alex Castellanos</t>
  </si>
  <si>
    <t>1B -2, LF -0</t>
  </si>
  <si>
    <t>Shelley Duncan, Fernando Tatis, Greg Norton</t>
  </si>
  <si>
    <t>Max Moroff, Chris Bostick, David Adams</t>
  </si>
  <si>
    <t>LF 1, CF -3</t>
  </si>
  <si>
    <t>Colin Curtis, Eric Fryer, Jared Hoying</t>
  </si>
  <si>
    <t>Mundell</t>
  </si>
  <si>
    <t>Jordan Brown, Chad Wallach, O'Koyea Dickson</t>
  </si>
  <si>
    <t>Che-Hsuan Lin, Domonic Brown, Aaron Hicks</t>
  </si>
  <si>
    <t>Sandy Leon, Victor Caratini, Tucker Barnhart</t>
  </si>
  <si>
    <t>Ruben Tejada, Francisco Lindor, Orlando Arcia</t>
  </si>
  <si>
    <t>Isaac</t>
  </si>
  <si>
    <t>SS -1, 3B 0</t>
  </si>
  <si>
    <t>Jurickson Profar, Carlos Correa, Wilmer Flores</t>
  </si>
  <si>
    <t>LF -2, 1B -0</t>
  </si>
  <si>
    <t>Jesse Winker, Andrew Lambo, Fernando Martinez</t>
  </si>
  <si>
    <t>Rooker</t>
  </si>
  <si>
    <t>Corey Dickerson, Nick Williams, Jamie Romak</t>
  </si>
  <si>
    <t>Josh Prince, Jack Hannahan, Mike Fontenot</t>
  </si>
  <si>
    <t>Yorvit Torrealba, Josh Thole, Hank Conger</t>
  </si>
  <si>
    <t>Humberto Quintero, Chad Moeller, Vance Wilson</t>
  </si>
  <si>
    <t>Fuentes</t>
  </si>
  <si>
    <t>Reymond</t>
  </si>
  <si>
    <t>Nyjer Morgan, Craig Gentry, Jarrod Dyson</t>
  </si>
  <si>
    <t>Aaron Altherr, Alex Castellanos, Rymer Liriano</t>
  </si>
  <si>
    <t>Rajai Davis, Matt Angle, Daniel Robertson</t>
  </si>
  <si>
    <t>Casey Kotchman, Sean Casey, Ed Kranepool</t>
  </si>
  <si>
    <t>Tyler Greene, Chase d'Arnaud, J.J. Furmaniak</t>
  </si>
  <si>
    <t>Kelly Shoppach, Zach Walters, Victor Diaz</t>
  </si>
  <si>
    <t>Scott Cousins, Blake Tekotte, Matt Den Dekker</t>
  </si>
  <si>
    <t>Goodrum</t>
  </si>
  <si>
    <t>Niko</t>
  </si>
  <si>
    <t>Carlos Moncrief, David Kelton, Mikie Mahtook</t>
  </si>
  <si>
    <t>Mike Olt, Richie Shaffer, Mat Gamel</t>
  </si>
  <si>
    <t>Johnny Monell, Brett Nicholas, Jose Lobaton</t>
  </si>
  <si>
    <t>Jordan Pacheco, Luke Maile, Mitch Garver</t>
  </si>
  <si>
    <t>CF -2, LF -0</t>
  </si>
  <si>
    <t>Mike Kingery, Angel Pagan, Darryl Hamilton</t>
  </si>
  <si>
    <t>Edgar Renteria, Jhonny Peralta, J.J. Hardy</t>
  </si>
  <si>
    <t>Andrew Burns, Ryan Rohlinger, Casey McGehee</t>
  </si>
  <si>
    <t>Caleb Joseph, Javier Valentin, Carlos Corporan</t>
  </si>
  <si>
    <t>Steven Moya, Aaron Judge, Matt Chapman</t>
  </si>
  <si>
    <t>Chris Coghlan, Brad Emaus, Scott Sizemore</t>
  </si>
  <si>
    <t>LF -0, CF -0</t>
  </si>
  <si>
    <t>Joey Gathright, Tony Gwynn, Gregor Blanco</t>
  </si>
  <si>
    <t>Freitas</t>
  </si>
  <si>
    <t>Chris Valaika, Jordany Valdespin, Joey Wendle</t>
  </si>
  <si>
    <t>Nyjer Morgan, Tyler Holt, Collin Cowgill</t>
  </si>
  <si>
    <t>Dee Brown, Brandon Moss, Jorge Piedra</t>
  </si>
  <si>
    <t>Brian Goodwin, Dexter Fowler, Trayvon Robinson</t>
  </si>
  <si>
    <t>Alex Presley, David Lough, Cory Sullivan</t>
  </si>
  <si>
    <t>Mikie Mahtook, Will Venable, Aaron Cunningham</t>
  </si>
  <si>
    <t>Carlos Santana, Hank Conger, Josh Donaldson</t>
  </si>
  <si>
    <t>Carlos Moncrief, Yurendell de Caster, David Kelton</t>
  </si>
  <si>
    <t>Gorkys Hernandez, Choo Freeman, Abraham Almonte</t>
  </si>
  <si>
    <t>Nomar Mazara, Caleb Gindl, Domingo Santana</t>
  </si>
  <si>
    <t>Matt Clark, Mark Hamilton, Matthew Brown</t>
  </si>
  <si>
    <t>Luis Exposito, Martin Maldonado, Johnny Monell</t>
  </si>
  <si>
    <t>Manuel Margot, Ben Revere, Michael Brantley</t>
  </si>
  <si>
    <t>Jack Reinheimer, Ozzie Martinez, Cristhian Adames</t>
  </si>
  <si>
    <t>Tony Renda, Tim Locastro, Joe Panik</t>
  </si>
  <si>
    <t>Alen Hanson, Derek Dietrich, Dilson Herrera</t>
  </si>
  <si>
    <t>Victor Diaz, Cody Ross, Brennan Boesch</t>
  </si>
  <si>
    <t>Matthew Duffy, Adam Duvall, Taylor Green</t>
  </si>
  <si>
    <t>Ryan Flaherty, Danny Richar, Darnell Sweeney</t>
  </si>
  <si>
    <t>Bryan Holaday, Humberto Quintero, Rocky Gale</t>
  </si>
  <si>
    <t>Donovan Solano, Jonathan Herrera, Adeiny Hechavarria</t>
  </si>
  <si>
    <t>Negron</t>
  </si>
  <si>
    <t>Cole Gillespie, Jason Pridie, Hiram Bocachica</t>
  </si>
  <si>
    <t>Adeiny Hechavarria, Freddy Galvis, Marwin Gonzalez</t>
  </si>
  <si>
    <t>Daniel Dorn, Andy Wilkins, Juan Miranda</t>
  </si>
  <si>
    <t>Daniel Murphy, Matt Tuiasosopo, Neil Walker</t>
  </si>
  <si>
    <t>Trevor Crowe, David Murphy, Will Venable</t>
  </si>
  <si>
    <t>Craig Tatum, Rob Johnson, Martin Maldonado</t>
  </si>
  <si>
    <t>Ryan Zimmerman, Xavier Nady, Daryl Boston</t>
  </si>
  <si>
    <t>Christian Vazquez, Lou Marson, Jeff Mathis</t>
  </si>
  <si>
    <t>Joshua Riddle, T.J. Rivera, Diory Hernandez</t>
  </si>
  <si>
    <t>3B -2, 1B -0</t>
  </si>
  <si>
    <t>Luis Rodriguez, Eric Sogard, Johnny Giavotella</t>
  </si>
  <si>
    <t>Ryan Doumit, Welington Castillo, Matt Wieters</t>
  </si>
  <si>
    <t>Hernan Perez, Matt Dominguez, Tyler Saladino</t>
  </si>
  <si>
    <t>Cameron Perkins, Jose Martinez, Socrates Brito</t>
  </si>
  <si>
    <t>Kyle Hudson, Rich Thompson, Ryan Strausborger</t>
  </si>
  <si>
    <t>Darwin Barney, Nick Ahmed, Jonathan Herrera</t>
  </si>
  <si>
    <t>Caleb Joseph, Wyatt Toregas, Kevan Smith</t>
  </si>
  <si>
    <t>Brian Dozier, Chin-lung Hu, Omar Quintanilla</t>
  </si>
  <si>
    <t>Wallach</t>
  </si>
  <si>
    <t>Johnny Monell, Mitch Garver, Michael McKenry</t>
  </si>
  <si>
    <t>Martin Maldonado, Jason Jaramillo, JD Closser</t>
  </si>
  <si>
    <t>Josh Anderson, Felix Pie, Matt Szczur</t>
  </si>
  <si>
    <t>Ken Huckaby, Chad Moeller, Koyie Hill</t>
  </si>
  <si>
    <t>Leonys Martin, Corey Patterson, Cameron Maybin</t>
  </si>
  <si>
    <t>Chris Cannizzaro, Jeff Reed, Gerald Laird</t>
  </si>
  <si>
    <t>Terry Tiffee, Greg Dobbs, Brent Morel</t>
  </si>
  <si>
    <t>Chris Gimenez, Anthony Recker, Mike Rivera</t>
  </si>
  <si>
    <t>Tim Federowicz, Max Ramirez, Josmil Pinto</t>
  </si>
  <si>
    <t>Brendan Ryan, Jack Wilson, Cliff Pennington</t>
  </si>
  <si>
    <t>SS -2, 2B 1</t>
  </si>
  <si>
    <t>Robby Thompson, Brandon Inge, Stephen Drew</t>
  </si>
  <si>
    <t>Adeiny Hechavarria, Eduardo Escobar, Alex Cintron</t>
  </si>
  <si>
    <t>Julio Borbon, Gregor Blanco, Tony Gwynn</t>
  </si>
  <si>
    <t>Delwyn Young, Brandon Boggs, Marcus Thames</t>
  </si>
  <si>
    <t>2B -2, SS -1</t>
  </si>
  <si>
    <t>Bobby Hill, Freddy Sanchez, Ramiro Pena</t>
  </si>
  <si>
    <t>Wisdom</t>
  </si>
  <si>
    <t>Matt Davidson, David Freese, Alex Liddi</t>
  </si>
  <si>
    <t>Geronimo Gil, Rob Johnson, Humberto Quintero</t>
  </si>
  <si>
    <t>Brent Dlugach, Elliot Johnson, Brian Bixler</t>
  </si>
  <si>
    <t>Rajai Davis, Jose Constanza, Matt Szczur</t>
  </si>
  <si>
    <t>Sean Kazmar, Edwin Maysonet, Chin-lung Hu</t>
  </si>
  <si>
    <t>Omar Vizquel, Enos Slaughter, Pete Rose</t>
  </si>
  <si>
    <t>George Brett, Eddie Murray, Hal McRae</t>
  </si>
  <si>
    <t>3B -4, SS 0</t>
  </si>
  <si>
    <t>Juan Uribe, Eric Chavez, Joe Randa</t>
  </si>
  <si>
    <t>Travis Ishikawa, Mike Jacobs, Keith Ginter</t>
  </si>
  <si>
    <t>Efren</t>
  </si>
  <si>
    <t>John Gall, Jim Rushford, Vinny Rottino</t>
  </si>
  <si>
    <t>Jamey Carroll, Bob Randall, Larry Milbourne</t>
  </si>
  <si>
    <t>CF 1, 2B -0</t>
  </si>
  <si>
    <t>Quintin Berry, Tyler Graham, Clay Timpner</t>
  </si>
  <si>
    <t>Cuevas</t>
  </si>
  <si>
    <t>Noel</t>
  </si>
  <si>
    <t>Paulo Orlando, Juan Perez, David Kelton</t>
  </si>
  <si>
    <t>Shawn O'Malley, Kris Negron, Alejandro Machado</t>
  </si>
  <si>
    <t>Matthew Duffy, Jamie Romak, Hunter Dozier</t>
  </si>
  <si>
    <t>Ryan McMahon, Corey Seager, Lonnie Chisenhall</t>
  </si>
  <si>
    <t>RF -0, LF -2</t>
  </si>
  <si>
    <t>Domonic Brown, Kyle Parker, Wladimir Balentien</t>
  </si>
  <si>
    <t>Hank Conger, Gary Sanchez, Austin Romine</t>
  </si>
  <si>
    <t>Tauchman</t>
  </si>
  <si>
    <t>Craig Gentry, Ryan Lollis, Matt Angle</t>
  </si>
  <si>
    <t>Luis Rodriguez, Jeff Keppinger, Christian Colon</t>
  </si>
  <si>
    <t>Matt Angle, Denard Span, Darin Mastroianni</t>
  </si>
  <si>
    <t>Josh Reddick, Austin Jackson, Eddie Rosario</t>
  </si>
  <si>
    <t>Johnny Giavotella, Nate Spears, Andy Gonzalez</t>
  </si>
  <si>
    <t>Melky Cabrera, Jose Tabata, L.J. Hoes</t>
  </si>
  <si>
    <t>Randal Grichuk, Carlos Gonzalez, Josh Reddick</t>
  </si>
  <si>
    <t>Max Kepler, Chris Parmelee, Dan Vogelbach</t>
  </si>
  <si>
    <t>Danny Santana, Trevor Plouffe, Chris Nelson</t>
  </si>
  <si>
    <t>Andrew Stevenson, Charlie Blackmon, Matt Szczur</t>
  </si>
  <si>
    <t>Palacios</t>
  </si>
  <si>
    <t>Christian Arroyo, Orlando Calixte, Richard Urena</t>
  </si>
  <si>
    <t>Christian Arroyo, Orlando Arcia, Orlando Calixte</t>
  </si>
  <si>
    <t>Gettys</t>
  </si>
  <si>
    <t>Teoscar Hernandez, Franchy Cordero, Yorman Rodriguez</t>
  </si>
  <si>
    <t>Florial</t>
  </si>
  <si>
    <t>Estevan</t>
  </si>
  <si>
    <t>Lewis Brinson, Domingo Santana, Byron Buxton</t>
  </si>
  <si>
    <t>Corey Dickerson, Daniel Dorn, Kyle Jensen</t>
  </si>
  <si>
    <t>Angel Chavez, Yadiel Rivera, Joshua Riddle</t>
  </si>
  <si>
    <t>Nicky</t>
  </si>
  <si>
    <t>Wilfredo Tovar, Ronald Torreyes, Gavin Cecchini</t>
  </si>
  <si>
    <t>Ryan Strausborger, Angel Pagan, Brandon Guyer</t>
  </si>
  <si>
    <t>Carlos Gonzalez, Randal Grichuk, Josh Reddick</t>
  </si>
  <si>
    <t>Nick Evans, Chris Marrero, Lars Anderson</t>
  </si>
  <si>
    <t>C -5, 3B -0</t>
  </si>
  <si>
    <t>David Freitas, Lou Marson, Carlos Santana</t>
  </si>
  <si>
    <t>Haseley</t>
  </si>
  <si>
    <t>Darrell Ceciliani, Roger Bernadina, Daniel Fields</t>
  </si>
  <si>
    <t>Robert Andino, Nick Noonan, Ray Olmedo</t>
  </si>
  <si>
    <t>Chris Duffy, Choo Freeman, Tony Gwynn</t>
  </si>
  <si>
    <t>Bobby Wilson, Mike Nickeas, Steve Clevenger</t>
  </si>
  <si>
    <t>Collin Cowgill, Brian Bogusevic, Travis Buck</t>
  </si>
  <si>
    <t>C -1, 1B 0</t>
  </si>
  <si>
    <t>Rene Rivera, Eliezer Alfonzo, Brad Davis</t>
  </si>
  <si>
    <t>Jarrod Dyson, Tony Gwynn, Joey Gathright</t>
  </si>
  <si>
    <t>Jared Hoying, Joey Butler, Brandon Barnes</t>
  </si>
  <si>
    <t>Ryan Kalish, Will Venable, Mikie Mahtook</t>
  </si>
  <si>
    <t>Tommy Manzella, Brian Bocock, Gregorio Petit</t>
  </si>
  <si>
    <t>Omir Santos, Craig Tatum, Bryan Holaday</t>
  </si>
  <si>
    <t>Daniel Descalso, Brad Emaus, Eric Sogard</t>
  </si>
  <si>
    <t>Travis Metcalf, Taylor Featherston, Jeff Bianchi</t>
  </si>
  <si>
    <t>Corey Dickerson, Scott Schebler, Daniel Dorn</t>
  </si>
  <si>
    <t>Elian Herrera, Brent Lillibridge, Edgar Gonzalez</t>
  </si>
  <si>
    <t>Bryan Holaday, Rob Johnson, Ramon Cabrera</t>
  </si>
  <si>
    <t>Gale</t>
  </si>
  <si>
    <t>Rocky</t>
  </si>
  <si>
    <t>Wil Nieves, Tuffy Gosewisch, Paul Phillips</t>
  </si>
  <si>
    <t>Marjama</t>
  </si>
  <si>
    <t>Stephen Vogt, Caleb Joseph, Brett Nicholas</t>
  </si>
  <si>
    <t>Jamey Carroll, Clint Barmes, Ramon Santiago</t>
  </si>
  <si>
    <t>Terry Steinbach, Bill Haselman, Vance Wilson</t>
  </si>
  <si>
    <t>Andy Wilkins, David Cooper, Brandon Snyder</t>
  </si>
  <si>
    <t>J.T. Realmuto, Jeff Mathis, Francisco Cervelli</t>
  </si>
  <si>
    <t>1B -8</t>
  </si>
  <si>
    <t>Ty Wigginton, Kendrys Morales, Xavier Nady</t>
  </si>
  <si>
    <t>Hermosillo</t>
  </si>
  <si>
    <t>L.J. Hoes, Dexter Fowler, Brandon Nimmo</t>
  </si>
  <si>
    <t>Caleb Joseph, Luis Martinez, Wyatt Toregas</t>
  </si>
  <si>
    <t>Lin</t>
  </si>
  <si>
    <t>Tzu-Wei</t>
  </si>
  <si>
    <t>Dixon Machado, Sean Kazmar, Brian Dozier</t>
  </si>
  <si>
    <t>Matt Olson, Chris Carter, Anthony Rizzo</t>
  </si>
  <si>
    <t>John Mayberry, Brent Clevlen, Carlos Moncrief</t>
  </si>
  <si>
    <t>Bormann</t>
  </si>
  <si>
    <t>Rob Johnson, Bruce Maxwell, Wilkin Castillo</t>
  </si>
  <si>
    <t>Chris Nelson, Danny Santana, Orlando Calixte</t>
  </si>
  <si>
    <t>Brignac</t>
  </si>
  <si>
    <t>Reid</t>
  </si>
  <si>
    <t>Gil Velazquez, Pete Orr, Jorge Velandia</t>
  </si>
  <si>
    <t>Del Crandall, Carlos Ruiz, Jason Kendall</t>
  </si>
  <si>
    <t>Lombardozzi</t>
  </si>
  <si>
    <t>2B 0, 3B -0</t>
  </si>
  <si>
    <t>Brent Abernathy, Anderson Hernandez, Rafael Ynoa</t>
  </si>
  <si>
    <t>C -7, 1B 0</t>
  </si>
  <si>
    <t>Johnny Monell, Koyie Hill, Manny Pina</t>
  </si>
  <si>
    <t>Brad Glenn, John Mayberry, Mike Wilson</t>
  </si>
  <si>
    <t>SS -2, 3B -1</t>
  </si>
  <si>
    <t>Lance Zawadzki, Matt Reynolds, Ryan Goins</t>
  </si>
  <si>
    <t>1B 1, LF -1</t>
  </si>
  <si>
    <t>Alex Liddi, Joe Koshansky, Zach Walters</t>
  </si>
  <si>
    <t>C -7, 3B -0</t>
  </si>
  <si>
    <t>Johnny Monell, Manny Pina, Koyie Hill</t>
  </si>
  <si>
    <t>Jayce</t>
  </si>
  <si>
    <t>Brian Dinkelman, Josh Rabe, Cedric Hunter</t>
  </si>
  <si>
    <t>Brett Carroll, Scott Cousins, Joe Borchard</t>
  </si>
  <si>
    <t>Ramon Cabrera, Steve Clevenger, Josh Thole</t>
  </si>
  <si>
    <t>LF -3, CF -1</t>
  </si>
  <si>
    <t>Anthony Santander, Clint Frazier, Thomas Neal</t>
  </si>
  <si>
    <t>Schwindel</t>
  </si>
  <si>
    <t>Matt McBride, Wes Bankston, Joel Guzman</t>
  </si>
  <si>
    <t>Ryan McMahon, Renato Nunez, Matt Davidson</t>
  </si>
  <si>
    <t>Matt Dominguez, Ryan McMahon, Kaleb Cowart</t>
  </si>
  <si>
    <t>Mason Williams, Gerardo Parra, Darrell Ceciliani</t>
  </si>
  <si>
    <t>Rabago</t>
  </si>
  <si>
    <t>Bruce Maxwell, Rob Johnson, Steven Lerud</t>
  </si>
  <si>
    <t>RF 5, CF -0</t>
  </si>
  <si>
    <t>Chris Parmelee, Josh Vitters, Nick Noonan</t>
  </si>
  <si>
    <t>Ronaldo</t>
  </si>
  <si>
    <t>Francisco Pena, Tommy Joseph, Jose Osuna</t>
  </si>
  <si>
    <t>Ramon Flores, Jesse Winker, Andrew Lambo</t>
  </si>
  <si>
    <t>Donny</t>
  </si>
  <si>
    <t>Blake Swihart, Austin Hedges, Carlos Perez</t>
  </si>
  <si>
    <t>Daniel Fields, Michael Saunders, Clint Frazier</t>
  </si>
  <si>
    <t>Jorge Bonifacio, Jose Tabata, Rymer Liriano</t>
  </si>
  <si>
    <t>3B -1, C 0</t>
  </si>
  <si>
    <t>Mat Gamel, Christian Villanueva, Brandon Laird</t>
  </si>
  <si>
    <t>Eric Fryer, Cole Gillespie, Jaycob Brugman</t>
  </si>
  <si>
    <t>Knizner</t>
  </si>
  <si>
    <t>Josh Donaldson, John Ryan Murphy, Hank Conger</t>
  </si>
  <si>
    <t>Malique</t>
  </si>
  <si>
    <t>CF 4</t>
  </si>
  <si>
    <t>Joe Benson, Xavier Avery, Abraham Almonte</t>
  </si>
  <si>
    <t>CF -1, RF -1</t>
  </si>
  <si>
    <t>Austin Jackson, Tyler Naquin, Bryan Petersen</t>
  </si>
  <si>
    <t>Alex Mejia, Blake Davis, Ryan Jackson</t>
  </si>
  <si>
    <t>Hwang</t>
  </si>
  <si>
    <t>Jae-gyun</t>
  </si>
  <si>
    <t>Matt Macri, Jeff Baisley, Josh Rodriguez</t>
  </si>
  <si>
    <t>Burger</t>
  </si>
  <si>
    <t>Miguel Andujar, Jefry Marte, Ryan Wheeler</t>
  </si>
  <si>
    <t>Craport</t>
  </si>
  <si>
    <t>3B 3, 1B -0</t>
  </si>
  <si>
    <t>Kaleb Cowart, Cheslor Cuthbert, Jefry Marte</t>
  </si>
  <si>
    <t>Merrell</t>
  </si>
  <si>
    <t>Orlando Calixte, Ian Desmond, Pete Kozma</t>
  </si>
  <si>
    <t>Skoug</t>
  </si>
  <si>
    <t>Kyle Skipworth, Jorge Alfaro, Christian Vazquez</t>
  </si>
  <si>
    <t>Dunand</t>
  </si>
  <si>
    <t>Zach Walters, Yamaico Navarro, Marcus Semien</t>
  </si>
  <si>
    <t>Luis Alicea, Bernie Allen, Jerry Hairston</t>
  </si>
  <si>
    <t>Tommy Manzella, Pedro Florimon, Josh Barfield</t>
  </si>
  <si>
    <t>Brayan Pena, Brian Schneider, Tim McCarver</t>
  </si>
  <si>
    <t>Josh Thole, Tucker Barnhart, Christian Vazquez</t>
  </si>
  <si>
    <t>Eaves</t>
  </si>
  <si>
    <t>Kody</t>
  </si>
  <si>
    <t>Richie Shaffer, Christian Villanueva, Mike Costanzo</t>
  </si>
  <si>
    <t>Josh Reddick, Fernando Martinez, Tyler Colvin</t>
  </si>
  <si>
    <t>Jonathan Herrera, Ivan De Jesus, Andy Gonzalez</t>
  </si>
  <si>
    <t>Jason Tyner, Shane Robinson, David Lough</t>
  </si>
  <si>
    <t>Max Stassi, Steven Hill, Anthony Recker</t>
  </si>
  <si>
    <t>Hank Conger, Ronny Paulino, J.P. Arencibia</t>
  </si>
  <si>
    <t>Brett Nicholas, Konrad Schmidt, Caleb Joseph</t>
  </si>
  <si>
    <t>Shawn Wooten, Chris Gimenez, Chris Coste</t>
  </si>
  <si>
    <t>Stephen Vogt, Matt McBride, Dustin Garneau</t>
  </si>
  <si>
    <t>Jonathan Lucroy, John Jaso, Jeff Clement</t>
  </si>
  <si>
    <t>Donnie Murphy, Juan Diaz, Charlie Culberson</t>
  </si>
  <si>
    <t>Aaron Miles, Miguel Cairo, Denny Hocking</t>
  </si>
  <si>
    <t>CF -2, 1B 1</t>
  </si>
  <si>
    <t>Dewayne Wise, Koyie Hill, Emilio Bonifacio</t>
  </si>
  <si>
    <t>Carney Lansford, Placido Polanco, Bill Spiers</t>
  </si>
  <si>
    <t>Pedro Feliz, Alex Gonzalez, Greg Dobbs</t>
  </si>
  <si>
    <t>Tim Foli, Cesar Gutierrez, Sam Dente</t>
  </si>
  <si>
    <t>Jason Tyner, Will Rhymes, Shane Robinson</t>
  </si>
  <si>
    <t>Chris Nelson, Greg Dobbs, Reid Brignac</t>
  </si>
  <si>
    <t>Hector Luna, Terry Tiffee, Tomas De La Rosa</t>
  </si>
  <si>
    <t>Brantly</t>
  </si>
  <si>
    <t>Shawn Riggans, Austin Romine, Bryan Holaday</t>
  </si>
  <si>
    <t>Humberto Quintero, Bobby Wilson, Guillermo Rodriguez</t>
  </si>
  <si>
    <t>Matthew Duffy, Brian Barden, Adam Rosales</t>
  </si>
  <si>
    <t>Daza</t>
  </si>
  <si>
    <t>Yonathan</t>
  </si>
  <si>
    <t>Mitch Maier, Derrick Robinson, Nick Buss</t>
  </si>
  <si>
    <t>Luke Montz, Johnny Monell, Cameron Rupp</t>
  </si>
  <si>
    <t>Kyle Kubitza, Adam Duvall, Brian Anderson</t>
  </si>
  <si>
    <t>Kaleb Cowart, Brent Morel, Jefry Marte</t>
  </si>
  <si>
    <t>Cristhian Adames, Wilfredo Tovar, Joe Panik</t>
  </si>
  <si>
    <t>Aaron Hicks, Daniel Fields, Andrew McCutchen</t>
  </si>
  <si>
    <t>Tommy Pham, Trayce Thompson, Michael Saunders</t>
  </si>
  <si>
    <t>Hilliard</t>
  </si>
  <si>
    <t>Jai Miller, Scott Cousins, Alex Castellanos</t>
  </si>
  <si>
    <t>Clint Frazier, Daniel Fields, Trayce Thompson</t>
  </si>
  <si>
    <t>Sepulveda</t>
  </si>
  <si>
    <t>L.J. Hoes, Steve Lombardozzi, Alexi Amarista</t>
  </si>
  <si>
    <t>Nomar Mazara, Carlos Correa, Freddie Freeman</t>
  </si>
  <si>
    <t>Tim Beckham, Amed Rosario, Delino DeShields</t>
  </si>
  <si>
    <t>Steven Souza, Kyle Kubitza, Mat Gamel</t>
  </si>
  <si>
    <t>Mahan</t>
  </si>
  <si>
    <t>Brad Harman, Ryan Adams, Chris Bostick</t>
  </si>
  <si>
    <t>Yanio</t>
  </si>
  <si>
    <t>1B -0, 3B -0</t>
  </si>
  <si>
    <t>Nick Evans, Chris Marrero, Dominic Smith</t>
  </si>
  <si>
    <t>Wenson</t>
  </si>
  <si>
    <t>Kyle Skipworth, Lucas Duda, Luis Exposito</t>
  </si>
  <si>
    <t>Donovan Solano, Ray Olmedo, Tyler Pastornicky</t>
  </si>
  <si>
    <t>Wilmer Flores, Matt Dominguez, Mike Moustakas</t>
  </si>
  <si>
    <t>Rob Brantly, Curtis Thigpen, John Ryan Murphy</t>
  </si>
  <si>
    <t>Tony Cruz, Tim Federowicz, Luis Exposito</t>
  </si>
  <si>
    <t>Bruce Maxwell, Luke Maile, Sandy Leon</t>
  </si>
  <si>
    <t>Zach Walters, Orlando Calixte, Chris Valaika</t>
  </si>
  <si>
    <t>Ryder</t>
  </si>
  <si>
    <t>Ryan Wheeler, Cody Asche, Brent Morel</t>
  </si>
  <si>
    <t>Mark Kotsay, Mickey Hatcher, Robert Fick</t>
  </si>
  <si>
    <t>Darin Erstad, Jim Busby, Frank Baumholtz</t>
  </si>
  <si>
    <t>Kerry Robinson, Craig Gentry, Pablo Ozuna</t>
  </si>
  <si>
    <t>1B -3, 3B -0</t>
  </si>
  <si>
    <t>Jim Hickman, Chili Davis, Candy Maldonado</t>
  </si>
  <si>
    <t>Jeff King, Ron Jackson, Jeff Treadway</t>
  </si>
  <si>
    <t>2B -2, CF -0</t>
  </si>
  <si>
    <t>Jason Bourgeois, Pete Orr, Matt Kata</t>
  </si>
  <si>
    <t>3B -3, 1B 0</t>
  </si>
  <si>
    <t>Jeff King, Lou Klimchock, Joe Crede</t>
  </si>
  <si>
    <t>Pete Kozma, Orlando Calixte, Nick Noonan</t>
  </si>
  <si>
    <t>Jhoan</t>
  </si>
  <si>
    <t>Ryan Wheeler, Andrew Burns, Brian Anderson</t>
  </si>
  <si>
    <t>Chris Parmelee, Matt Olson, Jon Singleton</t>
  </si>
  <si>
    <t>Adrian Cardenas, Jorge Polanco, Delino DeShields</t>
  </si>
  <si>
    <t>Ruben Tejada, Amed Rosario, Orlando Arcia</t>
  </si>
  <si>
    <t>Trevor Story, Matt Davidson, Raul Mondesi</t>
  </si>
  <si>
    <t>Jorge Bonifacio, Scott Van Slyke, Andrew Lambo</t>
  </si>
  <si>
    <t>Pete Kozma, Carlos Rivero, Nick Ahmed</t>
  </si>
  <si>
    <t>Capel</t>
  </si>
  <si>
    <t>Jorge Bonifacio, Nomar Mazara, Caleb Gindl</t>
  </si>
  <si>
    <t>Cody Asche, Neil Walker, Ryan Wheeler</t>
  </si>
  <si>
    <t>Joe Benson, Chris Parmelee, Caleb Gindl</t>
  </si>
  <si>
    <t>Jefry Marte, Rafael Devers, Cheslor Cuthbert</t>
  </si>
  <si>
    <t>Feliciano</t>
  </si>
  <si>
    <t>Mario</t>
  </si>
  <si>
    <t>Francisco Pena, Rougned Odor, Carlos Triunfel</t>
  </si>
  <si>
    <t>Michael Taylor, Daniel Fields, Aaron Altherr</t>
  </si>
  <si>
    <t>Deichmann</t>
  </si>
  <si>
    <t>Warmoth</t>
  </si>
  <si>
    <t>Chris Valaika, Argenis Diaz, Orlando Calixte</t>
  </si>
  <si>
    <t>Omar Quintanilla, Marwin Gonzalez, Freddy Galvis</t>
  </si>
  <si>
    <t>Ramon Cabrera, Jose Morales, Rob Johnson</t>
  </si>
  <si>
    <t>Josh Thole, Dioner Navarro, Ruben Tejada</t>
  </si>
  <si>
    <t>Dave Kingman, Kirk Gibson, Deron Johnson</t>
  </si>
  <si>
    <t>Logan Schafer, Anderson Hernandez, Andrew Romine</t>
  </si>
  <si>
    <t>Travis Ishikawa, Mike Jacobs, Jeff Liefer</t>
  </si>
  <si>
    <t>Choice</t>
  </si>
  <si>
    <t>Joe Mather, Michael Ryan, Brian Bogusevic</t>
  </si>
  <si>
    <t>Waldrop</t>
  </si>
  <si>
    <t>RF -1, 1B -0</t>
  </si>
  <si>
    <t>Paulo Orlando, David Kelton, Buck Coats</t>
  </si>
  <si>
    <t>Freddie Bynum, Ryan Strausborger, Craig Gentry</t>
  </si>
  <si>
    <t>Xavier Scruggs, Joe Koshansky, Matt Clark</t>
  </si>
  <si>
    <t>Terrance Gore, Michael Bourn, Luis Durango</t>
  </si>
  <si>
    <t>Salvador Perez, Carson Kelly, Pablo Sandoval</t>
  </si>
  <si>
    <t>Galindo</t>
  </si>
  <si>
    <t>Wladimir</t>
  </si>
  <si>
    <t>Alex Liddi, Nick Castellanos, Josh Bell</t>
  </si>
  <si>
    <t>3B -1, 2B -0</t>
  </si>
  <si>
    <t>Jefry Marte, Kaleb Cowart, Ty Kelly</t>
  </si>
  <si>
    <t>Cedrola</t>
  </si>
  <si>
    <t>Gorkys Hernandez, Cedric Hunter, Engel Beltre</t>
  </si>
  <si>
    <t>Grisham</t>
  </si>
  <si>
    <t>Michael Reed, Aaron Hicks, Brandon Nimmo</t>
  </si>
  <si>
    <t>Victor Robles, Jose Tabata, Joe Benson</t>
  </si>
  <si>
    <t>Jace Peterson, Justin Sellers, Ramiro Pena</t>
  </si>
  <si>
    <t>Ademan</t>
  </si>
  <si>
    <t>Wilmer Flores, Raul Mondesi, Rougned Odor</t>
  </si>
  <si>
    <t>SS -4, 3B -1</t>
  </si>
  <si>
    <t>Wilmer Difo, Carlos Triunfel, Adeiny Hechavarria</t>
  </si>
  <si>
    <t>Nick Noonan, Adrian Cardenas, Dilson Herrera</t>
  </si>
  <si>
    <t>C -0, 1B 0</t>
  </si>
  <si>
    <t>Christian Vazquez, Wilson Ramos, Travis d'Arnaud</t>
  </si>
  <si>
    <t>Walls</t>
  </si>
  <si>
    <t>Gavin Cecchini, Tyler Wade, Tim Beckham</t>
  </si>
  <si>
    <t>Rob Johnson, Carlos Corporan, Geronimo Gil</t>
  </si>
  <si>
    <t>A.J. Pierzynski, Rod Barajas, Javier Valentin</t>
  </si>
  <si>
    <t>Walters</t>
  </si>
  <si>
    <t>1B -3, 3B -3</t>
  </si>
  <si>
    <t>Craig Brazell, Matt Macri, Garrett Jones</t>
  </si>
  <si>
    <t>C 0, LF 0</t>
  </si>
  <si>
    <t>Sandy Leon, Tyler Moore, Tony Cruz</t>
  </si>
  <si>
    <t>Jorge Alfaro, Gary Sanchez, Chris Parmelee</t>
  </si>
  <si>
    <t>Xavier Avery, Trayvon Robinson, Darrell Ceciliani</t>
  </si>
  <si>
    <t>Alex Liddi, Kaleb Cowart, Nick Castellanos</t>
  </si>
  <si>
    <t>Teoscar Hernandez, Jordan Schafer, Dustin Fowler</t>
  </si>
  <si>
    <t>Call</t>
  </si>
  <si>
    <t>RF 0, CF -2</t>
  </si>
  <si>
    <t>Destin Hood, Lorenzo Cain, Adron Chambers</t>
  </si>
  <si>
    <t>Darnell Sweeney, Patrick Valaika, Ian Desmond</t>
  </si>
  <si>
    <t>Raul Mondesi, Tim Beckham, Amed Rosario</t>
  </si>
  <si>
    <t>Jeimer Candelario, Cheslor Cuthbert, Matt Dominguez</t>
  </si>
  <si>
    <t>J.D. Davis, Brandon Wood, Will Middlebrooks</t>
  </si>
  <si>
    <t>Campusano</t>
  </si>
  <si>
    <t>Francisco Pena, Nomar Mazara, Raul Mondesi</t>
  </si>
  <si>
    <t>Jeren</t>
  </si>
  <si>
    <t>CF 2, RF -0</t>
  </si>
  <si>
    <t>Trayvon Robinson, Michael Taylor, Xavier Avery</t>
  </si>
  <si>
    <t>Jeff Baker, Victor Diaz, Alex Liddi</t>
  </si>
  <si>
    <t>Chad Moeller, Humberto Quintero, Gary Bennett</t>
  </si>
  <si>
    <t>Eury Perez, Gorkys Hernandez, Charlie Tilson</t>
  </si>
  <si>
    <t>John Mabry, Phil Nevin, Jim Spencer</t>
  </si>
  <si>
    <t>Munenori Kawasaki, Chris Woodward, Miguel Cairo</t>
  </si>
  <si>
    <t>Konrad Schmidt, Vinny Rottino, Brett Nicholas</t>
  </si>
  <si>
    <t>Elier</t>
  </si>
  <si>
    <t>Alfredo Marte, Destin Hood, Socrates Brito</t>
  </si>
  <si>
    <t>Ryder Jones, Henry Rodriguez, Kaleb Cowart</t>
  </si>
  <si>
    <t>Ryder Jones, Cody Asche, Henry Rodriguez</t>
  </si>
  <si>
    <t>Richard Urena, Christian Arroyo, Chris Owings</t>
  </si>
  <si>
    <t>Nevin</t>
  </si>
  <si>
    <t>1B 0, 3B -1</t>
  </si>
  <si>
    <t>Dominic Smith, Jose Osuna, Matt Davidson</t>
  </si>
  <si>
    <t>Engel Beltre, Rougned Odor, Elvis Andrus</t>
  </si>
  <si>
    <t>CF -3, RF -1</t>
  </si>
  <si>
    <t>Lewis Brinson, Domingo Santana, Nomar Mazara</t>
  </si>
  <si>
    <t>Munguia</t>
  </si>
  <si>
    <t>Ismael</t>
  </si>
  <si>
    <t>Rougned Odor, Engel Beltre, Carlos Triunfel</t>
  </si>
  <si>
    <t>Matt Davidson, Jeimer Candelario, Matt Dominguez</t>
  </si>
  <si>
    <t>Hiura</t>
  </si>
  <si>
    <t>Keston</t>
  </si>
  <si>
    <t>Jose Osuna, Dominic Smith, Matt Davidson</t>
  </si>
  <si>
    <t>Sheets</t>
  </si>
  <si>
    <t>James Loney, Dominic Smith, Nick Evans</t>
  </si>
  <si>
    <t>Vilade</t>
  </si>
  <si>
    <t>Aviles</t>
  </si>
  <si>
    <t>3B -1, SS -0</t>
  </si>
  <si>
    <t>Luis Sojo, Jeff Cirillo, Greg Pryor</t>
  </si>
  <si>
    <t>Mark Reynolds, Bill Hall, Cecil Fielder</t>
  </si>
  <si>
    <t>Chris Snyder, Geovany Soto, Chris Iannetta</t>
  </si>
  <si>
    <t>Lorenzo Cain, Destin Hood, Socrates Brito</t>
  </si>
  <si>
    <t>Xavier Scruggs, Paul Goldschmidt, Greg Halman</t>
  </si>
  <si>
    <t>Ynfante</t>
  </si>
  <si>
    <t>Wadye</t>
  </si>
  <si>
    <t>Everth Cabrera, Max Moroff, Logan Watkins</t>
  </si>
  <si>
    <t>SS -2, 3B -0</t>
  </si>
  <si>
    <t>Carlos Triunfel, Elvis Andrus, Wilmer Flores</t>
  </si>
  <si>
    <t>Dominic Smith, Jose Osuna, Logan Morrison</t>
  </si>
  <si>
    <t>C -16</t>
  </si>
  <si>
    <t>Derek Norris, Matt Olson, Travis Shaw</t>
  </si>
  <si>
    <t>RF 1, LF -5</t>
  </si>
  <si>
    <t>Scott Schebler, Yorman Rodriguez, Andrew Lambo</t>
  </si>
  <si>
    <t>Raul Mondesi, Elvis Andrus, Rougned Odor</t>
  </si>
  <si>
    <t>Downs</t>
  </si>
  <si>
    <t>Jeter</t>
  </si>
  <si>
    <t>Freudis</t>
  </si>
  <si>
    <t>Oliva</t>
  </si>
  <si>
    <t>Aaron Altherr, Michael Taylor, Darrell Ceciliani</t>
  </si>
  <si>
    <t>Joe Benson, Cedric Hunter, Chris Parmelee</t>
  </si>
  <si>
    <t>Pavin</t>
  </si>
  <si>
    <t>James Loney, Russ Canzler, Jose Osuna</t>
  </si>
  <si>
    <t>Phil Garner, Joe Crede, Brandon Inge</t>
  </si>
  <si>
    <t>Jeff Francoeur, Corey Patterson, Gerald Williams</t>
  </si>
  <si>
    <t>Marlette</t>
  </si>
  <si>
    <t>Johnny Monell, Luis Exposito, Adam Moore</t>
  </si>
  <si>
    <t>Jeimer Candelario, Maikel Franco, Cheslor Cuthbert</t>
  </si>
  <si>
    <t>Neftali Soto, Jefry Marte, Brandon Drury</t>
  </si>
  <si>
    <t>Plummer</t>
  </si>
  <si>
    <t>Brandon Nimmo, Aaron Hicks, Daniel Fields</t>
  </si>
  <si>
    <t>Raul Mondesi, Tim Beckham, Trevor Story</t>
  </si>
  <si>
    <t>Jhailyn</t>
  </si>
  <si>
    <t>Nomar Mazara, Domingo Santana, Freddie Freeman</t>
  </si>
  <si>
    <t>Oneil</t>
  </si>
  <si>
    <t>Domingo Santana, Raul Mondesi, Elvis Andrus</t>
  </si>
  <si>
    <t>Welker</t>
  </si>
  <si>
    <t>3B -6</t>
  </si>
  <si>
    <t>Cheslor Cuthbert, Rafael Devers, Matt Dominguez</t>
  </si>
  <si>
    <t>KJ</t>
  </si>
  <si>
    <t>Matt Davidson, Chris Parmelee, Jose Osuna</t>
  </si>
  <si>
    <t>LF -1, CF 0</t>
  </si>
  <si>
    <t>Scott Schebler, Benjamin Gamel, Kyle Waldrop</t>
  </si>
  <si>
    <t>Lutz</t>
  </si>
  <si>
    <t>Tristen</t>
  </si>
  <si>
    <t>Nomar Mazara, Engel Beltre, Domingo Santana</t>
  </si>
  <si>
    <t>Calvin</t>
  </si>
  <si>
    <t>C -13, 1B -0</t>
  </si>
  <si>
    <t>Cameron Rupp, Martin Maldonado, Michael McKenry</t>
  </si>
  <si>
    <t>Maloney</t>
  </si>
  <si>
    <t>Joe Mahoney, Dusty Coleman, Alex Liddi</t>
  </si>
  <si>
    <t>Brandon Allen, Brandon Snyder, Neftali Soto</t>
  </si>
  <si>
    <t>Baddoo</t>
  </si>
  <si>
    <t>Akil</t>
  </si>
  <si>
    <t>Nomar Mazara, Engel Beltre, Elvis Andrus</t>
  </si>
  <si>
    <t>Chris Parmelee, Nomar Mazara, Caleb Gindl</t>
  </si>
  <si>
    <t>Cedric Hunter, Engel Beltre, Joe Benson</t>
  </si>
  <si>
    <t>3B -2, SS 0</t>
  </si>
  <si>
    <t>Raul Mondesi, Nomar Mazara, Freddie Freeman</t>
  </si>
  <si>
    <t>Che-Hsuan Lin, Domonic Brown, Abraham Almonte</t>
  </si>
  <si>
    <t>Bond</t>
  </si>
  <si>
    <t>Franchy Cordero, Willy Garcia, Teoscar Hernandez</t>
  </si>
  <si>
    <t>Brannen</t>
  </si>
  <si>
    <t>McKay</t>
  </si>
  <si>
    <t>James Loney, Russ Canzler, Nick Evans</t>
  </si>
  <si>
    <t>Heliot</t>
  </si>
  <si>
    <t>Seise</t>
  </si>
  <si>
    <t>Mackey Sasser, Billy Hatcher, B.J. Surhoff</t>
  </si>
  <si>
    <t>Bob Nieman, Randy Elliott, Elston Howard</t>
  </si>
  <si>
    <t>Brad Ausmus, Matt Treanor, Del Crandall</t>
  </si>
  <si>
    <t>Mike Redmond, Brad Ausmus, Ted Simmons</t>
  </si>
  <si>
    <t>C -15</t>
  </si>
  <si>
    <t>Adam Melhuse, Sal Fasano, Erik Kratz</t>
  </si>
  <si>
    <t>C -12, 1B -0</t>
  </si>
  <si>
    <t>Tuffy Gosewisch, Vinny Rottino, Dustin Garneau</t>
  </si>
  <si>
    <t>Donald Lutz, Kyle Jensen, Carlos Peguero</t>
  </si>
  <si>
    <t>Alex Presley, Francisco Peguero, Andrew Toles</t>
  </si>
  <si>
    <t>Kyle Waldrop, Tommy Pham, Zoilo Almonte</t>
  </si>
  <si>
    <t>2B -1, SS -1</t>
  </si>
  <si>
    <t>Nick Noonan, Hernan Perez, Oswaldo Navarro</t>
  </si>
  <si>
    <t>Austin Barnes, Chris Herrmann, Steve Clevenger</t>
  </si>
  <si>
    <t>Celestino</t>
  </si>
  <si>
    <t>Gilberto</t>
  </si>
  <si>
    <t>RF -2, LF -2</t>
  </si>
  <si>
    <t>Rymer Liriano, Moises Sierra, Jorge Bonifacio</t>
  </si>
  <si>
    <t>Danner</t>
  </si>
  <si>
    <t>Hagen</t>
  </si>
  <si>
    <t>Francisco Pena, Engel Beltre, Nomar Mazara</t>
  </si>
  <si>
    <t>Russ Canzler, James Loney, Brandon Snyder</t>
  </si>
  <si>
    <t>C -10, 1B 0</t>
  </si>
  <si>
    <t>Bob Boone, Del Crandall, Ryan Hanigan</t>
  </si>
  <si>
    <t>Jose Osuna, James Loney, Nick Evans</t>
  </si>
  <si>
    <t>Marcell Ozuna, Willy Garcia, Yorman Rodriguez</t>
  </si>
  <si>
    <t>Destin Hood, Moises Sierra, Rymer Liriano</t>
  </si>
  <si>
    <t>Wilkerman</t>
  </si>
  <si>
    <t>Rey Navarro, Juan Diaz, Hector Gomez</t>
  </si>
  <si>
    <t>Engel Beltre, Joe Benson, Cedric Hunter</t>
  </si>
  <si>
    <t>Rincones</t>
  </si>
  <si>
    <t>Engel Beltre, Raul Mondesi, Rougned Odor</t>
  </si>
  <si>
    <t>Vientos</t>
  </si>
  <si>
    <t>Eli Marrero, Melvin Upton, Al Martin</t>
  </si>
  <si>
    <t>Jesus Flores, Hank Conger, Ronny Paulino</t>
  </si>
  <si>
    <t>Bryan Holaday, Jesus Sucre, Craig Tatum</t>
  </si>
  <si>
    <t>Chris Parmelee, Renato Nunez, Raul Mondesi</t>
  </si>
  <si>
    <t>Chris Parmelee, Engel Beltre, Avisail Garcia</t>
  </si>
  <si>
    <t>Montano</t>
  </si>
  <si>
    <t>Barley</t>
  </si>
  <si>
    <t>Alex Liddi, Maikel Franco, Jefry Marte</t>
  </si>
  <si>
    <t>Matijevic</t>
  </si>
  <si>
    <t>Kyle Waldrop, Scott Schebler, Michael Taylor</t>
  </si>
  <si>
    <t>Ramon Flores, Engel Beltre, Alex Liddi</t>
  </si>
  <si>
    <t>Avisail Garcia, Chris Parmelee, Engel Beltre</t>
  </si>
  <si>
    <t>Tebow</t>
  </si>
  <si>
    <t>LF -6, CF -0</t>
  </si>
  <si>
    <t>Andres Torres, Nick Gorneault, Doug Clark</t>
  </si>
  <si>
    <t>Bechtold</t>
  </si>
  <si>
    <t>Steven Souza, Zelous Wheeler, Kyle Kubitza</t>
  </si>
  <si>
    <t>Fairchild</t>
  </si>
  <si>
    <t>Aaron Altherr, Alfredo Marte, Michael Taylor</t>
  </si>
  <si>
    <t>Waters</t>
  </si>
  <si>
    <t>Hank Blalock, Wilson Betemit, Edwin Encarnacion</t>
  </si>
  <si>
    <t>Adell</t>
  </si>
  <si>
    <t>Jordon</t>
  </si>
  <si>
    <t>Nomar Mazara, Raul Mondesi, Engel Beltre</t>
  </si>
  <si>
    <t>Pratto</t>
  </si>
  <si>
    <t>Kyle Waldrop, Destin Hood, Moises Sierra</t>
  </si>
  <si>
    <t>Uselton</t>
  </si>
  <si>
    <t>Chris Parmelee, Alex Liddi, Engel Beltre</t>
  </si>
  <si>
    <t>Hector Gomez, Rey Navarro, Juan Diaz</t>
  </si>
  <si>
    <t>Quentin</t>
  </si>
  <si>
    <t>C 20, 1B 1</t>
  </si>
  <si>
    <t>3B 12</t>
  </si>
  <si>
    <t>C 15</t>
  </si>
  <si>
    <t>RF 6</t>
  </si>
  <si>
    <t>SS -2, 3B 1</t>
  </si>
  <si>
    <t>C 11</t>
  </si>
  <si>
    <t>CF 10</t>
  </si>
  <si>
    <t>LF -1, CF 1</t>
  </si>
  <si>
    <t>CF 7</t>
  </si>
  <si>
    <t>3B -2, 2B 2</t>
  </si>
  <si>
    <t>3B 4, 1B 0</t>
  </si>
  <si>
    <t>C 6</t>
  </si>
  <si>
    <t>RF -1, CF -1</t>
  </si>
  <si>
    <t>LF -9</t>
  </si>
  <si>
    <t>2B 1, SS -1</t>
  </si>
  <si>
    <t>CF -17</t>
  </si>
  <si>
    <t>LF 3, 1B 1</t>
  </si>
  <si>
    <t>C 8</t>
  </si>
  <si>
    <t>CF -1, 2B -0</t>
  </si>
  <si>
    <t>LF 3, RF -0</t>
  </si>
  <si>
    <t>LF 0, RF 2</t>
  </si>
  <si>
    <t>RF -3, LF -1</t>
  </si>
  <si>
    <t>CF -13</t>
  </si>
  <si>
    <t>RF -3, LF 1</t>
  </si>
  <si>
    <t>RF -7, LF -1</t>
  </si>
  <si>
    <t>CF -16, RF -1</t>
  </si>
  <si>
    <t>3B -3, 1B -0</t>
  </si>
  <si>
    <t>LF -2, RF -1</t>
  </si>
  <si>
    <t>RF -6, CF -1</t>
  </si>
  <si>
    <t>CF 3, LF -0</t>
  </si>
  <si>
    <t>LF 0, 2B 0</t>
  </si>
  <si>
    <t>RF 3, CF 0</t>
  </si>
  <si>
    <t>2B -1, CF -0</t>
  </si>
  <si>
    <t>3B -0, SS 0</t>
  </si>
  <si>
    <t>CF -0, RF -1</t>
  </si>
  <si>
    <t>LF -1, 2B 1</t>
  </si>
  <si>
    <t>2B -1, 3B -0</t>
  </si>
  <si>
    <t>3B -1, 2B 2</t>
  </si>
  <si>
    <t>RF 1, 3B -1</t>
  </si>
  <si>
    <t>LF -0, CF 1</t>
  </si>
  <si>
    <t>LF -2, CF -1</t>
  </si>
  <si>
    <t>CF -8</t>
  </si>
  <si>
    <t>C -2, 3B -0</t>
  </si>
  <si>
    <t>SS 0, 2B 0</t>
  </si>
  <si>
    <t>2B 0, SS -0</t>
  </si>
  <si>
    <t>LF -1, SS -1</t>
  </si>
  <si>
    <t>3B -14, SS 0</t>
  </si>
  <si>
    <t>1B -1, 3B 1</t>
  </si>
  <si>
    <t>CF -3, RF 0</t>
  </si>
  <si>
    <t>CF -5, LF -0</t>
  </si>
  <si>
    <t>C -6, 2B 0</t>
  </si>
  <si>
    <t>CF -4, LF -1</t>
  </si>
  <si>
    <t>SS -2, 3B -2</t>
  </si>
  <si>
    <t>RF -22, 3B -1</t>
  </si>
  <si>
    <t>Louis Coleman, Brad Brach, Matt Riley</t>
  </si>
  <si>
    <t>A PECOTA glossary is available at http://www.baseballprospectus.com/glossary/index.php?context=6"category=true</t>
  </si>
  <si>
    <t>2B -7</t>
  </si>
  <si>
    <t>2B 1, 3B -1</t>
  </si>
  <si>
    <t>RF 16, CF 0</t>
  </si>
  <si>
    <t>3B 8, SS -0</t>
  </si>
  <si>
    <t>3B 10</t>
  </si>
  <si>
    <t>1B -4</t>
  </si>
  <si>
    <t>C 21</t>
  </si>
  <si>
    <t>RF -1, 3B 0</t>
  </si>
  <si>
    <t>RF -9</t>
  </si>
  <si>
    <t>LF 1, 2B 1</t>
  </si>
  <si>
    <t>RF 1, 1B -0</t>
  </si>
  <si>
    <t>2B 4, 3B 1</t>
  </si>
  <si>
    <t>2B -2, LF 2</t>
  </si>
  <si>
    <t>CF -2, RF 2</t>
  </si>
  <si>
    <t>LF 5, RF 0</t>
  </si>
  <si>
    <t>RF 1, LF 0</t>
  </si>
  <si>
    <t>LF -0, RF -1</t>
  </si>
  <si>
    <t>CF 2, LF 2</t>
  </si>
  <si>
    <t>LF -0, RF 0</t>
  </si>
  <si>
    <t>2B 1, 3B -0</t>
  </si>
  <si>
    <t>3B 2, SS -1</t>
  </si>
  <si>
    <t>2B -2, LF -0</t>
  </si>
  <si>
    <t>2B 2, LF -0</t>
  </si>
  <si>
    <t>1B -0, 3B -1</t>
  </si>
  <si>
    <t>3B 4, SS 0</t>
  </si>
  <si>
    <t>LF -4, RF -0</t>
  </si>
  <si>
    <t>RF 2, CF -0</t>
  </si>
  <si>
    <t>SS 2, 2B 1</t>
  </si>
  <si>
    <t>1B -1, C 0</t>
  </si>
  <si>
    <t>2B 0, CF 0</t>
  </si>
  <si>
    <t>1B -1, LF 1</t>
  </si>
  <si>
    <t>LF -5, RF -5</t>
  </si>
  <si>
    <t>RF -0, CF 0</t>
  </si>
  <si>
    <t>1B 1, 3B -1</t>
  </si>
  <si>
    <t>1B 0, RF 0</t>
  </si>
  <si>
    <t>RF 0, CF -0</t>
  </si>
  <si>
    <t>LF 0, CF -0</t>
  </si>
  <si>
    <t>3B -0, 2B 1</t>
  </si>
  <si>
    <t>LF -3, 1B 0</t>
  </si>
  <si>
    <t>2B -0, 3B -0</t>
  </si>
  <si>
    <t>RF 0, CF -1</t>
  </si>
  <si>
    <t>1B 1, RF -0</t>
  </si>
  <si>
    <t>3B -0, 1B 0</t>
  </si>
  <si>
    <t>RF -2, 3B -0</t>
  </si>
  <si>
    <t>LF 2, RF -1</t>
  </si>
  <si>
    <t>3B 1, 1B -1</t>
  </si>
  <si>
    <t>3B -10</t>
  </si>
  <si>
    <t>SS -1, 1B 0</t>
  </si>
  <si>
    <t>C -8, 3B 0</t>
  </si>
  <si>
    <t>CF -3, 2B -0</t>
  </si>
  <si>
    <t>RF -4, LF -1</t>
  </si>
  <si>
    <t>RF -0, LF -1</t>
  </si>
  <si>
    <t>Arquimedes</t>
  </si>
  <si>
    <t>SS -2, 2B 0</t>
  </si>
  <si>
    <t>LF -4, 1B -5</t>
  </si>
  <si>
    <t>LF 0, CF 0</t>
  </si>
  <si>
    <t>RF -2, 1B -1</t>
  </si>
  <si>
    <t>C -16, 1B 0</t>
  </si>
  <si>
    <t>Josh Collmenter, Mike Montgomery, Clayton Mortensen</t>
  </si>
  <si>
    <t>Corey Knebel, Jon Meloan, Eduardo Sanchez</t>
  </si>
  <si>
    <t>Robbie Weinhardt, Josh Newman, Josh Spence</t>
  </si>
  <si>
    <t>Sammy Gervacio, Shae Simmons, Evan Scribner</t>
  </si>
  <si>
    <t>Javier Lopez, Matt Lindstrom, Brandon Lyon</t>
  </si>
  <si>
    <t>Mariot</t>
  </si>
  <si>
    <t>Chris Hatcher, Henry Owens, Marcus McBeth</t>
  </si>
  <si>
    <t>Aro</t>
  </si>
  <si>
    <t>Rob Delaney, Richard Rodriguez, Robert Manuel</t>
  </si>
  <si>
    <t>Kendry Flores, Casey Sadler, Daniel Wright</t>
  </si>
  <si>
    <t>Wilhelmsen</t>
  </si>
  <si>
    <t>Nick Masset, Javier Lopez, Peter Moylan</t>
  </si>
  <si>
    <t>Blake Parker, Joe Paterson, Cory Gearrin</t>
  </si>
  <si>
    <t>Jason Berken, Joe Martinez, Armando Galarraga</t>
  </si>
  <si>
    <t>Kyle McPherson, Jhoulys Chacin, Ryan Pressly</t>
  </si>
  <si>
    <t>PA17</t>
  </si>
  <si>
    <t>AB17</t>
  </si>
  <si>
    <t>LF 8, CF -1</t>
  </si>
  <si>
    <t>LF -2, RF 1</t>
  </si>
  <si>
    <t>LF 7, CF -2</t>
  </si>
  <si>
    <t>C -13</t>
  </si>
  <si>
    <t>IP17</t>
  </si>
  <si>
    <t>Innings Pitched (MLB) in 2017</t>
  </si>
  <si>
    <t>Fields added or changed in 2018 (Hitters)</t>
  </si>
  <si>
    <t>Plate Appearances(MLB) in 2017</t>
  </si>
  <si>
    <t>At Bats(MLB) in 2017</t>
  </si>
  <si>
    <t>LF 8</t>
  </si>
  <si>
    <t>RF 7</t>
  </si>
  <si>
    <t>LF 13, CF -0</t>
  </si>
  <si>
    <t>LF 3</t>
  </si>
  <si>
    <t>RF 10</t>
  </si>
  <si>
    <t>LF 0, 3B -1</t>
  </si>
  <si>
    <t>LF -4</t>
  </si>
  <si>
    <t>LF -0, CF -2</t>
  </si>
  <si>
    <t>CF -1, RF 1</t>
  </si>
  <si>
    <t>2B -1, RF -0</t>
  </si>
  <si>
    <t>RF 0, 1B -0</t>
  </si>
  <si>
    <t>LF -2, RF 0</t>
  </si>
  <si>
    <t>1B -0, C -0</t>
  </si>
  <si>
    <t>1B 0, 3B 0</t>
  </si>
  <si>
    <t>CF 9</t>
  </si>
  <si>
    <t>LF -1, CF -3</t>
  </si>
  <si>
    <t>RF -2, LF 1</t>
  </si>
  <si>
    <t>3B -1, SS 0</t>
  </si>
  <si>
    <t>3B -12</t>
  </si>
  <si>
    <t>CF 1, LF -0</t>
  </si>
  <si>
    <t>3B -2, SS -0</t>
  </si>
  <si>
    <t>Lincecum</t>
  </si>
  <si>
    <t>Freddy Garcia, Chan Ho Park, Randy Wolf</t>
  </si>
  <si>
    <t>CF 14</t>
  </si>
  <si>
    <t>RF 4</t>
  </si>
  <si>
    <t>CF 6</t>
  </si>
  <si>
    <t>LF 3, 2B -1</t>
  </si>
  <si>
    <t>RF -8</t>
  </si>
  <si>
    <t>LF -0, RF 1</t>
  </si>
  <si>
    <t>RF -3, LF -0</t>
  </si>
  <si>
    <t>1B 1, 3B -2</t>
  </si>
  <si>
    <t>LF -2, CF 2</t>
  </si>
  <si>
    <t>LF -11</t>
  </si>
  <si>
    <t>C 24</t>
  </si>
  <si>
    <t>C 19</t>
  </si>
  <si>
    <t>C 11, 2B 0</t>
  </si>
  <si>
    <t>3B -2, 1B 1</t>
  </si>
  <si>
    <t>3B -5</t>
  </si>
  <si>
    <t>LF 1, RF 1</t>
  </si>
  <si>
    <t>3B 2, 2B -0</t>
  </si>
  <si>
    <t>CF -0, LF -0</t>
  </si>
  <si>
    <t>C -1, 1B -0</t>
  </si>
  <si>
    <t>3B -5, 2B 0</t>
  </si>
  <si>
    <t>Brett Nicholas, Stephen Vogt, Konrad Schmidt</t>
  </si>
  <si>
    <t>2B -1, SS -0</t>
  </si>
  <si>
    <t>Mooney</t>
  </si>
  <si>
    <t>Jonathan Diaz, Josh Labandeira, Irving Falu</t>
  </si>
  <si>
    <t>LF 2, 2B 0</t>
  </si>
  <si>
    <t>SS -2, 3B -4</t>
  </si>
  <si>
    <t>C -19</t>
  </si>
  <si>
    <t>Graves</t>
  </si>
  <si>
    <t>Alan Johnson, Fernando Rodriguez, Edwin Moreno</t>
  </si>
  <si>
    <t>Walden</t>
  </si>
  <si>
    <t>Ben Hendrickson, Shane Loux, Chris Sampson</t>
  </si>
  <si>
    <t>Tanner Roark, Cha Seung Baek, Collin McHugh</t>
  </si>
  <si>
    <t>Jokisch</t>
  </si>
  <si>
    <t>Chad Bell, David Martinez, Graham Godfrey</t>
  </si>
  <si>
    <t>Joe Thatcher, Kerry Ligtenberg, Will Ohman</t>
  </si>
  <si>
    <t>Araujo</t>
  </si>
  <si>
    <t>Josh Judy, Brett Bochy, Drew Hayes</t>
  </si>
  <si>
    <t>Poyner</t>
  </si>
  <si>
    <t>Josh Judy, Brad Brach, Cody Eppley</t>
  </si>
  <si>
    <t>LF 2, RF 5</t>
  </si>
  <si>
    <t>2B 4, SS 1</t>
  </si>
  <si>
    <t>2B 13, 3B -0</t>
  </si>
  <si>
    <t>RF -5</t>
  </si>
  <si>
    <t>2B -2, SS -2</t>
  </si>
  <si>
    <t>3B 2, 2B 1</t>
  </si>
  <si>
    <t>3B -2, 1B -1</t>
  </si>
  <si>
    <t>1B -0, 3B 0</t>
  </si>
  <si>
    <t>3B 0, RF 1</t>
  </si>
  <si>
    <t>1B 0, SS 1</t>
  </si>
  <si>
    <t>SS 1, 2B -1</t>
  </si>
  <si>
    <t>3B -2, SS -1</t>
  </si>
  <si>
    <t>C -3, RF -0</t>
  </si>
  <si>
    <t>C -20</t>
  </si>
  <si>
    <t>Last Updated 03/30/2018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</si>
</sst>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1"/>
    <xf numFmtId="164" fontId="0" fillId="0" borderId="0" xfId="0" applyNumberFormat="1"/>
    <xf numFmtId="0" fontId="5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/>
  </sheetViews>
  <sheetFormatPr defaultRowHeight="14.4" x14ac:dyDescent="0.3"/>
  <cols>
    <col min="4" max="4" width="118.6640625" customWidth="1"/>
  </cols>
  <sheetData>
    <row r="1" spans="1:4" ht="15.6" x14ac:dyDescent="0.3">
      <c r="A1" s="1" t="s">
        <v>2210</v>
      </c>
    </row>
    <row r="2" spans="1:4" x14ac:dyDescent="0.3">
      <c r="A2" s="2" t="s">
        <v>5039</v>
      </c>
    </row>
    <row r="3" spans="1:4" x14ac:dyDescent="0.3">
      <c r="A3" s="13" t="s">
        <v>2211</v>
      </c>
      <c r="B3" s="13"/>
      <c r="C3" s="13"/>
      <c r="D3" s="13"/>
    </row>
    <row r="4" spans="1:4" x14ac:dyDescent="0.3">
      <c r="A4" s="12"/>
      <c r="B4" s="12"/>
      <c r="C4" s="12"/>
      <c r="D4" s="12"/>
    </row>
    <row r="5" spans="1:4" x14ac:dyDescent="0.3">
      <c r="A5" s="6" t="s">
        <v>2212</v>
      </c>
    </row>
    <row r="6" spans="1:4" x14ac:dyDescent="0.3">
      <c r="A6" s="3" t="s">
        <v>40</v>
      </c>
      <c r="D6" t="s">
        <v>2213</v>
      </c>
    </row>
    <row r="7" spans="1:4" x14ac:dyDescent="0.3">
      <c r="A7" s="3" t="s">
        <v>4958</v>
      </c>
      <c r="D7" t="s">
        <v>4959</v>
      </c>
    </row>
    <row r="8" spans="1:4" x14ac:dyDescent="0.3">
      <c r="A8" s="3"/>
    </row>
    <row r="9" spans="1:4" x14ac:dyDescent="0.3">
      <c r="A9" s="6" t="s">
        <v>4960</v>
      </c>
    </row>
    <row r="10" spans="1:4" x14ac:dyDescent="0.3">
      <c r="A10" s="3" t="s">
        <v>4952</v>
      </c>
      <c r="D10" t="s">
        <v>4961</v>
      </c>
    </row>
    <row r="11" spans="1:4" x14ac:dyDescent="0.3">
      <c r="A11" s="3" t="s">
        <v>4953</v>
      </c>
      <c r="D11" t="s">
        <v>4962</v>
      </c>
    </row>
    <row r="12" spans="1:4" x14ac:dyDescent="0.3">
      <c r="A12" s="6"/>
    </row>
    <row r="13" spans="1:4" x14ac:dyDescent="0.3">
      <c r="A13" s="6" t="s">
        <v>1551</v>
      </c>
    </row>
    <row r="14" spans="1:4" x14ac:dyDescent="0.3">
      <c r="A14" s="3" t="s">
        <v>11</v>
      </c>
      <c r="D14" t="s">
        <v>1552</v>
      </c>
    </row>
    <row r="15" spans="1:4" x14ac:dyDescent="0.3">
      <c r="A15" s="3" t="s">
        <v>1553</v>
      </c>
      <c r="D15" t="s">
        <v>1554</v>
      </c>
    </row>
    <row r="17" spans="1:4" x14ac:dyDescent="0.3">
      <c r="A17" s="6" t="s">
        <v>1561</v>
      </c>
    </row>
    <row r="18" spans="1:4" x14ac:dyDescent="0.3">
      <c r="A18" s="3" t="s">
        <v>92</v>
      </c>
      <c r="D18" t="s">
        <v>1559</v>
      </c>
    </row>
    <row r="19" spans="1:4" x14ac:dyDescent="0.3">
      <c r="A19" s="3" t="s">
        <v>1553</v>
      </c>
      <c r="D19" t="s">
        <v>1679</v>
      </c>
    </row>
    <row r="20" spans="1:4" x14ac:dyDescent="0.3">
      <c r="A20" s="3" t="s">
        <v>1555</v>
      </c>
      <c r="D20" t="s">
        <v>1563</v>
      </c>
    </row>
    <row r="21" spans="1:4" x14ac:dyDescent="0.3">
      <c r="A21" s="3" t="s">
        <v>1560</v>
      </c>
      <c r="D21" t="s">
        <v>1564</v>
      </c>
    </row>
    <row r="22" spans="1:4" x14ac:dyDescent="0.3">
      <c r="A22" s="3" t="s">
        <v>1556</v>
      </c>
      <c r="B22" t="s">
        <v>1562</v>
      </c>
      <c r="D22" t="s">
        <v>1557</v>
      </c>
    </row>
    <row r="23" spans="1:4" x14ac:dyDescent="0.3">
      <c r="A23" s="3" t="s">
        <v>24</v>
      </c>
      <c r="B23" t="s">
        <v>1562</v>
      </c>
      <c r="D23" t="s">
        <v>1558</v>
      </c>
    </row>
    <row r="25" spans="1:4" x14ac:dyDescent="0.3">
      <c r="A25" t="s">
        <v>85</v>
      </c>
    </row>
    <row r="26" spans="1:4" x14ac:dyDescent="0.3">
      <c r="A26" t="s">
        <v>993</v>
      </c>
    </row>
    <row r="28" spans="1:4" x14ac:dyDescent="0.3">
      <c r="A28" t="s">
        <v>4878</v>
      </c>
    </row>
    <row r="30" spans="1:4" x14ac:dyDescent="0.3">
      <c r="A30" s="6" t="s">
        <v>1550</v>
      </c>
    </row>
    <row r="31" spans="1:4" x14ac:dyDescent="0.3">
      <c r="A31" s="3" t="s">
        <v>1389</v>
      </c>
      <c r="D31" t="s">
        <v>1538</v>
      </c>
    </row>
    <row r="33" spans="1:4" x14ac:dyDescent="0.3">
      <c r="A33" s="6" t="s">
        <v>1534</v>
      </c>
    </row>
    <row r="34" spans="1:4" x14ac:dyDescent="0.3">
      <c r="A34" s="3" t="s">
        <v>1210</v>
      </c>
      <c r="D34" t="s">
        <v>1212</v>
      </c>
    </row>
    <row r="35" spans="1:4" x14ac:dyDescent="0.3">
      <c r="A35" s="3" t="s">
        <v>1211</v>
      </c>
      <c r="D35" t="s">
        <v>1213</v>
      </c>
    </row>
    <row r="36" spans="1:4" x14ac:dyDescent="0.3">
      <c r="A36" s="3" t="s">
        <v>1214</v>
      </c>
      <c r="D36" t="s">
        <v>1216</v>
      </c>
    </row>
    <row r="37" spans="1:4" x14ac:dyDescent="0.3">
      <c r="A37" s="3" t="s">
        <v>1215</v>
      </c>
      <c r="D37" t="s">
        <v>1217</v>
      </c>
    </row>
    <row r="38" spans="1:4" x14ac:dyDescent="0.3">
      <c r="A38" s="3" t="s">
        <v>1218</v>
      </c>
      <c r="D38" t="s">
        <v>1548</v>
      </c>
    </row>
    <row r="39" spans="1:4" x14ac:dyDescent="0.3">
      <c r="A39" s="3" t="s">
        <v>1219</v>
      </c>
      <c r="D39" t="s">
        <v>1549</v>
      </c>
    </row>
    <row r="41" spans="1:4" x14ac:dyDescent="0.3">
      <c r="A41" s="6" t="s">
        <v>1535</v>
      </c>
    </row>
    <row r="42" spans="1:4" x14ac:dyDescent="0.3">
      <c r="A42" s="3" t="s">
        <v>91</v>
      </c>
      <c r="D42" t="s">
        <v>1220</v>
      </c>
    </row>
    <row r="43" spans="1:4" x14ac:dyDescent="0.3">
      <c r="A43" s="3" t="s">
        <v>1218</v>
      </c>
      <c r="D43" t="s">
        <v>1548</v>
      </c>
    </row>
    <row r="44" spans="1:4" x14ac:dyDescent="0.3">
      <c r="A44" s="3" t="s">
        <v>1219</v>
      </c>
      <c r="D44" t="s">
        <v>1549</v>
      </c>
    </row>
    <row r="45" spans="1:4" x14ac:dyDescent="0.3">
      <c r="A45" s="3"/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91"/>
  <sheetViews>
    <sheetView workbookViewId="0">
      <pane ySplit="1" topLeftCell="A2" activePane="bottomLeft" state="frozen"/>
      <selection pane="bottomLeft" sqref="A1:BH1020"/>
    </sheetView>
  </sheetViews>
  <sheetFormatPr defaultRowHeight="14.4" x14ac:dyDescent="0.3"/>
  <cols>
    <col min="1" max="1" width="7.33203125" customWidth="1"/>
    <col min="2" max="2" width="15.5546875" bestFit="1" customWidth="1"/>
    <col min="3" max="3" width="11.33203125" bestFit="1" customWidth="1"/>
    <col min="4" max="4" width="12.109375" style="10" customWidth="1"/>
    <col min="5" max="5" width="4.5546875" bestFit="1" customWidth="1"/>
    <col min="6" max="6" width="5.44140625" bestFit="1" customWidth="1"/>
    <col min="7" max="7" width="8.88671875" bestFit="1" customWidth="1"/>
    <col min="8" max="8" width="7.5546875" bestFit="1" customWidth="1"/>
    <col min="9" max="9" width="8.33203125" bestFit="1" customWidth="1"/>
    <col min="10" max="10" width="5.5546875" bestFit="1" customWidth="1"/>
    <col min="11" max="11" width="6.109375" customWidth="1"/>
    <col min="12" max="12" width="3.33203125" bestFit="1" customWidth="1"/>
    <col min="13" max="14" width="4.6640625" bestFit="1" customWidth="1"/>
    <col min="15" max="15" width="4" bestFit="1" customWidth="1"/>
    <col min="16" max="16" width="4" customWidth="1"/>
    <col min="17" max="19" width="4" bestFit="1" customWidth="1"/>
    <col min="20" max="21" width="3.109375" bestFit="1" customWidth="1"/>
    <col min="22" max="22" width="3.44140625" bestFit="1" customWidth="1"/>
    <col min="23" max="26" width="4" bestFit="1" customWidth="1"/>
    <col min="27" max="27" width="4" customWidth="1"/>
    <col min="28" max="28" width="4.5546875" bestFit="1" customWidth="1"/>
    <col min="29" max="29" width="4" bestFit="1" customWidth="1"/>
    <col min="30" max="32" width="4" customWidth="1"/>
    <col min="33" max="34" width="3.109375" bestFit="1" customWidth="1"/>
    <col min="35" max="38" width="6" style="5" bestFit="1" customWidth="1"/>
    <col min="39" max="39" width="6.33203125" style="5" bestFit="1" customWidth="1"/>
    <col min="40" max="40" width="4.6640625" bestFit="1" customWidth="1"/>
    <col min="41" max="42" width="9" customWidth="1"/>
    <col min="43" max="43" width="5.44140625" customWidth="1"/>
    <col min="44" max="44" width="10" customWidth="1"/>
    <col min="45" max="45" width="11.5546875" bestFit="1" customWidth="1"/>
    <col min="46" max="46" width="6.5546875" bestFit="1" customWidth="1"/>
    <col min="47" max="47" width="6" bestFit="1" customWidth="1"/>
    <col min="48" max="48" width="10.5546875" bestFit="1" customWidth="1"/>
    <col min="49" max="49" width="9.44140625" bestFit="1" customWidth="1"/>
    <col min="50" max="50" width="9.6640625" bestFit="1" customWidth="1"/>
    <col min="51" max="51" width="10.44140625" bestFit="1" customWidth="1"/>
    <col min="52" max="52" width="52" bestFit="1" customWidth="1"/>
    <col min="53" max="53" width="8" bestFit="1" customWidth="1"/>
    <col min="54" max="54" width="6.33203125" bestFit="1" customWidth="1"/>
    <col min="55" max="55" width="9.6640625" bestFit="1" customWidth="1"/>
  </cols>
  <sheetData>
    <row r="1" spans="1:60" s="3" customFormat="1" x14ac:dyDescent="0.3">
      <c r="A1" s="3" t="s">
        <v>38</v>
      </c>
      <c r="B1" s="3" t="s">
        <v>86</v>
      </c>
      <c r="C1" s="3" t="s">
        <v>87</v>
      </c>
      <c r="D1" s="11" t="s">
        <v>1389</v>
      </c>
      <c r="E1" s="3" t="s">
        <v>39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88</v>
      </c>
      <c r="M1" s="3" t="s">
        <v>6</v>
      </c>
      <c r="N1" s="3" t="s">
        <v>7</v>
      </c>
      <c r="O1" s="3" t="s">
        <v>40</v>
      </c>
      <c r="P1" s="3" t="s">
        <v>11</v>
      </c>
      <c r="Q1" s="3" t="s">
        <v>89</v>
      </c>
      <c r="R1" s="3" t="s">
        <v>33</v>
      </c>
      <c r="S1" s="3" t="s">
        <v>50</v>
      </c>
      <c r="T1" s="3" t="s">
        <v>58</v>
      </c>
      <c r="U1" s="3" t="s">
        <v>51</v>
      </c>
      <c r="V1" s="3" t="s">
        <v>15</v>
      </c>
      <c r="W1" s="3" t="s">
        <v>14</v>
      </c>
      <c r="X1" s="3" t="s">
        <v>90</v>
      </c>
      <c r="Y1" s="3" t="s">
        <v>41</v>
      </c>
      <c r="Z1" s="3" t="s">
        <v>16</v>
      </c>
      <c r="AA1" s="3" t="s">
        <v>1553</v>
      </c>
      <c r="AB1" s="3" t="s">
        <v>91</v>
      </c>
      <c r="AC1" s="3" t="s">
        <v>17</v>
      </c>
      <c r="AD1" s="3" t="s">
        <v>1000</v>
      </c>
      <c r="AE1" s="3" t="s">
        <v>1001</v>
      </c>
      <c r="AF1" s="3" t="s">
        <v>1002</v>
      </c>
      <c r="AG1" s="3" t="s">
        <v>42</v>
      </c>
      <c r="AH1" s="3" t="s">
        <v>43</v>
      </c>
      <c r="AI1" s="7" t="s">
        <v>44</v>
      </c>
      <c r="AJ1" s="7" t="s">
        <v>45</v>
      </c>
      <c r="AK1" s="7" t="s">
        <v>46</v>
      </c>
      <c r="AL1" s="7" t="s">
        <v>47</v>
      </c>
      <c r="AM1" s="7" t="s">
        <v>21</v>
      </c>
      <c r="AN1" s="3" t="s">
        <v>48</v>
      </c>
      <c r="AO1" s="3" t="s">
        <v>1210</v>
      </c>
      <c r="AP1" s="3" t="s">
        <v>1211</v>
      </c>
      <c r="AQ1" s="3" t="s">
        <v>1214</v>
      </c>
      <c r="AR1" s="3" t="s">
        <v>1215</v>
      </c>
      <c r="AS1" s="3" t="s">
        <v>49</v>
      </c>
      <c r="AT1" s="3" t="s">
        <v>24</v>
      </c>
      <c r="AU1" s="3" t="s">
        <v>92</v>
      </c>
      <c r="AV1" s="3" t="s">
        <v>25</v>
      </c>
      <c r="AW1" s="3" t="s">
        <v>26</v>
      </c>
      <c r="AX1" s="3" t="s">
        <v>27</v>
      </c>
      <c r="AY1" s="3" t="s">
        <v>28</v>
      </c>
      <c r="AZ1" s="3" t="s">
        <v>29</v>
      </c>
      <c r="BA1" s="3" t="s">
        <v>30</v>
      </c>
      <c r="BB1" s="3" t="s">
        <v>31</v>
      </c>
      <c r="BC1" s="3" t="s">
        <v>1204</v>
      </c>
      <c r="BD1" s="3" t="s">
        <v>32</v>
      </c>
      <c r="BE1" s="3" t="s">
        <v>1218</v>
      </c>
      <c r="BF1" s="3" t="s">
        <v>1219</v>
      </c>
      <c r="BG1" s="3" t="s">
        <v>4952</v>
      </c>
      <c r="BH1" s="3" t="s">
        <v>4953</v>
      </c>
    </row>
    <row r="2" spans="1:60" x14ac:dyDescent="0.3">
      <c r="A2" s="4">
        <f>HYPERLINK("http://legacy.baseballprospectus.com/p/59432",59432)</f>
        <v>59432</v>
      </c>
      <c r="B2" t="s">
        <v>669</v>
      </c>
      <c r="C2" t="s">
        <v>142</v>
      </c>
      <c r="D2" s="10">
        <v>33457</v>
      </c>
      <c r="E2" t="s">
        <v>65</v>
      </c>
      <c r="F2" t="s">
        <v>33</v>
      </c>
      <c r="G2" t="s">
        <v>33</v>
      </c>
      <c r="H2">
        <v>74</v>
      </c>
      <c r="I2">
        <v>235</v>
      </c>
      <c r="J2">
        <v>2018</v>
      </c>
      <c r="K2" s="4" t="str">
        <f>HYPERLINK("http://legacy.baseballprospectus.com/fantasy/dc/index.php?tm=ANA","ANA")</f>
        <v>ANA</v>
      </c>
      <c r="L2" t="s">
        <v>95</v>
      </c>
      <c r="M2" t="s">
        <v>34</v>
      </c>
      <c r="N2">
        <v>26</v>
      </c>
      <c r="O2">
        <v>667</v>
      </c>
      <c r="P2">
        <v>154</v>
      </c>
      <c r="Q2">
        <v>553</v>
      </c>
      <c r="R2">
        <v>120</v>
      </c>
      <c r="S2">
        <v>93</v>
      </c>
      <c r="T2">
        <v>32</v>
      </c>
      <c r="U2">
        <v>6</v>
      </c>
      <c r="V2">
        <v>34</v>
      </c>
      <c r="W2">
        <v>165</v>
      </c>
      <c r="X2">
        <v>311</v>
      </c>
      <c r="Y2">
        <v>100</v>
      </c>
      <c r="Z2">
        <v>99</v>
      </c>
      <c r="AA2">
        <v>12</v>
      </c>
      <c r="AB2">
        <v>10</v>
      </c>
      <c r="AC2">
        <v>139</v>
      </c>
      <c r="AD2">
        <v>0</v>
      </c>
      <c r="AE2">
        <v>5</v>
      </c>
      <c r="AF2">
        <v>10</v>
      </c>
      <c r="AG2">
        <v>22</v>
      </c>
      <c r="AH2">
        <v>6</v>
      </c>
      <c r="AI2" s="5">
        <v>0.29799999999999999</v>
      </c>
      <c r="AJ2" s="5">
        <v>0.41099999999999998</v>
      </c>
      <c r="AK2" s="5">
        <v>0.56200000000000006</v>
      </c>
      <c r="AL2" s="5">
        <v>0.33400000000000002</v>
      </c>
      <c r="AM2" s="5">
        <v>0.34</v>
      </c>
      <c r="AN2">
        <v>2.1</v>
      </c>
      <c r="AO2">
        <v>0.97</v>
      </c>
      <c r="AP2">
        <v>17.91</v>
      </c>
      <c r="AQ2">
        <v>51.97</v>
      </c>
      <c r="AR2">
        <v>-3.5</v>
      </c>
      <c r="AS2" t="s">
        <v>1046</v>
      </c>
      <c r="AT2">
        <v>7</v>
      </c>
      <c r="AU2">
        <v>72.900000000000006</v>
      </c>
      <c r="AV2">
        <v>1</v>
      </c>
      <c r="AW2">
        <v>59</v>
      </c>
      <c r="AX2">
        <v>0</v>
      </c>
      <c r="AY2">
        <v>2</v>
      </c>
      <c r="AZ2" t="s">
        <v>3523</v>
      </c>
      <c r="BA2">
        <v>100</v>
      </c>
      <c r="BB2" t="s">
        <v>35</v>
      </c>
      <c r="BC2" t="s">
        <v>36</v>
      </c>
      <c r="BD2" s="4">
        <f>HYPERLINK("http://mlb.mlb.com/team/player.jsp?player_id=545361",545361)</f>
        <v>545361</v>
      </c>
      <c r="BE2">
        <v>582</v>
      </c>
      <c r="BF2">
        <v>1582</v>
      </c>
      <c r="BG2">
        <v>507</v>
      </c>
      <c r="BH2">
        <v>402</v>
      </c>
    </row>
    <row r="3" spans="1:60" x14ac:dyDescent="0.3">
      <c r="A3" s="4">
        <f>HYPERLINK("http://legacy.baseballprospectus.com/p/58548",58548)</f>
        <v>58548</v>
      </c>
      <c r="B3" t="s">
        <v>579</v>
      </c>
      <c r="C3" t="s">
        <v>580</v>
      </c>
      <c r="D3" s="10">
        <v>31863</v>
      </c>
      <c r="E3" t="s">
        <v>54</v>
      </c>
      <c r="F3" t="s">
        <v>33</v>
      </c>
      <c r="G3" t="s">
        <v>33</v>
      </c>
      <c r="H3">
        <v>73</v>
      </c>
      <c r="I3">
        <v>215</v>
      </c>
      <c r="J3">
        <v>2018</v>
      </c>
      <c r="K3" s="4" t="str">
        <f>HYPERLINK("http://legacy.baseballprospectus.com/fantasy/dc/index.php?tm=SFN","SFN")</f>
        <v>SFN</v>
      </c>
      <c r="L3" t="s">
        <v>100</v>
      </c>
      <c r="M3" t="s">
        <v>34</v>
      </c>
      <c r="N3">
        <v>31</v>
      </c>
      <c r="O3">
        <v>602</v>
      </c>
      <c r="P3">
        <v>146</v>
      </c>
      <c r="Q3">
        <v>538</v>
      </c>
      <c r="R3">
        <v>71</v>
      </c>
      <c r="S3">
        <v>110</v>
      </c>
      <c r="T3">
        <v>30</v>
      </c>
      <c r="U3">
        <v>1</v>
      </c>
      <c r="V3">
        <v>15</v>
      </c>
      <c r="W3">
        <v>156</v>
      </c>
      <c r="X3">
        <v>233</v>
      </c>
      <c r="Y3">
        <v>72</v>
      </c>
      <c r="Z3">
        <v>55</v>
      </c>
      <c r="AA3">
        <v>8</v>
      </c>
      <c r="AB3">
        <v>5</v>
      </c>
      <c r="AC3">
        <v>68</v>
      </c>
      <c r="AD3">
        <v>0</v>
      </c>
      <c r="AE3">
        <v>4</v>
      </c>
      <c r="AF3">
        <v>17</v>
      </c>
      <c r="AG3">
        <v>4</v>
      </c>
      <c r="AH3">
        <v>1</v>
      </c>
      <c r="AI3" s="5">
        <v>0.28999999999999998</v>
      </c>
      <c r="AJ3" s="5">
        <v>0.35899999999999999</v>
      </c>
      <c r="AK3" s="5">
        <v>0.433</v>
      </c>
      <c r="AL3" s="5">
        <v>0.28299999999999997</v>
      </c>
      <c r="AM3" s="5">
        <v>0.307</v>
      </c>
      <c r="AN3">
        <v>-0.7</v>
      </c>
      <c r="AO3">
        <v>3.23</v>
      </c>
      <c r="AP3">
        <v>16.16</v>
      </c>
      <c r="AQ3">
        <v>14.5</v>
      </c>
      <c r="AR3">
        <v>20.8</v>
      </c>
      <c r="AS3" t="s">
        <v>4823</v>
      </c>
      <c r="AT3">
        <v>5.4</v>
      </c>
      <c r="AU3">
        <v>33.200000000000003</v>
      </c>
      <c r="AV3">
        <v>1</v>
      </c>
      <c r="AW3">
        <v>29</v>
      </c>
      <c r="AX3">
        <v>4</v>
      </c>
      <c r="AY3">
        <v>5</v>
      </c>
      <c r="AZ3" t="s">
        <v>3524</v>
      </c>
      <c r="BA3">
        <v>95</v>
      </c>
      <c r="BB3" t="s">
        <v>35</v>
      </c>
      <c r="BC3" t="s">
        <v>36</v>
      </c>
      <c r="BD3" s="4">
        <f>HYPERLINK("http://mlb.mlb.com/team/player.jsp?player_id=457763",457763)</f>
        <v>457763</v>
      </c>
      <c r="BE3">
        <v>1370</v>
      </c>
      <c r="BF3">
        <v>370</v>
      </c>
      <c r="BG3">
        <v>568</v>
      </c>
      <c r="BH3">
        <v>494</v>
      </c>
    </row>
    <row r="4" spans="1:60" x14ac:dyDescent="0.3">
      <c r="A4" s="4">
        <f>HYPERLINK("http://legacy.baseballprospectus.com/p/70430",70430)</f>
        <v>70430</v>
      </c>
      <c r="B4" t="s">
        <v>1237</v>
      </c>
      <c r="C4" t="s">
        <v>1238</v>
      </c>
      <c r="D4" s="10">
        <v>33884</v>
      </c>
      <c r="E4" t="s">
        <v>57</v>
      </c>
      <c r="F4" t="s">
        <v>33</v>
      </c>
      <c r="G4" t="s">
        <v>33</v>
      </c>
      <c r="H4">
        <v>69</v>
      </c>
      <c r="I4">
        <v>180</v>
      </c>
      <c r="J4">
        <v>2018</v>
      </c>
      <c r="K4" s="4" t="str">
        <f>HYPERLINK("http://legacy.baseballprospectus.com/fantasy/dc/index.php?tm=BOS","BOS")</f>
        <v>BOS</v>
      </c>
      <c r="L4" t="s">
        <v>95</v>
      </c>
      <c r="M4" t="s">
        <v>34</v>
      </c>
      <c r="N4">
        <v>25</v>
      </c>
      <c r="O4">
        <v>643</v>
      </c>
      <c r="P4">
        <v>148</v>
      </c>
      <c r="Q4">
        <v>580</v>
      </c>
      <c r="R4">
        <v>95</v>
      </c>
      <c r="S4">
        <v>108</v>
      </c>
      <c r="T4">
        <v>38</v>
      </c>
      <c r="U4">
        <v>4</v>
      </c>
      <c r="V4">
        <v>20</v>
      </c>
      <c r="W4">
        <v>170</v>
      </c>
      <c r="X4">
        <v>276</v>
      </c>
      <c r="Y4">
        <v>74</v>
      </c>
      <c r="Z4">
        <v>56</v>
      </c>
      <c r="AA4">
        <v>4</v>
      </c>
      <c r="AB4">
        <v>2</v>
      </c>
      <c r="AC4">
        <v>78</v>
      </c>
      <c r="AD4">
        <v>1</v>
      </c>
      <c r="AE4">
        <v>4</v>
      </c>
      <c r="AF4">
        <v>11</v>
      </c>
      <c r="AG4">
        <v>24</v>
      </c>
      <c r="AH4">
        <v>4</v>
      </c>
      <c r="AI4" s="5">
        <v>0.29299999999999998</v>
      </c>
      <c r="AJ4" s="5">
        <v>0.35499999999999998</v>
      </c>
      <c r="AK4" s="5">
        <v>0.47599999999999998</v>
      </c>
      <c r="AL4" s="5">
        <v>0.28799999999999998</v>
      </c>
      <c r="AM4" s="5">
        <v>0.308</v>
      </c>
      <c r="AN4">
        <v>2.9</v>
      </c>
      <c r="AO4">
        <v>-2.11</v>
      </c>
      <c r="AP4">
        <v>17.260000000000002</v>
      </c>
      <c r="AQ4">
        <v>18.62</v>
      </c>
      <c r="AR4">
        <v>16.3</v>
      </c>
      <c r="AS4" t="s">
        <v>4881</v>
      </c>
      <c r="AT4">
        <v>5.3</v>
      </c>
      <c r="AU4">
        <v>36.6</v>
      </c>
      <c r="AV4">
        <v>1</v>
      </c>
      <c r="AW4">
        <v>53</v>
      </c>
      <c r="AX4">
        <v>1</v>
      </c>
      <c r="AY4">
        <v>3</v>
      </c>
      <c r="AZ4" t="s">
        <v>3529</v>
      </c>
      <c r="BA4">
        <v>100</v>
      </c>
      <c r="BB4" t="s">
        <v>35</v>
      </c>
      <c r="BC4" t="s">
        <v>36</v>
      </c>
      <c r="BD4" s="4">
        <f>HYPERLINK("http://mlb.mlb.com/team/player.jsp?player_id=605141",605141)</f>
        <v>605141</v>
      </c>
      <c r="BE4">
        <v>554</v>
      </c>
      <c r="BF4">
        <v>1554</v>
      </c>
      <c r="BG4">
        <v>712</v>
      </c>
      <c r="BH4">
        <v>628</v>
      </c>
    </row>
    <row r="5" spans="1:60" x14ac:dyDescent="0.3">
      <c r="A5" s="4">
        <f>HYPERLINK("http://legacy.baseballprospectus.com/p/59307",59307)</f>
        <v>59307</v>
      </c>
      <c r="B5" t="s">
        <v>375</v>
      </c>
      <c r="C5" t="s">
        <v>376</v>
      </c>
      <c r="D5" s="10">
        <v>32030</v>
      </c>
      <c r="E5" t="s">
        <v>50</v>
      </c>
      <c r="F5" t="s">
        <v>33</v>
      </c>
      <c r="G5" t="s">
        <v>33</v>
      </c>
      <c r="H5">
        <v>75</v>
      </c>
      <c r="I5">
        <v>225</v>
      </c>
      <c r="J5">
        <v>2018</v>
      </c>
      <c r="K5" s="4" t="str">
        <f>HYPERLINK("http://legacy.baseballprospectus.com/fantasy/dc/index.php?tm=ARI","ARI")</f>
        <v>ARI</v>
      </c>
      <c r="L5" t="s">
        <v>100</v>
      </c>
      <c r="M5" t="s">
        <v>34</v>
      </c>
      <c r="N5">
        <v>30</v>
      </c>
      <c r="O5">
        <v>633</v>
      </c>
      <c r="P5">
        <v>148</v>
      </c>
      <c r="Q5">
        <v>534</v>
      </c>
      <c r="R5">
        <v>95</v>
      </c>
      <c r="S5">
        <v>90</v>
      </c>
      <c r="T5">
        <v>34</v>
      </c>
      <c r="U5">
        <v>2</v>
      </c>
      <c r="V5">
        <v>27</v>
      </c>
      <c r="W5">
        <v>153</v>
      </c>
      <c r="X5">
        <v>272</v>
      </c>
      <c r="Y5">
        <v>92</v>
      </c>
      <c r="Z5">
        <v>91</v>
      </c>
      <c r="AA5">
        <v>16</v>
      </c>
      <c r="AB5">
        <v>4</v>
      </c>
      <c r="AC5">
        <v>142</v>
      </c>
      <c r="AD5">
        <v>0</v>
      </c>
      <c r="AE5">
        <v>3</v>
      </c>
      <c r="AF5">
        <v>15</v>
      </c>
      <c r="AG5">
        <v>19</v>
      </c>
      <c r="AH5">
        <v>4</v>
      </c>
      <c r="AI5" s="5">
        <v>0.28699999999999998</v>
      </c>
      <c r="AJ5" s="5">
        <v>0.39200000000000002</v>
      </c>
      <c r="AK5" s="5">
        <v>0.50900000000000001</v>
      </c>
      <c r="AL5" s="5">
        <v>0.308</v>
      </c>
      <c r="AM5" s="5">
        <v>0.34</v>
      </c>
      <c r="AN5">
        <v>1.4</v>
      </c>
      <c r="AO5">
        <v>-7.25</v>
      </c>
      <c r="AP5">
        <v>16.989999999999998</v>
      </c>
      <c r="AQ5">
        <v>31.73</v>
      </c>
      <c r="AR5">
        <v>9.4</v>
      </c>
      <c r="AS5" t="s">
        <v>3527</v>
      </c>
      <c r="AT5">
        <v>5.2</v>
      </c>
      <c r="AU5">
        <v>42.8</v>
      </c>
      <c r="AV5">
        <v>1</v>
      </c>
      <c r="AW5">
        <v>45</v>
      </c>
      <c r="AX5">
        <v>3</v>
      </c>
      <c r="AY5">
        <v>9</v>
      </c>
      <c r="AZ5" t="s">
        <v>3528</v>
      </c>
      <c r="BA5">
        <v>99</v>
      </c>
      <c r="BB5" t="s">
        <v>35</v>
      </c>
      <c r="BC5" t="s">
        <v>36</v>
      </c>
      <c r="BD5" s="4">
        <f>HYPERLINK("http://mlb.mlb.com/team/player.jsp?player_id=502671",502671)</f>
        <v>502671</v>
      </c>
      <c r="BE5">
        <v>1423</v>
      </c>
      <c r="BF5">
        <v>423</v>
      </c>
      <c r="BG5">
        <v>665</v>
      </c>
      <c r="BH5">
        <v>558</v>
      </c>
    </row>
    <row r="6" spans="1:60" x14ac:dyDescent="0.3">
      <c r="A6" s="4">
        <f>HYPERLINK("http://legacy.baseballprospectus.com/p/70917",70917)</f>
        <v>70917</v>
      </c>
      <c r="B6" t="s">
        <v>673</v>
      </c>
      <c r="C6" t="s">
        <v>1383</v>
      </c>
      <c r="D6" s="10">
        <v>34150</v>
      </c>
      <c r="E6" t="s">
        <v>53</v>
      </c>
      <c r="F6" t="s">
        <v>33</v>
      </c>
      <c r="G6" t="s">
        <v>33</v>
      </c>
      <c r="H6">
        <v>73</v>
      </c>
      <c r="I6">
        <v>185</v>
      </c>
      <c r="J6">
        <v>2018</v>
      </c>
      <c r="K6" s="4" t="str">
        <f>HYPERLINK("http://legacy.baseballprospectus.com/fantasy/dc/index.php?tm=WAS","WAS")</f>
        <v>WAS</v>
      </c>
      <c r="L6" t="s">
        <v>100</v>
      </c>
      <c r="M6" t="s">
        <v>34</v>
      </c>
      <c r="N6">
        <v>25</v>
      </c>
      <c r="O6">
        <v>638</v>
      </c>
      <c r="P6">
        <v>154</v>
      </c>
      <c r="Q6">
        <v>586</v>
      </c>
      <c r="R6">
        <v>102</v>
      </c>
      <c r="S6">
        <v>113</v>
      </c>
      <c r="T6">
        <v>30</v>
      </c>
      <c r="U6">
        <v>8</v>
      </c>
      <c r="V6">
        <v>19</v>
      </c>
      <c r="W6">
        <v>170</v>
      </c>
      <c r="X6">
        <v>273</v>
      </c>
      <c r="Y6">
        <v>68</v>
      </c>
      <c r="Z6">
        <v>43</v>
      </c>
      <c r="AA6">
        <v>2</v>
      </c>
      <c r="AB6">
        <v>3</v>
      </c>
      <c r="AC6">
        <v>132</v>
      </c>
      <c r="AD6">
        <v>2</v>
      </c>
      <c r="AE6">
        <v>3</v>
      </c>
      <c r="AF6">
        <v>12</v>
      </c>
      <c r="AG6">
        <v>51</v>
      </c>
      <c r="AH6">
        <v>10</v>
      </c>
      <c r="AI6" s="5">
        <v>0.28999999999999998</v>
      </c>
      <c r="AJ6" s="5">
        <v>0.34</v>
      </c>
      <c r="AK6" s="5">
        <v>0.46600000000000003</v>
      </c>
      <c r="AL6" s="5">
        <v>0.27800000000000002</v>
      </c>
      <c r="AM6" s="5">
        <v>0.34300000000000003</v>
      </c>
      <c r="AN6">
        <v>7.9</v>
      </c>
      <c r="AO6">
        <v>4.4000000000000004</v>
      </c>
      <c r="AP6">
        <v>17.13</v>
      </c>
      <c r="AQ6">
        <v>11.89</v>
      </c>
      <c r="AR6">
        <v>10.7</v>
      </c>
      <c r="AS6" t="s">
        <v>3525</v>
      </c>
      <c r="AT6">
        <v>5.2</v>
      </c>
      <c r="AU6">
        <v>41.3</v>
      </c>
      <c r="AV6">
        <v>2</v>
      </c>
      <c r="AW6">
        <v>58</v>
      </c>
      <c r="AX6">
        <v>2</v>
      </c>
      <c r="AY6">
        <v>12</v>
      </c>
      <c r="AZ6" t="s">
        <v>3526</v>
      </c>
      <c r="BA6">
        <v>99</v>
      </c>
      <c r="BB6" t="s">
        <v>35</v>
      </c>
      <c r="BC6" t="s">
        <v>36</v>
      </c>
      <c r="BD6" s="4">
        <f>HYPERLINK("http://mlb.mlb.com/team/player.jsp?player_id=607208",607208)</f>
        <v>607208</v>
      </c>
      <c r="BE6">
        <v>1529</v>
      </c>
      <c r="BF6">
        <v>529</v>
      </c>
      <c r="BG6">
        <v>447</v>
      </c>
      <c r="BH6">
        <v>412</v>
      </c>
    </row>
    <row r="7" spans="1:60" x14ac:dyDescent="0.3">
      <c r="A7" s="4">
        <f>HYPERLINK("http://legacy.baseballprospectus.com/p/45487",45487)</f>
        <v>45487</v>
      </c>
      <c r="B7" t="s">
        <v>683</v>
      </c>
      <c r="C7" t="s">
        <v>212</v>
      </c>
      <c r="D7" s="10">
        <v>30569</v>
      </c>
      <c r="E7" t="s">
        <v>50</v>
      </c>
      <c r="F7" t="s">
        <v>9</v>
      </c>
      <c r="G7" t="s">
        <v>33</v>
      </c>
      <c r="H7">
        <v>74</v>
      </c>
      <c r="I7">
        <v>220</v>
      </c>
      <c r="J7">
        <v>2018</v>
      </c>
      <c r="K7" s="4" t="str">
        <f>HYPERLINK("http://legacy.baseballprospectus.com/fantasy/dc/index.php?tm=CIN","CIN")</f>
        <v>CIN</v>
      </c>
      <c r="L7" t="s">
        <v>100</v>
      </c>
      <c r="M7" t="s">
        <v>34</v>
      </c>
      <c r="N7">
        <v>34</v>
      </c>
      <c r="O7">
        <v>645</v>
      </c>
      <c r="P7">
        <v>151</v>
      </c>
      <c r="Q7">
        <v>520</v>
      </c>
      <c r="R7">
        <v>96</v>
      </c>
      <c r="S7">
        <v>97</v>
      </c>
      <c r="T7">
        <v>28</v>
      </c>
      <c r="U7">
        <v>2</v>
      </c>
      <c r="V7">
        <v>25</v>
      </c>
      <c r="W7">
        <v>152</v>
      </c>
      <c r="X7">
        <v>259</v>
      </c>
      <c r="Y7">
        <v>92</v>
      </c>
      <c r="Z7">
        <v>116</v>
      </c>
      <c r="AA7">
        <v>13</v>
      </c>
      <c r="AB7">
        <v>6</v>
      </c>
      <c r="AC7">
        <v>113</v>
      </c>
      <c r="AD7">
        <v>0</v>
      </c>
      <c r="AE7">
        <v>4</v>
      </c>
      <c r="AF7">
        <v>15</v>
      </c>
      <c r="AG7">
        <v>6</v>
      </c>
      <c r="AH7">
        <v>2</v>
      </c>
      <c r="AI7" s="5">
        <v>0.29199999999999998</v>
      </c>
      <c r="AJ7" s="5">
        <v>0.42399999999999999</v>
      </c>
      <c r="AK7" s="5">
        <v>0.498</v>
      </c>
      <c r="AL7" s="5">
        <v>0.313</v>
      </c>
      <c r="AM7" s="5">
        <v>0.32800000000000001</v>
      </c>
      <c r="AN7">
        <v>-0.5</v>
      </c>
      <c r="AO7">
        <v>-7.38</v>
      </c>
      <c r="AP7">
        <v>17.32</v>
      </c>
      <c r="AQ7">
        <v>36.049999999999997</v>
      </c>
      <c r="AR7">
        <v>2.2999999999999998</v>
      </c>
      <c r="AS7" t="s">
        <v>68</v>
      </c>
      <c r="AT7">
        <v>4.8</v>
      </c>
      <c r="AU7">
        <v>45.5</v>
      </c>
      <c r="AV7">
        <v>1</v>
      </c>
      <c r="AW7">
        <v>27</v>
      </c>
      <c r="AX7">
        <v>5</v>
      </c>
      <c r="AY7">
        <v>2</v>
      </c>
      <c r="AZ7" t="s">
        <v>3530</v>
      </c>
      <c r="BA7">
        <v>98</v>
      </c>
      <c r="BB7" t="s">
        <v>35</v>
      </c>
      <c r="BC7" t="s">
        <v>36</v>
      </c>
      <c r="BD7" s="4">
        <f>HYPERLINK("http://mlb.mlb.com/team/player.jsp?player_id=458015",458015)</f>
        <v>458015</v>
      </c>
      <c r="BE7">
        <v>1420</v>
      </c>
      <c r="BF7">
        <v>420</v>
      </c>
      <c r="BG7">
        <v>707</v>
      </c>
      <c r="BH7">
        <v>559</v>
      </c>
    </row>
    <row r="8" spans="1:60" x14ac:dyDescent="0.3">
      <c r="A8" s="4">
        <f>HYPERLINK("http://legacy.baseballprospectus.com/p/100502",100502)</f>
        <v>100502</v>
      </c>
      <c r="B8" t="s">
        <v>1133</v>
      </c>
      <c r="C8" t="s">
        <v>165</v>
      </c>
      <c r="D8" s="10">
        <v>34599</v>
      </c>
      <c r="E8" t="s">
        <v>53</v>
      </c>
      <c r="F8" t="s">
        <v>33</v>
      </c>
      <c r="G8" t="s">
        <v>33</v>
      </c>
      <c r="H8">
        <v>76</v>
      </c>
      <c r="I8">
        <v>215</v>
      </c>
      <c r="J8">
        <v>2018</v>
      </c>
      <c r="K8" s="4" t="str">
        <f>HYPERLINK("http://legacy.baseballprospectus.com/fantasy/dc/index.php?tm=HOU","HOU")</f>
        <v>HOU</v>
      </c>
      <c r="L8" t="s">
        <v>95</v>
      </c>
      <c r="M8" t="s">
        <v>34</v>
      </c>
      <c r="N8">
        <v>23</v>
      </c>
      <c r="O8">
        <v>616</v>
      </c>
      <c r="P8">
        <v>149</v>
      </c>
      <c r="Q8">
        <v>546</v>
      </c>
      <c r="R8">
        <v>85</v>
      </c>
      <c r="S8">
        <v>95</v>
      </c>
      <c r="T8">
        <v>33</v>
      </c>
      <c r="U8">
        <v>2</v>
      </c>
      <c r="V8">
        <v>26</v>
      </c>
      <c r="W8">
        <v>156</v>
      </c>
      <c r="X8">
        <v>271</v>
      </c>
      <c r="Y8">
        <v>89</v>
      </c>
      <c r="Z8">
        <v>64</v>
      </c>
      <c r="AA8">
        <v>5</v>
      </c>
      <c r="AB8">
        <v>4</v>
      </c>
      <c r="AC8">
        <v>119</v>
      </c>
      <c r="AD8">
        <v>0</v>
      </c>
      <c r="AE8">
        <v>2</v>
      </c>
      <c r="AF8">
        <v>15</v>
      </c>
      <c r="AG8">
        <v>11</v>
      </c>
      <c r="AH8">
        <v>3</v>
      </c>
      <c r="AI8" s="5">
        <v>0.28599999999999998</v>
      </c>
      <c r="AJ8" s="5">
        <v>0.36399999999999999</v>
      </c>
      <c r="AK8" s="5">
        <v>0.496</v>
      </c>
      <c r="AL8" s="5">
        <v>0.30199999999999999</v>
      </c>
      <c r="AM8" s="5">
        <v>0.32300000000000001</v>
      </c>
      <c r="AN8">
        <v>0.3</v>
      </c>
      <c r="AO8">
        <v>4.24</v>
      </c>
      <c r="AP8">
        <v>16.54</v>
      </c>
      <c r="AQ8">
        <v>27.23</v>
      </c>
      <c r="AR8">
        <v>-2.9</v>
      </c>
      <c r="AS8" t="s">
        <v>63</v>
      </c>
      <c r="AT8">
        <v>4.5</v>
      </c>
      <c r="AU8">
        <v>48.3</v>
      </c>
      <c r="AV8">
        <v>4</v>
      </c>
      <c r="AW8">
        <v>64</v>
      </c>
      <c r="AX8">
        <v>0</v>
      </c>
      <c r="AY8">
        <v>0</v>
      </c>
      <c r="AZ8" t="s">
        <v>3531</v>
      </c>
      <c r="BA8">
        <v>99</v>
      </c>
      <c r="BB8" t="s">
        <v>35</v>
      </c>
      <c r="BC8" t="s">
        <v>36</v>
      </c>
      <c r="BD8" s="4">
        <f>HYPERLINK("http://mlb.mlb.com/team/player.jsp?player_id=621043",621043)</f>
        <v>621043</v>
      </c>
      <c r="BE8">
        <v>508</v>
      </c>
      <c r="BF8">
        <v>1508</v>
      </c>
      <c r="BG8">
        <v>481</v>
      </c>
      <c r="BH8">
        <v>422</v>
      </c>
    </row>
    <row r="9" spans="1:60" x14ac:dyDescent="0.3">
      <c r="A9" s="4">
        <f>HYPERLINK("http://legacy.baseballprospectus.com/p/70399",70399)</f>
        <v>70399</v>
      </c>
      <c r="B9" t="s">
        <v>1052</v>
      </c>
      <c r="C9" t="s">
        <v>244</v>
      </c>
      <c r="D9" s="10">
        <v>34287</v>
      </c>
      <c r="E9" t="s">
        <v>53</v>
      </c>
      <c r="F9" t="s">
        <v>37</v>
      </c>
      <c r="G9" t="s">
        <v>33</v>
      </c>
      <c r="H9">
        <v>71</v>
      </c>
      <c r="I9">
        <v>190</v>
      </c>
      <c r="J9">
        <v>2018</v>
      </c>
      <c r="K9" s="4" t="str">
        <f>HYPERLINK("http://legacy.baseballprospectus.com/fantasy/dc/index.php?tm=CLE","CLE")</f>
        <v>CLE</v>
      </c>
      <c r="L9" t="s">
        <v>95</v>
      </c>
      <c r="M9" t="s">
        <v>34</v>
      </c>
      <c r="N9">
        <v>24</v>
      </c>
      <c r="O9">
        <v>689</v>
      </c>
      <c r="P9">
        <v>154</v>
      </c>
      <c r="Q9">
        <v>618</v>
      </c>
      <c r="R9">
        <v>97</v>
      </c>
      <c r="S9">
        <v>116</v>
      </c>
      <c r="T9">
        <v>35</v>
      </c>
      <c r="U9">
        <v>5</v>
      </c>
      <c r="V9">
        <v>21</v>
      </c>
      <c r="W9">
        <v>177</v>
      </c>
      <c r="X9">
        <v>285</v>
      </c>
      <c r="Y9">
        <v>78</v>
      </c>
      <c r="Z9">
        <v>55</v>
      </c>
      <c r="AA9">
        <v>4</v>
      </c>
      <c r="AB9">
        <v>4</v>
      </c>
      <c r="AC9">
        <v>96</v>
      </c>
      <c r="AD9">
        <v>7</v>
      </c>
      <c r="AE9">
        <v>5</v>
      </c>
      <c r="AF9">
        <v>15</v>
      </c>
      <c r="AG9">
        <v>17</v>
      </c>
      <c r="AH9">
        <v>5</v>
      </c>
      <c r="AI9" s="5">
        <v>0.28599999999999998</v>
      </c>
      <c r="AJ9" s="5">
        <v>0.34599999999999997</v>
      </c>
      <c r="AK9" s="5">
        <v>0.46100000000000002</v>
      </c>
      <c r="AL9" s="5">
        <v>0.27500000000000002</v>
      </c>
      <c r="AM9" s="5">
        <v>0.30399999999999999</v>
      </c>
      <c r="AN9">
        <v>1.3</v>
      </c>
      <c r="AO9">
        <v>4.75</v>
      </c>
      <c r="AP9">
        <v>18.5</v>
      </c>
      <c r="AQ9">
        <v>11.14</v>
      </c>
      <c r="AR9">
        <v>7.9</v>
      </c>
      <c r="AS9" t="s">
        <v>3532</v>
      </c>
      <c r="AT9">
        <v>4.4000000000000004</v>
      </c>
      <c r="AU9">
        <v>35.700000000000003</v>
      </c>
      <c r="AV9">
        <v>1</v>
      </c>
      <c r="AW9">
        <v>54</v>
      </c>
      <c r="AX9">
        <v>3</v>
      </c>
      <c r="AY9">
        <v>6</v>
      </c>
      <c r="AZ9" t="s">
        <v>3533</v>
      </c>
      <c r="BA9">
        <v>100</v>
      </c>
      <c r="BB9" t="s">
        <v>35</v>
      </c>
      <c r="BC9" t="s">
        <v>36</v>
      </c>
      <c r="BD9" s="4">
        <f>HYPERLINK("http://mlb.mlb.com/team/player.jsp?player_id=596019",596019)</f>
        <v>596019</v>
      </c>
      <c r="BE9">
        <v>493</v>
      </c>
      <c r="BF9">
        <v>1493</v>
      </c>
      <c r="BG9">
        <v>723</v>
      </c>
      <c r="BH9">
        <v>651</v>
      </c>
    </row>
    <row r="10" spans="1:60" x14ac:dyDescent="0.3">
      <c r="A10" s="4">
        <f>HYPERLINK("http://legacy.baseballprospectus.com/p/66018",66018)</f>
        <v>66018</v>
      </c>
      <c r="B10" t="s">
        <v>409</v>
      </c>
      <c r="C10" t="s">
        <v>199</v>
      </c>
      <c r="D10" s="10">
        <v>33893</v>
      </c>
      <c r="E10" t="s">
        <v>57</v>
      </c>
      <c r="F10" t="s">
        <v>9</v>
      </c>
      <c r="G10" t="s">
        <v>33</v>
      </c>
      <c r="H10">
        <v>75</v>
      </c>
      <c r="I10">
        <v>215</v>
      </c>
      <c r="J10">
        <v>2018</v>
      </c>
      <c r="K10" s="4" t="str">
        <f>HYPERLINK("http://legacy.baseballprospectus.com/fantasy/dc/index.php?tm=WAS","WAS")</f>
        <v>WAS</v>
      </c>
      <c r="L10" t="s">
        <v>100</v>
      </c>
      <c r="M10" t="s">
        <v>34</v>
      </c>
      <c r="N10">
        <v>25</v>
      </c>
      <c r="O10">
        <v>613</v>
      </c>
      <c r="P10">
        <v>147</v>
      </c>
      <c r="Q10">
        <v>514</v>
      </c>
      <c r="R10">
        <v>95</v>
      </c>
      <c r="S10">
        <v>86</v>
      </c>
      <c r="T10">
        <v>28</v>
      </c>
      <c r="U10">
        <v>2</v>
      </c>
      <c r="V10">
        <v>31</v>
      </c>
      <c r="W10">
        <v>147</v>
      </c>
      <c r="X10">
        <v>272</v>
      </c>
      <c r="Y10">
        <v>97</v>
      </c>
      <c r="Z10">
        <v>90</v>
      </c>
      <c r="AA10">
        <v>12</v>
      </c>
      <c r="AB10">
        <v>4</v>
      </c>
      <c r="AC10">
        <v>124</v>
      </c>
      <c r="AD10">
        <v>1</v>
      </c>
      <c r="AE10">
        <v>3</v>
      </c>
      <c r="AF10">
        <v>12</v>
      </c>
      <c r="AG10">
        <v>10</v>
      </c>
      <c r="AH10">
        <v>5</v>
      </c>
      <c r="AI10" s="5">
        <v>0.28599999999999998</v>
      </c>
      <c r="AJ10" s="5">
        <v>0.39400000000000002</v>
      </c>
      <c r="AK10" s="5">
        <v>0.52900000000000003</v>
      </c>
      <c r="AL10" s="5">
        <v>0.31</v>
      </c>
      <c r="AM10" s="5">
        <v>0.318</v>
      </c>
      <c r="AN10">
        <v>-0.8</v>
      </c>
      <c r="AO10">
        <v>-2.19</v>
      </c>
      <c r="AP10">
        <v>16.46</v>
      </c>
      <c r="AQ10">
        <v>31.98</v>
      </c>
      <c r="AR10">
        <v>-1.6</v>
      </c>
      <c r="AS10" t="s">
        <v>1223</v>
      </c>
      <c r="AT10">
        <v>4.4000000000000004</v>
      </c>
      <c r="AU10">
        <v>45.4</v>
      </c>
      <c r="AV10">
        <v>2</v>
      </c>
      <c r="AW10">
        <v>57</v>
      </c>
      <c r="AX10">
        <v>3</v>
      </c>
      <c r="AY10">
        <v>3</v>
      </c>
      <c r="AZ10" t="s">
        <v>3535</v>
      </c>
      <c r="BA10">
        <v>100</v>
      </c>
      <c r="BB10" t="s">
        <v>35</v>
      </c>
      <c r="BC10" t="s">
        <v>36</v>
      </c>
      <c r="BD10" s="4">
        <f>HYPERLINK("http://mlb.mlb.com/team/player.jsp?player_id=547180",547180)</f>
        <v>547180</v>
      </c>
      <c r="BE10">
        <v>1590</v>
      </c>
      <c r="BF10">
        <v>590</v>
      </c>
      <c r="BG10">
        <v>492</v>
      </c>
      <c r="BH10">
        <v>420</v>
      </c>
    </row>
    <row r="11" spans="1:60" x14ac:dyDescent="0.3">
      <c r="A11" s="4">
        <f>HYPERLINK("http://legacy.baseballprospectus.com/p/68520",68520)</f>
        <v>68520</v>
      </c>
      <c r="B11" t="s">
        <v>1243</v>
      </c>
      <c r="C11" t="s">
        <v>828</v>
      </c>
      <c r="D11" s="10">
        <v>33607</v>
      </c>
      <c r="E11" t="s">
        <v>51</v>
      </c>
      <c r="F11" t="s">
        <v>33</v>
      </c>
      <c r="G11" t="s">
        <v>33</v>
      </c>
      <c r="H11">
        <v>77</v>
      </c>
      <c r="I11">
        <v>230</v>
      </c>
      <c r="J11">
        <v>2018</v>
      </c>
      <c r="K11" s="4" t="str">
        <f>HYPERLINK("http://legacy.baseballprospectus.com/fantasy/dc/index.php?tm=CHN","CHN")</f>
        <v>CHN</v>
      </c>
      <c r="L11" t="s">
        <v>100</v>
      </c>
      <c r="M11" t="s">
        <v>34</v>
      </c>
      <c r="N11">
        <v>26</v>
      </c>
      <c r="O11">
        <v>627</v>
      </c>
      <c r="P11">
        <v>148</v>
      </c>
      <c r="Q11">
        <v>535</v>
      </c>
      <c r="R11">
        <v>102</v>
      </c>
      <c r="S11">
        <v>86</v>
      </c>
      <c r="T11">
        <v>31</v>
      </c>
      <c r="U11">
        <v>3</v>
      </c>
      <c r="V11">
        <v>30</v>
      </c>
      <c r="W11">
        <v>150</v>
      </c>
      <c r="X11">
        <v>277</v>
      </c>
      <c r="Y11">
        <v>89</v>
      </c>
      <c r="Z11">
        <v>75</v>
      </c>
      <c r="AA11">
        <v>3</v>
      </c>
      <c r="AB11">
        <v>13</v>
      </c>
      <c r="AC11">
        <v>147</v>
      </c>
      <c r="AD11">
        <v>0</v>
      </c>
      <c r="AE11">
        <v>3</v>
      </c>
      <c r="AF11">
        <v>10</v>
      </c>
      <c r="AG11">
        <v>8</v>
      </c>
      <c r="AH11">
        <v>4</v>
      </c>
      <c r="AI11" s="5">
        <v>0.28000000000000003</v>
      </c>
      <c r="AJ11" s="5">
        <v>0.38</v>
      </c>
      <c r="AK11" s="5">
        <v>0.51800000000000002</v>
      </c>
      <c r="AL11" s="5">
        <v>0.30499999999999999</v>
      </c>
      <c r="AM11" s="5">
        <v>0.33200000000000002</v>
      </c>
      <c r="AN11">
        <v>-0.7</v>
      </c>
      <c r="AO11">
        <v>-0.26</v>
      </c>
      <c r="AP11">
        <v>16.829999999999998</v>
      </c>
      <c r="AQ11">
        <v>29.37</v>
      </c>
      <c r="AR11">
        <v>-2.1</v>
      </c>
      <c r="AS11" t="s">
        <v>3787</v>
      </c>
      <c r="AT11">
        <v>4.3</v>
      </c>
      <c r="AU11">
        <v>45.2</v>
      </c>
      <c r="AV11">
        <v>1</v>
      </c>
      <c r="AW11">
        <v>57</v>
      </c>
      <c r="AX11">
        <v>0</v>
      </c>
      <c r="AY11">
        <v>5</v>
      </c>
      <c r="AZ11" t="s">
        <v>3536</v>
      </c>
      <c r="BA11">
        <v>100</v>
      </c>
      <c r="BB11" t="s">
        <v>35</v>
      </c>
      <c r="BC11" t="s">
        <v>36</v>
      </c>
      <c r="BD11" s="4">
        <f>HYPERLINK("http://mlb.mlb.com/team/player.jsp?player_id=592178",592178)</f>
        <v>592178</v>
      </c>
      <c r="BE11">
        <v>1486</v>
      </c>
      <c r="BF11">
        <v>486</v>
      </c>
      <c r="BG11">
        <v>665</v>
      </c>
      <c r="BH11">
        <v>549</v>
      </c>
    </row>
    <row r="12" spans="1:60" x14ac:dyDescent="0.3">
      <c r="A12" s="4">
        <f>HYPERLINK("http://legacy.baseballprospectus.com/p/65992",65992)</f>
        <v>65992</v>
      </c>
      <c r="B12" t="s">
        <v>649</v>
      </c>
      <c r="C12" t="s">
        <v>463</v>
      </c>
      <c r="D12" s="10">
        <v>32770</v>
      </c>
      <c r="E12" t="s">
        <v>65</v>
      </c>
      <c r="F12" t="s">
        <v>33</v>
      </c>
      <c r="G12" t="s">
        <v>33</v>
      </c>
      <c r="H12">
        <v>75</v>
      </c>
      <c r="I12">
        <v>215</v>
      </c>
      <c r="J12">
        <v>2018</v>
      </c>
      <c r="K12" s="4" t="str">
        <f>HYPERLINK("http://legacy.baseballprospectus.com/fantasy/dc/index.php?tm=HOU","HOU")</f>
        <v>HOU</v>
      </c>
      <c r="L12" t="s">
        <v>95</v>
      </c>
      <c r="M12" t="s">
        <v>34</v>
      </c>
      <c r="N12">
        <v>28</v>
      </c>
      <c r="O12">
        <v>695</v>
      </c>
      <c r="P12">
        <v>154</v>
      </c>
      <c r="Q12">
        <v>602</v>
      </c>
      <c r="R12">
        <v>108</v>
      </c>
      <c r="S12">
        <v>96</v>
      </c>
      <c r="T12">
        <v>28</v>
      </c>
      <c r="U12">
        <v>3</v>
      </c>
      <c r="V12">
        <v>31</v>
      </c>
      <c r="W12">
        <v>158</v>
      </c>
      <c r="X12">
        <v>285</v>
      </c>
      <c r="Y12">
        <v>91</v>
      </c>
      <c r="Z12">
        <v>78</v>
      </c>
      <c r="AA12">
        <v>3</v>
      </c>
      <c r="AB12">
        <v>12</v>
      </c>
      <c r="AC12">
        <v>163</v>
      </c>
      <c r="AD12">
        <v>0</v>
      </c>
      <c r="AE12">
        <v>3</v>
      </c>
      <c r="AF12">
        <v>16</v>
      </c>
      <c r="AG12">
        <v>10</v>
      </c>
      <c r="AH12">
        <v>7</v>
      </c>
      <c r="AI12" s="5">
        <v>0.26200000000000001</v>
      </c>
      <c r="AJ12" s="5">
        <v>0.35699999999999998</v>
      </c>
      <c r="AK12" s="5">
        <v>0.47299999999999998</v>
      </c>
      <c r="AL12" s="5">
        <v>0.28999999999999998</v>
      </c>
      <c r="AM12" s="5">
        <v>0.31</v>
      </c>
      <c r="AN12">
        <v>-1.5</v>
      </c>
      <c r="AO12">
        <v>0.05</v>
      </c>
      <c r="AP12">
        <v>18.66</v>
      </c>
      <c r="AQ12">
        <v>21.74</v>
      </c>
      <c r="AR12">
        <v>3.4</v>
      </c>
      <c r="AS12" t="s">
        <v>1836</v>
      </c>
      <c r="AT12">
        <v>4.2</v>
      </c>
      <c r="AU12">
        <v>38.9</v>
      </c>
      <c r="AV12">
        <v>1</v>
      </c>
      <c r="AW12">
        <v>51</v>
      </c>
      <c r="AX12">
        <v>1</v>
      </c>
      <c r="AY12">
        <v>2</v>
      </c>
      <c r="AZ12" t="s">
        <v>3537</v>
      </c>
      <c r="BA12">
        <v>99</v>
      </c>
      <c r="BB12" t="s">
        <v>35</v>
      </c>
      <c r="BC12" t="s">
        <v>36</v>
      </c>
      <c r="BD12" s="4">
        <f>HYPERLINK("http://mlb.mlb.com/team/player.jsp?player_id=543807",543807)</f>
        <v>543807</v>
      </c>
      <c r="BE12">
        <v>567</v>
      </c>
      <c r="BF12">
        <v>1567</v>
      </c>
      <c r="BG12">
        <v>629</v>
      </c>
      <c r="BH12">
        <v>548</v>
      </c>
    </row>
    <row r="13" spans="1:60" x14ac:dyDescent="0.3">
      <c r="A13" s="4">
        <f>HYPERLINK("http://legacy.baseballprospectus.com/p/68087",68087)</f>
        <v>68087</v>
      </c>
      <c r="B13" t="s">
        <v>616</v>
      </c>
      <c r="C13" t="s">
        <v>203</v>
      </c>
      <c r="D13" s="10">
        <v>33940</v>
      </c>
      <c r="E13" t="s">
        <v>54</v>
      </c>
      <c r="F13" t="s">
        <v>33</v>
      </c>
      <c r="G13" t="s">
        <v>33</v>
      </c>
      <c r="H13">
        <v>74</v>
      </c>
      <c r="I13">
        <v>230</v>
      </c>
      <c r="J13">
        <v>2018</v>
      </c>
      <c r="K13" s="4" t="str">
        <f>HYPERLINK("http://legacy.baseballprospectus.com/fantasy/dc/index.php?tm=NYA","NYA")</f>
        <v>NYA</v>
      </c>
      <c r="L13" t="s">
        <v>95</v>
      </c>
      <c r="M13" t="s">
        <v>34</v>
      </c>
      <c r="N13">
        <v>25</v>
      </c>
      <c r="O13">
        <v>581</v>
      </c>
      <c r="P13">
        <v>146</v>
      </c>
      <c r="Q13">
        <v>525</v>
      </c>
      <c r="R13">
        <v>84</v>
      </c>
      <c r="S13">
        <v>79</v>
      </c>
      <c r="T13">
        <v>27</v>
      </c>
      <c r="U13">
        <v>1</v>
      </c>
      <c r="V13">
        <v>35</v>
      </c>
      <c r="W13">
        <v>142</v>
      </c>
      <c r="X13">
        <v>276</v>
      </c>
      <c r="Y13">
        <v>98</v>
      </c>
      <c r="Z13">
        <v>45</v>
      </c>
      <c r="AA13">
        <v>3</v>
      </c>
      <c r="AB13">
        <v>7</v>
      </c>
      <c r="AC13">
        <v>133</v>
      </c>
      <c r="AD13">
        <v>0</v>
      </c>
      <c r="AE13">
        <v>3</v>
      </c>
      <c r="AF13">
        <v>12</v>
      </c>
      <c r="AG13">
        <v>4</v>
      </c>
      <c r="AH13">
        <v>1</v>
      </c>
      <c r="AI13" s="5">
        <v>0.27</v>
      </c>
      <c r="AJ13" s="5">
        <v>0.33400000000000002</v>
      </c>
      <c r="AK13" s="5">
        <v>0.52600000000000002</v>
      </c>
      <c r="AL13" s="5">
        <v>0.29199999999999998</v>
      </c>
      <c r="AM13" s="5">
        <v>0.29599999999999999</v>
      </c>
      <c r="AN13">
        <v>-0.8</v>
      </c>
      <c r="AO13">
        <v>3.16</v>
      </c>
      <c r="AP13">
        <v>15.6</v>
      </c>
      <c r="AQ13">
        <v>19.739999999999998</v>
      </c>
      <c r="AR13">
        <v>4.3</v>
      </c>
      <c r="AS13" t="s">
        <v>1698</v>
      </c>
      <c r="AT13">
        <v>4.2</v>
      </c>
      <c r="AU13">
        <v>37.700000000000003</v>
      </c>
      <c r="AV13">
        <v>2</v>
      </c>
      <c r="AW13">
        <v>53</v>
      </c>
      <c r="AX13">
        <v>4</v>
      </c>
      <c r="AY13">
        <v>7</v>
      </c>
      <c r="AZ13" t="s">
        <v>3534</v>
      </c>
      <c r="BA13">
        <v>98</v>
      </c>
      <c r="BB13" t="s">
        <v>35</v>
      </c>
      <c r="BC13" t="s">
        <v>36</v>
      </c>
      <c r="BD13" s="4">
        <f>HYPERLINK("http://mlb.mlb.com/team/player.jsp?player_id=596142",596142)</f>
        <v>596142</v>
      </c>
      <c r="BE13">
        <v>350</v>
      </c>
      <c r="BF13">
        <v>1350</v>
      </c>
      <c r="BG13">
        <v>525</v>
      </c>
      <c r="BH13">
        <v>471</v>
      </c>
    </row>
    <row r="14" spans="1:60" x14ac:dyDescent="0.3">
      <c r="A14" s="4">
        <f>HYPERLINK("http://legacy.baseballprospectus.com/p/68603",68603)</f>
        <v>68603</v>
      </c>
      <c r="B14" t="s">
        <v>1351</v>
      </c>
      <c r="C14" t="s">
        <v>277</v>
      </c>
      <c r="D14" s="10">
        <v>33720</v>
      </c>
      <c r="E14" t="s">
        <v>57</v>
      </c>
      <c r="F14" t="s">
        <v>33</v>
      </c>
      <c r="G14" t="s">
        <v>33</v>
      </c>
      <c r="H14">
        <v>79</v>
      </c>
      <c r="I14">
        <v>282</v>
      </c>
      <c r="J14">
        <v>2018</v>
      </c>
      <c r="K14" s="4" t="str">
        <f>HYPERLINK("http://legacy.baseballprospectus.com/fantasy/dc/index.php?tm=NYA","NYA")</f>
        <v>NYA</v>
      </c>
      <c r="L14" t="s">
        <v>95</v>
      </c>
      <c r="M14" t="s">
        <v>34</v>
      </c>
      <c r="N14">
        <v>26</v>
      </c>
      <c r="O14">
        <v>626</v>
      </c>
      <c r="P14">
        <v>154</v>
      </c>
      <c r="Q14">
        <v>531</v>
      </c>
      <c r="R14">
        <v>104</v>
      </c>
      <c r="S14">
        <v>70</v>
      </c>
      <c r="T14">
        <v>22</v>
      </c>
      <c r="U14">
        <v>2</v>
      </c>
      <c r="V14">
        <v>37</v>
      </c>
      <c r="W14">
        <v>131</v>
      </c>
      <c r="X14">
        <v>268</v>
      </c>
      <c r="Y14">
        <v>95</v>
      </c>
      <c r="Z14">
        <v>85</v>
      </c>
      <c r="AA14">
        <v>6</v>
      </c>
      <c r="AB14">
        <v>6</v>
      </c>
      <c r="AC14">
        <v>194</v>
      </c>
      <c r="AD14">
        <v>0</v>
      </c>
      <c r="AE14">
        <v>3</v>
      </c>
      <c r="AF14">
        <v>13</v>
      </c>
      <c r="AG14">
        <v>6</v>
      </c>
      <c r="AH14">
        <v>2</v>
      </c>
      <c r="AI14" s="5">
        <v>0.247</v>
      </c>
      <c r="AJ14" s="5">
        <v>0.35499999999999998</v>
      </c>
      <c r="AK14" s="5">
        <v>0.505</v>
      </c>
      <c r="AL14" s="5">
        <v>0.29399999999999998</v>
      </c>
      <c r="AM14" s="5">
        <v>0.311</v>
      </c>
      <c r="AN14">
        <v>-0.5</v>
      </c>
      <c r="AO14">
        <v>-2.89</v>
      </c>
      <c r="AP14">
        <v>16.809999999999999</v>
      </c>
      <c r="AQ14">
        <v>22.41</v>
      </c>
      <c r="AR14">
        <v>4.8</v>
      </c>
      <c r="AS14" t="s">
        <v>2164</v>
      </c>
      <c r="AT14">
        <v>4.0999999999999996</v>
      </c>
      <c r="AU14">
        <v>35.799999999999997</v>
      </c>
      <c r="AV14">
        <v>4</v>
      </c>
      <c r="AW14">
        <v>48</v>
      </c>
      <c r="AX14">
        <v>9</v>
      </c>
      <c r="AY14">
        <v>9</v>
      </c>
      <c r="AZ14" t="s">
        <v>3540</v>
      </c>
      <c r="BA14">
        <v>90</v>
      </c>
      <c r="BB14" t="s">
        <v>35</v>
      </c>
      <c r="BC14" t="s">
        <v>36</v>
      </c>
      <c r="BD14" s="4">
        <f>HYPERLINK("http://mlb.mlb.com/team/player.jsp?player_id=592450",592450)</f>
        <v>592450</v>
      </c>
      <c r="BE14">
        <v>557</v>
      </c>
      <c r="BF14">
        <v>1557</v>
      </c>
      <c r="BG14">
        <v>678</v>
      </c>
      <c r="BH14">
        <v>542</v>
      </c>
    </row>
    <row r="15" spans="1:60" x14ac:dyDescent="0.3">
      <c r="A15" s="4">
        <f>HYPERLINK("http://legacy.baseballprospectus.com/p/57514",57514)</f>
        <v>57514</v>
      </c>
      <c r="B15" t="s">
        <v>605</v>
      </c>
      <c r="C15" t="s">
        <v>384</v>
      </c>
      <c r="D15" s="10">
        <v>32728</v>
      </c>
      <c r="E15" t="s">
        <v>50</v>
      </c>
      <c r="F15" t="s">
        <v>9</v>
      </c>
      <c r="G15" t="s">
        <v>9</v>
      </c>
      <c r="H15">
        <v>75</v>
      </c>
      <c r="I15">
        <v>240</v>
      </c>
      <c r="J15">
        <v>2018</v>
      </c>
      <c r="K15" s="4" t="str">
        <f>HYPERLINK("http://legacy.baseballprospectus.com/fantasy/dc/index.php?tm=CHN","CHN")</f>
        <v>CHN</v>
      </c>
      <c r="L15" t="s">
        <v>100</v>
      </c>
      <c r="M15" t="s">
        <v>34</v>
      </c>
      <c r="N15">
        <v>28</v>
      </c>
      <c r="O15">
        <v>654</v>
      </c>
      <c r="P15">
        <v>153</v>
      </c>
      <c r="Q15">
        <v>558</v>
      </c>
      <c r="R15">
        <v>94</v>
      </c>
      <c r="S15">
        <v>86</v>
      </c>
      <c r="T15">
        <v>34</v>
      </c>
      <c r="U15">
        <v>2</v>
      </c>
      <c r="V15">
        <v>30</v>
      </c>
      <c r="W15">
        <v>152</v>
      </c>
      <c r="X15">
        <v>280</v>
      </c>
      <c r="Y15">
        <v>98</v>
      </c>
      <c r="Z15">
        <v>76</v>
      </c>
      <c r="AA15">
        <v>8</v>
      </c>
      <c r="AB15">
        <v>17</v>
      </c>
      <c r="AC15">
        <v>103</v>
      </c>
      <c r="AD15">
        <v>0</v>
      </c>
      <c r="AE15">
        <v>3</v>
      </c>
      <c r="AF15">
        <v>15</v>
      </c>
      <c r="AG15">
        <v>8</v>
      </c>
      <c r="AH15">
        <v>4</v>
      </c>
      <c r="AI15" s="5">
        <v>0.27200000000000002</v>
      </c>
      <c r="AJ15" s="5">
        <v>0.375</v>
      </c>
      <c r="AK15" s="5">
        <v>0.502</v>
      </c>
      <c r="AL15" s="5">
        <v>0.29499999999999998</v>
      </c>
      <c r="AM15" s="5">
        <v>0.28499999999999998</v>
      </c>
      <c r="AN15">
        <v>-1</v>
      </c>
      <c r="AO15">
        <v>-7.49</v>
      </c>
      <c r="AP15">
        <v>17.559999999999999</v>
      </c>
      <c r="AQ15">
        <v>24.29</v>
      </c>
      <c r="AR15">
        <v>6.2</v>
      </c>
      <c r="AS15" t="s">
        <v>2194</v>
      </c>
      <c r="AT15">
        <v>4</v>
      </c>
      <c r="AU15">
        <v>33.4</v>
      </c>
      <c r="AV15">
        <v>0</v>
      </c>
      <c r="AW15">
        <v>46</v>
      </c>
      <c r="AX15">
        <v>3</v>
      </c>
      <c r="AY15">
        <v>4</v>
      </c>
      <c r="AZ15" t="s">
        <v>3544</v>
      </c>
      <c r="BA15">
        <v>98</v>
      </c>
      <c r="BB15" t="s">
        <v>35</v>
      </c>
      <c r="BC15" t="s">
        <v>36</v>
      </c>
      <c r="BD15" s="4">
        <f>HYPERLINK("http://mlb.mlb.com/team/player.jsp?player_id=519203",519203)</f>
        <v>519203</v>
      </c>
      <c r="BE15">
        <v>1421</v>
      </c>
      <c r="BF15">
        <v>421</v>
      </c>
      <c r="BG15">
        <v>691</v>
      </c>
      <c r="BH15">
        <v>572</v>
      </c>
    </row>
    <row r="16" spans="1:60" x14ac:dyDescent="0.3">
      <c r="A16" s="4">
        <f>HYPERLINK("http://legacy.baseballprospectus.com/p/70607",70607)</f>
        <v>70607</v>
      </c>
      <c r="B16" t="s">
        <v>1707</v>
      </c>
      <c r="C16" t="s">
        <v>141</v>
      </c>
      <c r="D16" s="10">
        <v>34423</v>
      </c>
      <c r="E16" t="s">
        <v>51</v>
      </c>
      <c r="F16" t="s">
        <v>33</v>
      </c>
      <c r="G16" t="s">
        <v>33</v>
      </c>
      <c r="H16">
        <v>72</v>
      </c>
      <c r="I16">
        <v>180</v>
      </c>
      <c r="J16">
        <v>2018</v>
      </c>
      <c r="K16" s="4" t="str">
        <f>HYPERLINK("http://legacy.baseballprospectus.com/fantasy/dc/index.php?tm=HOU","HOU")</f>
        <v>HOU</v>
      </c>
      <c r="L16" t="s">
        <v>95</v>
      </c>
      <c r="M16" t="s">
        <v>34</v>
      </c>
      <c r="N16">
        <v>24</v>
      </c>
      <c r="O16">
        <v>643</v>
      </c>
      <c r="P16">
        <v>154</v>
      </c>
      <c r="Q16">
        <v>574</v>
      </c>
      <c r="R16">
        <v>93</v>
      </c>
      <c r="S16">
        <v>93</v>
      </c>
      <c r="T16">
        <v>35</v>
      </c>
      <c r="U16">
        <v>5</v>
      </c>
      <c r="V16">
        <v>23</v>
      </c>
      <c r="W16">
        <v>156</v>
      </c>
      <c r="X16">
        <v>270</v>
      </c>
      <c r="Y16">
        <v>78</v>
      </c>
      <c r="Z16">
        <v>58</v>
      </c>
      <c r="AA16">
        <v>4</v>
      </c>
      <c r="AB16">
        <v>7</v>
      </c>
      <c r="AC16">
        <v>107</v>
      </c>
      <c r="AD16">
        <v>1</v>
      </c>
      <c r="AE16">
        <v>3</v>
      </c>
      <c r="AF16">
        <v>15</v>
      </c>
      <c r="AG16">
        <v>13</v>
      </c>
      <c r="AH16">
        <v>4</v>
      </c>
      <c r="AI16" s="5">
        <v>0.27200000000000002</v>
      </c>
      <c r="AJ16" s="5">
        <v>0.34399999999999997</v>
      </c>
      <c r="AK16" s="5">
        <v>0.47</v>
      </c>
      <c r="AL16" s="5">
        <v>0.28100000000000003</v>
      </c>
      <c r="AM16" s="5">
        <v>0.29699999999999999</v>
      </c>
      <c r="AN16">
        <v>0.7</v>
      </c>
      <c r="AO16">
        <v>0.79</v>
      </c>
      <c r="AP16">
        <v>17.260000000000002</v>
      </c>
      <c r="AQ16">
        <v>14.02</v>
      </c>
      <c r="AR16">
        <v>7.5</v>
      </c>
      <c r="AS16" t="s">
        <v>4882</v>
      </c>
      <c r="AT16">
        <v>4</v>
      </c>
      <c r="AU16">
        <v>32.700000000000003</v>
      </c>
      <c r="AV16">
        <v>3</v>
      </c>
      <c r="AW16">
        <v>53</v>
      </c>
      <c r="AX16">
        <v>3</v>
      </c>
      <c r="AY16">
        <v>8</v>
      </c>
      <c r="AZ16" t="s">
        <v>3543</v>
      </c>
      <c r="BA16">
        <v>99</v>
      </c>
      <c r="BB16" t="s">
        <v>35</v>
      </c>
      <c r="BC16" t="s">
        <v>36</v>
      </c>
      <c r="BD16" s="4">
        <f>HYPERLINK("http://mlb.mlb.com/team/player.jsp?player_id=608324",608324)</f>
        <v>608324</v>
      </c>
      <c r="BE16">
        <v>497</v>
      </c>
      <c r="BF16">
        <v>1497</v>
      </c>
      <c r="BG16">
        <v>626</v>
      </c>
      <c r="BH16">
        <v>556</v>
      </c>
    </row>
    <row r="17" spans="1:60" x14ac:dyDescent="0.3">
      <c r="A17" s="4">
        <f>HYPERLINK("http://legacy.baseballprospectus.com/p/65870",65870)</f>
        <v>65870</v>
      </c>
      <c r="B17" t="s">
        <v>385</v>
      </c>
      <c r="C17" t="s">
        <v>386</v>
      </c>
      <c r="D17" s="10">
        <v>32455</v>
      </c>
      <c r="E17" t="s">
        <v>54</v>
      </c>
      <c r="F17" t="s">
        <v>37</v>
      </c>
      <c r="G17" t="s">
        <v>33</v>
      </c>
      <c r="H17">
        <v>73</v>
      </c>
      <c r="I17">
        <v>235</v>
      </c>
      <c r="J17">
        <v>2018</v>
      </c>
      <c r="K17" s="4" t="str">
        <f>HYPERLINK("http://legacy.baseballprospectus.com/fantasy/dc/index.php?tm=LAN","LAN")</f>
        <v>LAN</v>
      </c>
      <c r="L17" t="s">
        <v>100</v>
      </c>
      <c r="M17" t="s">
        <v>34</v>
      </c>
      <c r="N17">
        <v>29</v>
      </c>
      <c r="O17">
        <v>458</v>
      </c>
      <c r="P17">
        <v>154</v>
      </c>
      <c r="Q17">
        <v>396</v>
      </c>
      <c r="R17">
        <v>59</v>
      </c>
      <c r="S17">
        <v>53</v>
      </c>
      <c r="T17">
        <v>19</v>
      </c>
      <c r="U17">
        <v>0</v>
      </c>
      <c r="V17">
        <v>19</v>
      </c>
      <c r="W17">
        <v>91</v>
      </c>
      <c r="X17">
        <v>167</v>
      </c>
      <c r="Y17">
        <v>60</v>
      </c>
      <c r="Z17">
        <v>58</v>
      </c>
      <c r="AA17">
        <v>1</v>
      </c>
      <c r="AB17">
        <v>2</v>
      </c>
      <c r="AC17">
        <v>113</v>
      </c>
      <c r="AD17">
        <v>0</v>
      </c>
      <c r="AE17">
        <v>2</v>
      </c>
      <c r="AF17">
        <v>12</v>
      </c>
      <c r="AG17">
        <v>1</v>
      </c>
      <c r="AH17">
        <v>1</v>
      </c>
      <c r="AI17" s="5">
        <v>0.23</v>
      </c>
      <c r="AJ17" s="5">
        <v>0.33</v>
      </c>
      <c r="AK17" s="5">
        <v>0.42199999999999999</v>
      </c>
      <c r="AL17" s="5">
        <v>0.26600000000000001</v>
      </c>
      <c r="AM17" s="5">
        <v>0.26900000000000002</v>
      </c>
      <c r="AN17">
        <v>-1.3</v>
      </c>
      <c r="AO17">
        <v>2.15</v>
      </c>
      <c r="AP17">
        <v>12.3</v>
      </c>
      <c r="AQ17">
        <v>2.93</v>
      </c>
      <c r="AR17">
        <v>23.9</v>
      </c>
      <c r="AS17" t="s">
        <v>4996</v>
      </c>
      <c r="AT17">
        <v>4</v>
      </c>
      <c r="AU17">
        <v>16.100000000000001</v>
      </c>
      <c r="AV17">
        <v>2</v>
      </c>
      <c r="AW17">
        <v>40</v>
      </c>
      <c r="AX17">
        <v>7</v>
      </c>
      <c r="AY17">
        <v>13</v>
      </c>
      <c r="AZ17" t="s">
        <v>3571</v>
      </c>
      <c r="BA17">
        <v>98</v>
      </c>
      <c r="BB17" t="s">
        <v>35</v>
      </c>
      <c r="BC17" t="s">
        <v>36</v>
      </c>
      <c r="BD17" s="4">
        <f>HYPERLINK("http://mlb.mlb.com/team/player.jsp?player_id=518735",518735)</f>
        <v>518735</v>
      </c>
      <c r="BE17">
        <v>1372</v>
      </c>
      <c r="BF17">
        <v>372</v>
      </c>
      <c r="BG17">
        <v>482</v>
      </c>
      <c r="BH17">
        <v>438</v>
      </c>
    </row>
    <row r="18" spans="1:60" x14ac:dyDescent="0.3">
      <c r="A18" s="4">
        <f>HYPERLINK("http://legacy.baseballprospectus.com/p/57556",57556)</f>
        <v>57556</v>
      </c>
      <c r="B18" t="s">
        <v>650</v>
      </c>
      <c r="C18" t="s">
        <v>1033</v>
      </c>
      <c r="D18" s="10">
        <v>32820</v>
      </c>
      <c r="E18" t="s">
        <v>57</v>
      </c>
      <c r="F18" t="s">
        <v>33</v>
      </c>
      <c r="G18" t="s">
        <v>33</v>
      </c>
      <c r="H18">
        <v>78</v>
      </c>
      <c r="I18">
        <v>245</v>
      </c>
      <c r="J18">
        <v>2018</v>
      </c>
      <c r="K18" s="4" t="str">
        <f>HYPERLINK("http://legacy.baseballprospectus.com/fantasy/dc/index.php?tm=NYA","NYA")</f>
        <v>NYA</v>
      </c>
      <c r="L18" t="s">
        <v>95</v>
      </c>
      <c r="M18" t="s">
        <v>34</v>
      </c>
      <c r="N18">
        <v>28</v>
      </c>
      <c r="O18">
        <v>582</v>
      </c>
      <c r="P18">
        <v>138</v>
      </c>
      <c r="Q18">
        <v>503</v>
      </c>
      <c r="R18">
        <v>93</v>
      </c>
      <c r="S18">
        <v>65</v>
      </c>
      <c r="T18">
        <v>24</v>
      </c>
      <c r="U18">
        <v>1</v>
      </c>
      <c r="V18">
        <v>41</v>
      </c>
      <c r="W18">
        <v>131</v>
      </c>
      <c r="X18">
        <v>280</v>
      </c>
      <c r="Y18">
        <v>107</v>
      </c>
      <c r="Z18">
        <v>73</v>
      </c>
      <c r="AA18">
        <v>10</v>
      </c>
      <c r="AB18">
        <v>4</v>
      </c>
      <c r="AC18">
        <v>160</v>
      </c>
      <c r="AD18">
        <v>0</v>
      </c>
      <c r="AE18">
        <v>2</v>
      </c>
      <c r="AF18">
        <v>10</v>
      </c>
      <c r="AG18">
        <v>3</v>
      </c>
      <c r="AH18">
        <v>1</v>
      </c>
      <c r="AI18" s="5">
        <v>0.26</v>
      </c>
      <c r="AJ18" s="5">
        <v>0.35699999999999998</v>
      </c>
      <c r="AK18" s="5">
        <v>0.55700000000000005</v>
      </c>
      <c r="AL18" s="5">
        <v>0.307</v>
      </c>
      <c r="AM18" s="5">
        <v>0.29399999999999998</v>
      </c>
      <c r="AN18">
        <v>-1.1000000000000001</v>
      </c>
      <c r="AO18">
        <v>-4.42</v>
      </c>
      <c r="AP18">
        <v>15.63</v>
      </c>
      <c r="AQ18">
        <v>28.53</v>
      </c>
      <c r="AR18">
        <v>0.7</v>
      </c>
      <c r="AS18" t="s">
        <v>1229</v>
      </c>
      <c r="AT18">
        <v>3.9</v>
      </c>
      <c r="AU18">
        <v>38.6</v>
      </c>
      <c r="AV18">
        <v>1</v>
      </c>
      <c r="AW18">
        <v>47</v>
      </c>
      <c r="AX18">
        <v>1</v>
      </c>
      <c r="AY18">
        <v>4</v>
      </c>
      <c r="AZ18" t="s">
        <v>3541</v>
      </c>
      <c r="BA18">
        <v>100</v>
      </c>
      <c r="BB18" t="s">
        <v>35</v>
      </c>
      <c r="BC18" t="s">
        <v>36</v>
      </c>
      <c r="BD18" s="4">
        <f>HYPERLINK("http://mlb.mlb.com/team/player.jsp?player_id=519317",519317)</f>
        <v>519317</v>
      </c>
      <c r="BE18">
        <v>555</v>
      </c>
      <c r="BF18">
        <v>1555</v>
      </c>
      <c r="BG18">
        <v>692</v>
      </c>
      <c r="BH18">
        <v>597</v>
      </c>
    </row>
    <row r="19" spans="1:60" x14ac:dyDescent="0.3">
      <c r="A19" s="4">
        <f>HYPERLINK("http://legacy.baseballprospectus.com/p/60672",60672)</f>
        <v>60672</v>
      </c>
      <c r="B19" t="s">
        <v>626</v>
      </c>
      <c r="C19" t="s">
        <v>182</v>
      </c>
      <c r="D19" s="10">
        <v>32084</v>
      </c>
      <c r="E19" t="s">
        <v>51</v>
      </c>
      <c r="F19" t="s">
        <v>9</v>
      </c>
      <c r="G19" t="s">
        <v>33</v>
      </c>
      <c r="H19">
        <v>72</v>
      </c>
      <c r="I19">
        <v>210</v>
      </c>
      <c r="J19">
        <v>2018</v>
      </c>
      <c r="K19" s="4" t="str">
        <f>HYPERLINK("http://legacy.baseballprospectus.com/fantasy/dc/index.php?tm=SEA","SEA")</f>
        <v>SEA</v>
      </c>
      <c r="L19" t="s">
        <v>95</v>
      </c>
      <c r="M19" t="s">
        <v>34</v>
      </c>
      <c r="N19">
        <v>30</v>
      </c>
      <c r="O19">
        <v>669</v>
      </c>
      <c r="P19">
        <v>154</v>
      </c>
      <c r="Q19">
        <v>597</v>
      </c>
      <c r="R19">
        <v>82</v>
      </c>
      <c r="S19">
        <v>97</v>
      </c>
      <c r="T19">
        <v>32</v>
      </c>
      <c r="U19">
        <v>2</v>
      </c>
      <c r="V19">
        <v>25</v>
      </c>
      <c r="W19">
        <v>156</v>
      </c>
      <c r="X19">
        <v>267</v>
      </c>
      <c r="Y19">
        <v>89</v>
      </c>
      <c r="Z19">
        <v>61</v>
      </c>
      <c r="AA19">
        <v>5</v>
      </c>
      <c r="AB19">
        <v>8</v>
      </c>
      <c r="AC19">
        <v>109</v>
      </c>
      <c r="AD19">
        <v>0</v>
      </c>
      <c r="AE19">
        <v>4</v>
      </c>
      <c r="AF19">
        <v>16</v>
      </c>
      <c r="AG19">
        <v>4</v>
      </c>
      <c r="AH19">
        <v>2</v>
      </c>
      <c r="AI19" s="5">
        <v>0.26100000000000001</v>
      </c>
      <c r="AJ19" s="5">
        <v>0.33600000000000002</v>
      </c>
      <c r="AK19" s="5">
        <v>0.44700000000000001</v>
      </c>
      <c r="AL19" s="5">
        <v>0.27400000000000002</v>
      </c>
      <c r="AM19" s="5">
        <v>0.28199999999999997</v>
      </c>
      <c r="AN19">
        <v>-1.3</v>
      </c>
      <c r="AO19">
        <v>0.57999999999999996</v>
      </c>
      <c r="AP19">
        <v>17.96</v>
      </c>
      <c r="AQ19">
        <v>9.5299999999999994</v>
      </c>
      <c r="AR19">
        <v>12.2</v>
      </c>
      <c r="AS19" t="s">
        <v>4824</v>
      </c>
      <c r="AT19">
        <v>3.9</v>
      </c>
      <c r="AU19">
        <v>26.8</v>
      </c>
      <c r="AV19">
        <v>0</v>
      </c>
      <c r="AW19">
        <v>41</v>
      </c>
      <c r="AX19">
        <v>4</v>
      </c>
      <c r="AY19">
        <v>10</v>
      </c>
      <c r="AZ19" t="s">
        <v>3547</v>
      </c>
      <c r="BA19">
        <v>97</v>
      </c>
      <c r="BB19" t="s">
        <v>35</v>
      </c>
      <c r="BC19" t="s">
        <v>36</v>
      </c>
      <c r="BD19" s="4">
        <f>HYPERLINK("http://mlb.mlb.com/team/player.jsp?player_id=572122",572122)</f>
        <v>572122</v>
      </c>
      <c r="BE19">
        <v>465</v>
      </c>
      <c r="BF19">
        <v>1465</v>
      </c>
      <c r="BG19">
        <v>650</v>
      </c>
      <c r="BH19">
        <v>578</v>
      </c>
    </row>
    <row r="20" spans="1:60" x14ac:dyDescent="0.3">
      <c r="A20" s="4">
        <f>HYPERLINK("http://legacy.baseballprospectus.com/p/67964",67964)</f>
        <v>67964</v>
      </c>
      <c r="B20" t="s">
        <v>1239</v>
      </c>
      <c r="C20" t="s">
        <v>459</v>
      </c>
      <c r="D20" s="10">
        <v>32985</v>
      </c>
      <c r="E20" t="s">
        <v>65</v>
      </c>
      <c r="F20" t="s">
        <v>9</v>
      </c>
      <c r="G20" t="s">
        <v>33</v>
      </c>
      <c r="H20">
        <v>73</v>
      </c>
      <c r="I20">
        <v>215</v>
      </c>
      <c r="J20">
        <v>2018</v>
      </c>
      <c r="K20" s="4" t="str">
        <f>HYPERLINK("http://legacy.baseballprospectus.com/fantasy/dc/index.php?tm=TBA","TBA")</f>
        <v>TBA</v>
      </c>
      <c r="L20" t="s">
        <v>95</v>
      </c>
      <c r="M20" t="s">
        <v>34</v>
      </c>
      <c r="N20">
        <v>28</v>
      </c>
      <c r="O20">
        <v>596</v>
      </c>
      <c r="P20">
        <v>154</v>
      </c>
      <c r="Q20">
        <v>542</v>
      </c>
      <c r="R20">
        <v>82</v>
      </c>
      <c r="S20">
        <v>92</v>
      </c>
      <c r="T20">
        <v>25</v>
      </c>
      <c r="U20">
        <v>8</v>
      </c>
      <c r="V20">
        <v>15</v>
      </c>
      <c r="W20">
        <v>140</v>
      </c>
      <c r="X20">
        <v>226</v>
      </c>
      <c r="Y20">
        <v>59</v>
      </c>
      <c r="Z20">
        <v>43</v>
      </c>
      <c r="AA20">
        <v>3</v>
      </c>
      <c r="AB20">
        <v>5</v>
      </c>
      <c r="AC20">
        <v>119</v>
      </c>
      <c r="AD20">
        <v>4</v>
      </c>
      <c r="AE20">
        <v>2</v>
      </c>
      <c r="AF20">
        <v>12</v>
      </c>
      <c r="AG20">
        <v>22</v>
      </c>
      <c r="AH20">
        <v>7</v>
      </c>
      <c r="AI20" s="5">
        <v>0.25800000000000001</v>
      </c>
      <c r="AJ20" s="5">
        <v>0.318</v>
      </c>
      <c r="AK20" s="5">
        <v>0.41699999999999998</v>
      </c>
      <c r="AL20" s="5">
        <v>0.26200000000000001</v>
      </c>
      <c r="AM20" s="5">
        <v>0.30099999999999999</v>
      </c>
      <c r="AN20">
        <v>2.7</v>
      </c>
      <c r="AO20">
        <v>0.87</v>
      </c>
      <c r="AP20">
        <v>16</v>
      </c>
      <c r="AQ20">
        <v>1.54</v>
      </c>
      <c r="AR20">
        <v>17.399999999999999</v>
      </c>
      <c r="AS20" t="s">
        <v>3538</v>
      </c>
      <c r="AT20">
        <v>3.9</v>
      </c>
      <c r="AU20">
        <v>21.1</v>
      </c>
      <c r="AV20">
        <v>0</v>
      </c>
      <c r="AW20">
        <v>40</v>
      </c>
      <c r="AX20">
        <v>3</v>
      </c>
      <c r="AY20">
        <v>5</v>
      </c>
      <c r="AZ20" t="s">
        <v>3539</v>
      </c>
      <c r="BA20">
        <v>97</v>
      </c>
      <c r="BB20" t="s">
        <v>35</v>
      </c>
      <c r="BC20" t="s">
        <v>36</v>
      </c>
      <c r="BD20" s="4">
        <f>HYPERLINK("http://mlb.mlb.com/team/player.jsp?player_id=595281",595281)</f>
        <v>595281</v>
      </c>
      <c r="BE20">
        <v>588</v>
      </c>
      <c r="BF20">
        <v>1588</v>
      </c>
      <c r="BG20">
        <v>421</v>
      </c>
      <c r="BH20">
        <v>380</v>
      </c>
    </row>
    <row r="21" spans="1:60" x14ac:dyDescent="0.3">
      <c r="A21" s="4">
        <f>HYPERLINK("http://legacy.baseballprospectus.com/p/56185",56185)</f>
        <v>56185</v>
      </c>
      <c r="B21" t="s">
        <v>305</v>
      </c>
      <c r="C21" t="s">
        <v>150</v>
      </c>
      <c r="D21" s="10">
        <v>31389</v>
      </c>
      <c r="E21" t="s">
        <v>51</v>
      </c>
      <c r="F21" t="s">
        <v>33</v>
      </c>
      <c r="G21" t="s">
        <v>33</v>
      </c>
      <c r="H21">
        <v>73</v>
      </c>
      <c r="I21">
        <v>210</v>
      </c>
      <c r="J21">
        <v>2018</v>
      </c>
      <c r="K21" s="4" t="str">
        <f>HYPERLINK("http://legacy.baseballprospectus.com/fantasy/dc/index.php?tm=TOR","TOR")</f>
        <v>TOR</v>
      </c>
      <c r="L21" t="s">
        <v>95</v>
      </c>
      <c r="M21" t="s">
        <v>34</v>
      </c>
      <c r="N21">
        <v>32</v>
      </c>
      <c r="O21">
        <v>663</v>
      </c>
      <c r="P21">
        <v>154</v>
      </c>
      <c r="Q21">
        <v>570</v>
      </c>
      <c r="R21">
        <v>104</v>
      </c>
      <c r="S21">
        <v>92</v>
      </c>
      <c r="T21">
        <v>31</v>
      </c>
      <c r="U21">
        <v>2</v>
      </c>
      <c r="V21">
        <v>31</v>
      </c>
      <c r="W21">
        <v>156</v>
      </c>
      <c r="X21">
        <v>284</v>
      </c>
      <c r="Y21">
        <v>92</v>
      </c>
      <c r="Z21">
        <v>82</v>
      </c>
      <c r="AA21">
        <v>3</v>
      </c>
      <c r="AB21">
        <v>6</v>
      </c>
      <c r="AC21">
        <v>128</v>
      </c>
      <c r="AD21">
        <v>1</v>
      </c>
      <c r="AE21">
        <v>4</v>
      </c>
      <c r="AF21">
        <v>15</v>
      </c>
      <c r="AG21">
        <v>5</v>
      </c>
      <c r="AH21">
        <v>1</v>
      </c>
      <c r="AI21" s="5">
        <v>0.27400000000000002</v>
      </c>
      <c r="AJ21" s="5">
        <v>0.36899999999999999</v>
      </c>
      <c r="AK21" s="5">
        <v>0.498</v>
      </c>
      <c r="AL21" s="5">
        <v>0.29899999999999999</v>
      </c>
      <c r="AM21" s="5">
        <v>0.30099999999999999</v>
      </c>
      <c r="AN21">
        <v>-0.6</v>
      </c>
      <c r="AO21">
        <v>0.57999999999999996</v>
      </c>
      <c r="AP21">
        <v>17.8</v>
      </c>
      <c r="AQ21">
        <v>26.92</v>
      </c>
      <c r="AR21">
        <v>-6.2</v>
      </c>
      <c r="AS21" t="s">
        <v>4730</v>
      </c>
      <c r="AT21">
        <v>3.9</v>
      </c>
      <c r="AU21">
        <v>44.7</v>
      </c>
      <c r="AV21">
        <v>2</v>
      </c>
      <c r="AW21">
        <v>33</v>
      </c>
      <c r="AX21">
        <v>5</v>
      </c>
      <c r="AY21">
        <v>9</v>
      </c>
      <c r="AZ21" t="s">
        <v>3548</v>
      </c>
      <c r="BA21">
        <v>99</v>
      </c>
      <c r="BB21" t="s">
        <v>35</v>
      </c>
      <c r="BC21" t="s">
        <v>36</v>
      </c>
      <c r="BD21" s="4">
        <f>HYPERLINK("http://mlb.mlb.com/team/player.jsp?player_id=518626",518626)</f>
        <v>518626</v>
      </c>
      <c r="BE21">
        <v>468</v>
      </c>
      <c r="BF21">
        <v>1468</v>
      </c>
      <c r="BG21">
        <v>496</v>
      </c>
      <c r="BH21">
        <v>415</v>
      </c>
    </row>
    <row r="22" spans="1:60" x14ac:dyDescent="0.3">
      <c r="A22" s="4">
        <f>HYPERLINK("http://legacy.baseballprospectus.com/p/55877",55877)</f>
        <v>55877</v>
      </c>
      <c r="B22" t="s">
        <v>118</v>
      </c>
      <c r="C22" t="s">
        <v>119</v>
      </c>
      <c r="D22" s="10">
        <v>32999</v>
      </c>
      <c r="E22" t="s">
        <v>58</v>
      </c>
      <c r="F22" t="s">
        <v>33</v>
      </c>
      <c r="G22" t="s">
        <v>33</v>
      </c>
      <c r="H22">
        <v>66</v>
      </c>
      <c r="I22">
        <v>165</v>
      </c>
      <c r="J22">
        <v>2018</v>
      </c>
      <c r="K22" s="4" t="str">
        <f>HYPERLINK("http://legacy.baseballprospectus.com/fantasy/dc/index.php?tm=HOU","HOU")</f>
        <v>HOU</v>
      </c>
      <c r="L22" t="s">
        <v>95</v>
      </c>
      <c r="M22" t="s">
        <v>34</v>
      </c>
      <c r="N22">
        <v>28</v>
      </c>
      <c r="O22">
        <v>666</v>
      </c>
      <c r="P22">
        <v>154</v>
      </c>
      <c r="Q22">
        <v>610</v>
      </c>
      <c r="R22">
        <v>88</v>
      </c>
      <c r="S22">
        <v>136</v>
      </c>
      <c r="T22">
        <v>39</v>
      </c>
      <c r="U22">
        <v>3</v>
      </c>
      <c r="V22">
        <v>15</v>
      </c>
      <c r="W22">
        <v>193</v>
      </c>
      <c r="X22">
        <v>283</v>
      </c>
      <c r="Y22">
        <v>77</v>
      </c>
      <c r="Z22">
        <v>43</v>
      </c>
      <c r="AA22">
        <v>7</v>
      </c>
      <c r="AB22">
        <v>6</v>
      </c>
      <c r="AC22">
        <v>69</v>
      </c>
      <c r="AD22">
        <v>2</v>
      </c>
      <c r="AE22">
        <v>4</v>
      </c>
      <c r="AF22">
        <v>21</v>
      </c>
      <c r="AG22">
        <v>32</v>
      </c>
      <c r="AH22">
        <v>8</v>
      </c>
      <c r="AI22" s="5">
        <v>0.316</v>
      </c>
      <c r="AJ22" s="5">
        <v>0.36499999999999999</v>
      </c>
      <c r="AK22" s="5">
        <v>0.46400000000000002</v>
      </c>
      <c r="AL22" s="5">
        <v>0.28799999999999998</v>
      </c>
      <c r="AM22" s="5">
        <v>0.33500000000000002</v>
      </c>
      <c r="AN22">
        <v>2.9</v>
      </c>
      <c r="AO22">
        <v>3.45</v>
      </c>
      <c r="AP22">
        <v>17.88</v>
      </c>
      <c r="AQ22">
        <v>19.5</v>
      </c>
      <c r="AR22">
        <v>-5.9</v>
      </c>
      <c r="AS22" t="s">
        <v>2188</v>
      </c>
      <c r="AT22">
        <v>3.8</v>
      </c>
      <c r="AU22">
        <v>43.7</v>
      </c>
      <c r="AV22">
        <v>0</v>
      </c>
      <c r="AW22">
        <v>48</v>
      </c>
      <c r="AX22">
        <v>3</v>
      </c>
      <c r="AY22">
        <v>1</v>
      </c>
      <c r="AZ22" t="s">
        <v>3542</v>
      </c>
      <c r="BA22">
        <v>99</v>
      </c>
      <c r="BB22" t="s">
        <v>35</v>
      </c>
      <c r="BC22" t="s">
        <v>36</v>
      </c>
      <c r="BD22" s="4">
        <f>HYPERLINK("http://mlb.mlb.com/team/player.jsp?player_id=514888",514888)</f>
        <v>514888</v>
      </c>
      <c r="BE22">
        <v>440</v>
      </c>
      <c r="BF22">
        <v>1440</v>
      </c>
      <c r="BG22">
        <v>662</v>
      </c>
      <c r="BH22">
        <v>590</v>
      </c>
    </row>
    <row r="23" spans="1:60" x14ac:dyDescent="0.3">
      <c r="A23" s="4">
        <f>HYPERLINK("http://legacy.baseballprospectus.com/p/104744",104744)</f>
        <v>104744</v>
      </c>
      <c r="B23" t="s">
        <v>752</v>
      </c>
      <c r="C23" t="s">
        <v>104</v>
      </c>
      <c r="D23" s="10">
        <v>34087</v>
      </c>
      <c r="E23" t="s">
        <v>51</v>
      </c>
      <c r="F23" t="s">
        <v>33</v>
      </c>
      <c r="G23" t="s">
        <v>33</v>
      </c>
      <c r="H23">
        <v>72</v>
      </c>
      <c r="I23">
        <v>210</v>
      </c>
      <c r="J23">
        <v>2018</v>
      </c>
      <c r="K23" s="4" t="str">
        <f>HYPERLINK("http://legacy.baseballprospectus.com/fantasy/dc/index.php?tm=OAK","OAK")</f>
        <v>OAK</v>
      </c>
      <c r="L23" t="s">
        <v>95</v>
      </c>
      <c r="M23" t="s">
        <v>34</v>
      </c>
      <c r="N23">
        <v>25</v>
      </c>
      <c r="O23">
        <v>564</v>
      </c>
      <c r="P23">
        <v>154</v>
      </c>
      <c r="Q23">
        <v>500</v>
      </c>
      <c r="R23">
        <v>80</v>
      </c>
      <c r="S23">
        <v>53</v>
      </c>
      <c r="T23">
        <v>25</v>
      </c>
      <c r="U23">
        <v>4</v>
      </c>
      <c r="V23">
        <v>32</v>
      </c>
      <c r="W23">
        <v>114</v>
      </c>
      <c r="X23">
        <v>243</v>
      </c>
      <c r="Y23">
        <v>86</v>
      </c>
      <c r="Z23">
        <v>57</v>
      </c>
      <c r="AA23">
        <v>4</v>
      </c>
      <c r="AB23">
        <v>4</v>
      </c>
      <c r="AC23">
        <v>173</v>
      </c>
      <c r="AD23">
        <v>1</v>
      </c>
      <c r="AE23">
        <v>3</v>
      </c>
      <c r="AF23">
        <v>9</v>
      </c>
      <c r="AG23">
        <v>4</v>
      </c>
      <c r="AH23">
        <v>3</v>
      </c>
      <c r="AI23" s="5">
        <v>0.22800000000000001</v>
      </c>
      <c r="AJ23" s="5">
        <v>0.31</v>
      </c>
      <c r="AK23" s="5">
        <v>0.48599999999999999</v>
      </c>
      <c r="AL23" s="5">
        <v>0.26800000000000002</v>
      </c>
      <c r="AM23" s="5">
        <v>0.27300000000000002</v>
      </c>
      <c r="AN23">
        <v>-1</v>
      </c>
      <c r="AO23">
        <v>0.49</v>
      </c>
      <c r="AP23">
        <v>15.14</v>
      </c>
      <c r="AQ23">
        <v>4.7699999999999996</v>
      </c>
      <c r="AR23">
        <v>17.3</v>
      </c>
      <c r="AS23" t="s">
        <v>3550</v>
      </c>
      <c r="AT23">
        <v>3.7</v>
      </c>
      <c r="AU23">
        <v>19.399999999999999</v>
      </c>
      <c r="AV23">
        <v>2</v>
      </c>
      <c r="AW23">
        <v>31</v>
      </c>
      <c r="AX23">
        <v>12</v>
      </c>
      <c r="AY23">
        <v>23</v>
      </c>
      <c r="AZ23" t="s">
        <v>3551</v>
      </c>
      <c r="BA23">
        <v>72</v>
      </c>
      <c r="BB23" t="s">
        <v>35</v>
      </c>
      <c r="BC23" t="s">
        <v>36</v>
      </c>
      <c r="BD23" s="4">
        <f>HYPERLINK("http://mlb.mlb.com/team/player.jsp?player_id=656305",656305)</f>
        <v>656305</v>
      </c>
      <c r="BE23">
        <v>473</v>
      </c>
      <c r="BF23">
        <v>1473</v>
      </c>
      <c r="BG23">
        <v>326</v>
      </c>
      <c r="BH23">
        <v>290</v>
      </c>
    </row>
    <row r="24" spans="1:60" x14ac:dyDescent="0.3">
      <c r="A24" s="4">
        <f>HYPERLINK("http://legacy.baseballprospectus.com/p/59586",59586)</f>
        <v>59586</v>
      </c>
      <c r="B24" t="s">
        <v>133</v>
      </c>
      <c r="C24" t="s">
        <v>134</v>
      </c>
      <c r="D24" s="10">
        <v>33344</v>
      </c>
      <c r="E24" t="s">
        <v>51</v>
      </c>
      <c r="F24" t="s">
        <v>33</v>
      </c>
      <c r="G24" t="s">
        <v>33</v>
      </c>
      <c r="H24">
        <v>74</v>
      </c>
      <c r="I24">
        <v>205</v>
      </c>
      <c r="J24">
        <v>2018</v>
      </c>
      <c r="K24" s="4" t="str">
        <f>HYPERLINK("http://legacy.baseballprospectus.com/fantasy/dc/index.php?tm=COL","COL")</f>
        <v>COL</v>
      </c>
      <c r="L24" t="s">
        <v>100</v>
      </c>
      <c r="M24" t="s">
        <v>34</v>
      </c>
      <c r="N24">
        <v>27</v>
      </c>
      <c r="O24">
        <v>600</v>
      </c>
      <c r="P24">
        <v>146</v>
      </c>
      <c r="Q24">
        <v>548</v>
      </c>
      <c r="R24">
        <v>79</v>
      </c>
      <c r="S24">
        <v>86</v>
      </c>
      <c r="T24">
        <v>35</v>
      </c>
      <c r="U24">
        <v>4</v>
      </c>
      <c r="V24">
        <v>29</v>
      </c>
      <c r="W24">
        <v>154</v>
      </c>
      <c r="X24">
        <v>284</v>
      </c>
      <c r="Y24">
        <v>94</v>
      </c>
      <c r="Z24">
        <v>43</v>
      </c>
      <c r="AA24">
        <v>6</v>
      </c>
      <c r="AB24">
        <v>3</v>
      </c>
      <c r="AC24">
        <v>91</v>
      </c>
      <c r="AD24">
        <v>0</v>
      </c>
      <c r="AE24">
        <v>5</v>
      </c>
      <c r="AF24">
        <v>17</v>
      </c>
      <c r="AG24">
        <v>2</v>
      </c>
      <c r="AH24">
        <v>2</v>
      </c>
      <c r="AI24" s="5">
        <v>0.28100000000000003</v>
      </c>
      <c r="AJ24" s="5">
        <v>0.33400000000000002</v>
      </c>
      <c r="AK24" s="5">
        <v>0.51800000000000002</v>
      </c>
      <c r="AL24" s="5">
        <v>0.27800000000000002</v>
      </c>
      <c r="AM24" s="5">
        <v>0.28899999999999998</v>
      </c>
      <c r="AN24">
        <v>-1.2</v>
      </c>
      <c r="AO24">
        <v>0.52</v>
      </c>
      <c r="AP24">
        <v>16.11</v>
      </c>
      <c r="AQ24">
        <v>11.22</v>
      </c>
      <c r="AR24">
        <v>9.6999999999999993</v>
      </c>
      <c r="AS24" t="s">
        <v>4883</v>
      </c>
      <c r="AT24">
        <v>3.6</v>
      </c>
      <c r="AU24">
        <v>26.6</v>
      </c>
      <c r="AV24">
        <v>9</v>
      </c>
      <c r="AW24">
        <v>47</v>
      </c>
      <c r="AX24">
        <v>4</v>
      </c>
      <c r="AY24">
        <v>12</v>
      </c>
      <c r="AZ24" t="s">
        <v>3553</v>
      </c>
      <c r="BA24">
        <v>99</v>
      </c>
      <c r="BB24" t="s">
        <v>35</v>
      </c>
      <c r="BC24" t="s">
        <v>36</v>
      </c>
      <c r="BD24" s="4">
        <f>HYPERLINK("http://mlb.mlb.com/team/player.jsp?player_id=571448",571448)</f>
        <v>571448</v>
      </c>
      <c r="BE24">
        <v>1484</v>
      </c>
      <c r="BF24">
        <v>484</v>
      </c>
      <c r="BG24">
        <v>680</v>
      </c>
      <c r="BH24">
        <v>606</v>
      </c>
    </row>
    <row r="25" spans="1:60" x14ac:dyDescent="0.3">
      <c r="A25" s="4">
        <f>HYPERLINK("http://legacy.baseballprospectus.com/p/70635",70635)</f>
        <v>70635</v>
      </c>
      <c r="B25" t="s">
        <v>626</v>
      </c>
      <c r="C25" t="s">
        <v>202</v>
      </c>
      <c r="D25" s="10">
        <v>34451</v>
      </c>
      <c r="E25" t="s">
        <v>53</v>
      </c>
      <c r="F25" t="s">
        <v>9</v>
      </c>
      <c r="G25" t="s">
        <v>33</v>
      </c>
      <c r="H25">
        <v>76</v>
      </c>
      <c r="I25">
        <v>220</v>
      </c>
      <c r="J25">
        <v>2018</v>
      </c>
      <c r="K25" s="4" t="str">
        <f>HYPERLINK("http://legacy.baseballprospectus.com/fantasy/dc/index.php?tm=LAN","LAN")</f>
        <v>LAN</v>
      </c>
      <c r="L25" t="s">
        <v>100</v>
      </c>
      <c r="M25" t="s">
        <v>34</v>
      </c>
      <c r="N25">
        <v>24</v>
      </c>
      <c r="O25">
        <v>632</v>
      </c>
      <c r="P25">
        <v>150</v>
      </c>
      <c r="Q25">
        <v>571</v>
      </c>
      <c r="R25">
        <v>90</v>
      </c>
      <c r="S25">
        <v>100</v>
      </c>
      <c r="T25">
        <v>35</v>
      </c>
      <c r="U25">
        <v>2</v>
      </c>
      <c r="V25">
        <v>24</v>
      </c>
      <c r="W25">
        <v>161</v>
      </c>
      <c r="X25">
        <v>272</v>
      </c>
      <c r="Y25">
        <v>80</v>
      </c>
      <c r="Z25">
        <v>54</v>
      </c>
      <c r="AA25">
        <v>4</v>
      </c>
      <c r="AB25">
        <v>4</v>
      </c>
      <c r="AC25">
        <v>122</v>
      </c>
      <c r="AD25">
        <v>0</v>
      </c>
      <c r="AE25">
        <v>3</v>
      </c>
      <c r="AF25">
        <v>15</v>
      </c>
      <c r="AG25">
        <v>4</v>
      </c>
      <c r="AH25">
        <v>2</v>
      </c>
      <c r="AI25" s="5">
        <v>0.28199999999999997</v>
      </c>
      <c r="AJ25" s="5">
        <v>0.34699999999999998</v>
      </c>
      <c r="AK25" s="5">
        <v>0.47599999999999998</v>
      </c>
      <c r="AL25" s="5">
        <v>0.28899999999999998</v>
      </c>
      <c r="AM25" s="5">
        <v>0.32100000000000001</v>
      </c>
      <c r="AN25">
        <v>-1.1000000000000001</v>
      </c>
      <c r="AO25">
        <v>4.3499999999999996</v>
      </c>
      <c r="AP25">
        <v>16.97</v>
      </c>
      <c r="AQ25">
        <v>19.059999999999999</v>
      </c>
      <c r="AR25">
        <v>-3.6</v>
      </c>
      <c r="AS25" t="s">
        <v>2175</v>
      </c>
      <c r="AT25">
        <v>3.6</v>
      </c>
      <c r="AU25">
        <v>39.299999999999997</v>
      </c>
      <c r="AV25">
        <v>3</v>
      </c>
      <c r="AW25">
        <v>62</v>
      </c>
      <c r="AX25">
        <v>0</v>
      </c>
      <c r="AY25">
        <v>2</v>
      </c>
      <c r="AZ25" t="s">
        <v>3546</v>
      </c>
      <c r="BA25">
        <v>100</v>
      </c>
      <c r="BB25" t="s">
        <v>35</v>
      </c>
      <c r="BC25" t="s">
        <v>36</v>
      </c>
      <c r="BD25" s="4">
        <f>HYPERLINK("http://mlb.mlb.com/team/player.jsp?player_id=608369",608369)</f>
        <v>608369</v>
      </c>
      <c r="BE25">
        <v>1520</v>
      </c>
      <c r="BF25">
        <v>520</v>
      </c>
      <c r="BG25">
        <v>613</v>
      </c>
      <c r="BH25">
        <v>539</v>
      </c>
    </row>
    <row r="26" spans="1:60" x14ac:dyDescent="0.3">
      <c r="A26" s="4">
        <f>HYPERLINK("http://legacy.baseballprospectus.com/p/56289",56289)</f>
        <v>56289</v>
      </c>
      <c r="B26" t="s">
        <v>350</v>
      </c>
      <c r="C26" t="s">
        <v>351</v>
      </c>
      <c r="D26" s="10">
        <v>32763</v>
      </c>
      <c r="E26" t="s">
        <v>50</v>
      </c>
      <c r="F26" t="s">
        <v>9</v>
      </c>
      <c r="G26" t="s">
        <v>33</v>
      </c>
      <c r="H26">
        <v>77</v>
      </c>
      <c r="I26">
        <v>220</v>
      </c>
      <c r="J26">
        <v>2018</v>
      </c>
      <c r="K26" s="4" t="str">
        <f>HYPERLINK("http://legacy.baseballprospectus.com/fantasy/dc/index.php?tm=ATL","ATL")</f>
        <v>ATL</v>
      </c>
      <c r="L26" t="s">
        <v>100</v>
      </c>
      <c r="M26" t="s">
        <v>34</v>
      </c>
      <c r="N26">
        <v>28</v>
      </c>
      <c r="O26">
        <v>607</v>
      </c>
      <c r="P26">
        <v>144</v>
      </c>
      <c r="Q26">
        <v>524</v>
      </c>
      <c r="R26">
        <v>85</v>
      </c>
      <c r="S26">
        <v>92</v>
      </c>
      <c r="T26">
        <v>34</v>
      </c>
      <c r="U26">
        <v>2</v>
      </c>
      <c r="V26">
        <v>25</v>
      </c>
      <c r="W26">
        <v>153</v>
      </c>
      <c r="X26">
        <v>266</v>
      </c>
      <c r="Y26">
        <v>89</v>
      </c>
      <c r="Z26">
        <v>72</v>
      </c>
      <c r="AA26">
        <v>9</v>
      </c>
      <c r="AB26">
        <v>8</v>
      </c>
      <c r="AC26">
        <v>123</v>
      </c>
      <c r="AD26">
        <v>0</v>
      </c>
      <c r="AE26">
        <v>3</v>
      </c>
      <c r="AF26">
        <v>13</v>
      </c>
      <c r="AG26">
        <v>6</v>
      </c>
      <c r="AH26">
        <v>3</v>
      </c>
      <c r="AI26" s="5">
        <v>0.29199999999999998</v>
      </c>
      <c r="AJ26" s="5">
        <v>0.38400000000000001</v>
      </c>
      <c r="AK26" s="5">
        <v>0.50800000000000001</v>
      </c>
      <c r="AL26" s="5">
        <v>0.30599999999999999</v>
      </c>
      <c r="AM26" s="5">
        <v>0.33900000000000002</v>
      </c>
      <c r="AN26">
        <v>-0.9</v>
      </c>
      <c r="AO26">
        <v>-6.95</v>
      </c>
      <c r="AP26">
        <v>16.3</v>
      </c>
      <c r="AQ26">
        <v>29.04</v>
      </c>
      <c r="AR26">
        <v>-3.3</v>
      </c>
      <c r="AS26" t="s">
        <v>1026</v>
      </c>
      <c r="AT26">
        <v>3.4</v>
      </c>
      <c r="AU26">
        <v>37.5</v>
      </c>
      <c r="AV26">
        <v>1</v>
      </c>
      <c r="AW26">
        <v>59</v>
      </c>
      <c r="AX26">
        <v>1</v>
      </c>
      <c r="AY26">
        <v>2</v>
      </c>
      <c r="AZ26" t="s">
        <v>3558</v>
      </c>
      <c r="BA26">
        <v>99</v>
      </c>
      <c r="BB26" t="s">
        <v>35</v>
      </c>
      <c r="BC26" t="s">
        <v>36</v>
      </c>
      <c r="BD26" s="4">
        <f>HYPERLINK("http://mlb.mlb.com/team/player.jsp?player_id=518692",518692)</f>
        <v>518692</v>
      </c>
      <c r="BE26">
        <v>1431</v>
      </c>
      <c r="BF26">
        <v>431</v>
      </c>
      <c r="BG26">
        <v>514</v>
      </c>
      <c r="BH26">
        <v>440</v>
      </c>
    </row>
    <row r="27" spans="1:60" x14ac:dyDescent="0.3">
      <c r="A27" s="4">
        <f>HYPERLINK("http://legacy.baseballprospectus.com/p/47202",47202)</f>
        <v>47202</v>
      </c>
      <c r="B27" t="s">
        <v>219</v>
      </c>
      <c r="C27" t="s">
        <v>220</v>
      </c>
      <c r="D27" s="10">
        <v>31515</v>
      </c>
      <c r="E27" t="s">
        <v>65</v>
      </c>
      <c r="F27" t="s">
        <v>33</v>
      </c>
      <c r="G27" t="s">
        <v>33</v>
      </c>
      <c r="H27">
        <v>74</v>
      </c>
      <c r="I27">
        <v>205</v>
      </c>
      <c r="J27">
        <v>2018</v>
      </c>
      <c r="K27" s="4" t="str">
        <f>HYPERLINK("http://legacy.baseballprospectus.com/fantasy/dc/index.php?tm=MIL","MIL")</f>
        <v>MIL</v>
      </c>
      <c r="L27" t="s">
        <v>100</v>
      </c>
      <c r="M27" t="s">
        <v>34</v>
      </c>
      <c r="N27">
        <v>32</v>
      </c>
      <c r="O27">
        <v>588</v>
      </c>
      <c r="P27">
        <v>148</v>
      </c>
      <c r="Q27">
        <v>538</v>
      </c>
      <c r="R27">
        <v>69</v>
      </c>
      <c r="S27">
        <v>106</v>
      </c>
      <c r="T27">
        <v>27</v>
      </c>
      <c r="U27">
        <v>3</v>
      </c>
      <c r="V27">
        <v>12</v>
      </c>
      <c r="W27">
        <v>148</v>
      </c>
      <c r="X27">
        <v>217</v>
      </c>
      <c r="Y27">
        <v>63</v>
      </c>
      <c r="Z27">
        <v>41</v>
      </c>
      <c r="AA27">
        <v>3</v>
      </c>
      <c r="AB27">
        <v>6</v>
      </c>
      <c r="AC27">
        <v>114</v>
      </c>
      <c r="AD27">
        <v>0</v>
      </c>
      <c r="AE27">
        <v>3</v>
      </c>
      <c r="AF27">
        <v>17</v>
      </c>
      <c r="AG27">
        <v>22</v>
      </c>
      <c r="AH27">
        <v>4</v>
      </c>
      <c r="AI27" s="5">
        <v>0.27500000000000002</v>
      </c>
      <c r="AJ27" s="5">
        <v>0.33200000000000002</v>
      </c>
      <c r="AK27" s="5">
        <v>0.40300000000000002</v>
      </c>
      <c r="AL27" s="5">
        <v>0.26</v>
      </c>
      <c r="AM27" s="5">
        <v>0.32900000000000001</v>
      </c>
      <c r="AN27">
        <v>2.7</v>
      </c>
      <c r="AO27">
        <v>0.86</v>
      </c>
      <c r="AP27">
        <v>15.79</v>
      </c>
      <c r="AQ27">
        <v>-0.18</v>
      </c>
      <c r="AR27">
        <v>14.4</v>
      </c>
      <c r="AS27" t="s">
        <v>4986</v>
      </c>
      <c r="AT27">
        <v>3.4</v>
      </c>
      <c r="AU27">
        <v>19.100000000000001</v>
      </c>
      <c r="AV27">
        <v>1</v>
      </c>
      <c r="AW27">
        <v>42</v>
      </c>
      <c r="AX27">
        <v>2</v>
      </c>
      <c r="AY27">
        <v>12</v>
      </c>
      <c r="AZ27" t="s">
        <v>3549</v>
      </c>
      <c r="BA27">
        <v>93</v>
      </c>
      <c r="BB27" t="s">
        <v>35</v>
      </c>
      <c r="BC27" t="s">
        <v>36</v>
      </c>
      <c r="BD27" s="4">
        <f>HYPERLINK("http://mlb.mlb.com/team/player.jsp?player_id=456715",456715)</f>
        <v>456715</v>
      </c>
      <c r="BE27">
        <v>1708</v>
      </c>
      <c r="BF27">
        <v>708</v>
      </c>
      <c r="BG27">
        <v>645</v>
      </c>
      <c r="BH27">
        <v>584</v>
      </c>
    </row>
    <row r="28" spans="1:60" x14ac:dyDescent="0.3">
      <c r="A28" s="4">
        <f>HYPERLINK("http://legacy.baseballprospectus.com/p/100631",100631)</f>
        <v>100631</v>
      </c>
      <c r="B28" t="s">
        <v>1135</v>
      </c>
      <c r="C28" t="s">
        <v>1136</v>
      </c>
      <c r="D28" s="10">
        <v>34321</v>
      </c>
      <c r="E28" t="s">
        <v>65</v>
      </c>
      <c r="F28" t="s">
        <v>33</v>
      </c>
      <c r="G28" t="s">
        <v>33</v>
      </c>
      <c r="H28">
        <v>74</v>
      </c>
      <c r="I28">
        <v>190</v>
      </c>
      <c r="J28">
        <v>2018</v>
      </c>
      <c r="K28" s="4" t="str">
        <f>HYPERLINK("http://legacy.baseballprospectus.com/fantasy/dc/index.php?tm=MIN","MIN")</f>
        <v>MIN</v>
      </c>
      <c r="L28" t="s">
        <v>95</v>
      </c>
      <c r="M28" t="s">
        <v>34</v>
      </c>
      <c r="N28">
        <v>24</v>
      </c>
      <c r="O28">
        <v>602</v>
      </c>
      <c r="P28">
        <v>154</v>
      </c>
      <c r="Q28">
        <v>546</v>
      </c>
      <c r="R28">
        <v>80</v>
      </c>
      <c r="S28">
        <v>84</v>
      </c>
      <c r="T28">
        <v>23</v>
      </c>
      <c r="U28">
        <v>9</v>
      </c>
      <c r="V28">
        <v>21</v>
      </c>
      <c r="W28">
        <v>137</v>
      </c>
      <c r="X28">
        <v>241</v>
      </c>
      <c r="Y28">
        <v>72</v>
      </c>
      <c r="Z28">
        <v>43</v>
      </c>
      <c r="AA28">
        <v>3</v>
      </c>
      <c r="AB28">
        <v>5</v>
      </c>
      <c r="AC28">
        <v>178</v>
      </c>
      <c r="AD28">
        <v>4</v>
      </c>
      <c r="AE28">
        <v>3</v>
      </c>
      <c r="AF28">
        <v>7</v>
      </c>
      <c r="AG28">
        <v>25</v>
      </c>
      <c r="AH28">
        <v>3</v>
      </c>
      <c r="AI28" s="5">
        <v>0.251</v>
      </c>
      <c r="AJ28" s="5">
        <v>0.31</v>
      </c>
      <c r="AK28" s="5">
        <v>0.441</v>
      </c>
      <c r="AL28" s="5">
        <v>0.252</v>
      </c>
      <c r="AM28" s="5">
        <v>0.32800000000000001</v>
      </c>
      <c r="AN28">
        <v>5</v>
      </c>
      <c r="AO28">
        <v>0.88</v>
      </c>
      <c r="AP28">
        <v>16.16</v>
      </c>
      <c r="AQ28">
        <v>-5.2</v>
      </c>
      <c r="AR28">
        <v>17.3</v>
      </c>
      <c r="AS28" t="s">
        <v>3538</v>
      </c>
      <c r="AT28">
        <v>3.4</v>
      </c>
      <c r="AU28">
        <v>16.899999999999999</v>
      </c>
      <c r="AV28">
        <v>3</v>
      </c>
      <c r="AW28">
        <v>50</v>
      </c>
      <c r="AX28">
        <v>8</v>
      </c>
      <c r="AY28">
        <v>7</v>
      </c>
      <c r="AZ28" t="s">
        <v>3556</v>
      </c>
      <c r="BA28">
        <v>95</v>
      </c>
      <c r="BB28" t="s">
        <v>35</v>
      </c>
      <c r="BC28" t="s">
        <v>36</v>
      </c>
      <c r="BD28" s="4">
        <f>HYPERLINK("http://mlb.mlb.com/team/player.jsp?player_id=621439",621439)</f>
        <v>621439</v>
      </c>
      <c r="BE28">
        <v>581</v>
      </c>
      <c r="BF28">
        <v>1581</v>
      </c>
      <c r="BG28">
        <v>511</v>
      </c>
      <c r="BH28">
        <v>462</v>
      </c>
    </row>
    <row r="29" spans="1:60" x14ac:dyDescent="0.3">
      <c r="A29" s="4">
        <f>HYPERLINK("http://legacy.baseballprospectus.com/p/102005",102005)</f>
        <v>102005</v>
      </c>
      <c r="B29" t="s">
        <v>93</v>
      </c>
      <c r="C29" t="s">
        <v>119</v>
      </c>
      <c r="D29" s="10">
        <v>31806</v>
      </c>
      <c r="E29" t="s">
        <v>50</v>
      </c>
      <c r="F29" t="s">
        <v>33</v>
      </c>
      <c r="G29" t="s">
        <v>33</v>
      </c>
      <c r="H29">
        <v>75</v>
      </c>
      <c r="I29">
        <v>255</v>
      </c>
      <c r="J29">
        <v>2018</v>
      </c>
      <c r="K29" s="4" t="str">
        <f>HYPERLINK("http://legacy.baseballprospectus.com/fantasy/dc/index.php?tm=CHA","CHA")</f>
        <v>CHA</v>
      </c>
      <c r="L29" t="s">
        <v>95</v>
      </c>
      <c r="M29" t="s">
        <v>34</v>
      </c>
      <c r="N29">
        <v>31</v>
      </c>
      <c r="O29">
        <v>636</v>
      </c>
      <c r="P29">
        <v>152</v>
      </c>
      <c r="Q29">
        <v>578</v>
      </c>
      <c r="R29">
        <v>84</v>
      </c>
      <c r="S29">
        <v>103</v>
      </c>
      <c r="T29">
        <v>32</v>
      </c>
      <c r="U29">
        <v>3</v>
      </c>
      <c r="V29">
        <v>29</v>
      </c>
      <c r="W29">
        <v>167</v>
      </c>
      <c r="X29">
        <v>292</v>
      </c>
      <c r="Y29">
        <v>96</v>
      </c>
      <c r="Z29">
        <v>41</v>
      </c>
      <c r="AA29">
        <v>9</v>
      </c>
      <c r="AB29">
        <v>13</v>
      </c>
      <c r="AC29">
        <v>124</v>
      </c>
      <c r="AD29">
        <v>0</v>
      </c>
      <c r="AE29">
        <v>3</v>
      </c>
      <c r="AF29">
        <v>19</v>
      </c>
      <c r="AG29">
        <v>2</v>
      </c>
      <c r="AH29">
        <v>1</v>
      </c>
      <c r="AI29" s="5">
        <v>0.28899999999999998</v>
      </c>
      <c r="AJ29" s="5">
        <v>0.34799999999999998</v>
      </c>
      <c r="AK29" s="5">
        <v>0.505</v>
      </c>
      <c r="AL29" s="5">
        <v>0.29099999999999998</v>
      </c>
      <c r="AM29" s="5">
        <v>0.32200000000000001</v>
      </c>
      <c r="AN29">
        <v>-1</v>
      </c>
      <c r="AO29">
        <v>-7.16</v>
      </c>
      <c r="AP29">
        <v>17.079999999999998</v>
      </c>
      <c r="AQ29">
        <v>20.420000000000002</v>
      </c>
      <c r="AR29">
        <v>3.8</v>
      </c>
      <c r="AS29" t="s">
        <v>3562</v>
      </c>
      <c r="AT29">
        <v>3.3</v>
      </c>
      <c r="AU29">
        <v>29.4</v>
      </c>
      <c r="AV29">
        <v>1</v>
      </c>
      <c r="AW29">
        <v>36</v>
      </c>
      <c r="AX29">
        <v>4</v>
      </c>
      <c r="AY29">
        <v>4</v>
      </c>
      <c r="AZ29" t="s">
        <v>3563</v>
      </c>
      <c r="BA29">
        <v>95</v>
      </c>
      <c r="BB29" t="s">
        <v>35</v>
      </c>
      <c r="BC29" t="s">
        <v>36</v>
      </c>
      <c r="BD29" s="4">
        <f>HYPERLINK("http://mlb.mlb.com/team/player.jsp?player_id=547989",547989)</f>
        <v>547989</v>
      </c>
      <c r="BE29">
        <v>403</v>
      </c>
      <c r="BF29">
        <v>1403</v>
      </c>
      <c r="BG29">
        <v>675</v>
      </c>
      <c r="BH29">
        <v>621</v>
      </c>
    </row>
    <row r="30" spans="1:60" x14ac:dyDescent="0.3">
      <c r="A30" s="4">
        <f>HYPERLINK("http://legacy.baseballprospectus.com/p/101652",101652)</f>
        <v>101652</v>
      </c>
      <c r="B30" t="s">
        <v>1139</v>
      </c>
      <c r="C30" t="s">
        <v>1140</v>
      </c>
      <c r="D30" s="10">
        <v>33214</v>
      </c>
      <c r="E30" t="s">
        <v>57</v>
      </c>
      <c r="F30" t="s">
        <v>33</v>
      </c>
      <c r="G30" t="s">
        <v>33</v>
      </c>
      <c r="H30">
        <v>74</v>
      </c>
      <c r="I30">
        <v>240</v>
      </c>
      <c r="J30">
        <v>2018</v>
      </c>
      <c r="K30" s="4" t="str">
        <f>HYPERLINK("http://legacy.baseballprospectus.com/fantasy/dc/index.php?tm=LAN","LAN")</f>
        <v>LAN</v>
      </c>
      <c r="L30" t="s">
        <v>100</v>
      </c>
      <c r="M30" t="s">
        <v>34</v>
      </c>
      <c r="N30">
        <v>27</v>
      </c>
      <c r="O30">
        <v>525</v>
      </c>
      <c r="P30">
        <v>129</v>
      </c>
      <c r="Q30">
        <v>467</v>
      </c>
      <c r="R30">
        <v>71</v>
      </c>
      <c r="S30">
        <v>78</v>
      </c>
      <c r="T30">
        <v>24</v>
      </c>
      <c r="U30">
        <v>3</v>
      </c>
      <c r="V30">
        <v>21</v>
      </c>
      <c r="W30">
        <v>126</v>
      </c>
      <c r="X30">
        <v>219</v>
      </c>
      <c r="Y30">
        <v>72</v>
      </c>
      <c r="Z30">
        <v>49</v>
      </c>
      <c r="AA30">
        <v>4</v>
      </c>
      <c r="AB30">
        <v>7</v>
      </c>
      <c r="AC30">
        <v>103</v>
      </c>
      <c r="AD30">
        <v>0</v>
      </c>
      <c r="AE30">
        <v>2</v>
      </c>
      <c r="AF30">
        <v>11</v>
      </c>
      <c r="AG30">
        <v>10</v>
      </c>
      <c r="AH30">
        <v>5</v>
      </c>
      <c r="AI30" s="5">
        <v>0.27</v>
      </c>
      <c r="AJ30" s="5">
        <v>0.34699999999999998</v>
      </c>
      <c r="AK30" s="5">
        <v>0.46899999999999997</v>
      </c>
      <c r="AL30" s="5">
        <v>0.28799999999999998</v>
      </c>
      <c r="AM30" s="5">
        <v>0.307</v>
      </c>
      <c r="AN30">
        <v>-0.2</v>
      </c>
      <c r="AO30">
        <v>-1.87</v>
      </c>
      <c r="AP30">
        <v>14.1</v>
      </c>
      <c r="AQ30">
        <v>15.19</v>
      </c>
      <c r="AR30">
        <v>5.9</v>
      </c>
      <c r="AS30" t="s">
        <v>4826</v>
      </c>
      <c r="AT30">
        <v>3.3</v>
      </c>
      <c r="AU30">
        <v>27.2</v>
      </c>
      <c r="AV30">
        <v>0</v>
      </c>
      <c r="AW30">
        <v>57</v>
      </c>
      <c r="AX30">
        <v>7</v>
      </c>
      <c r="AY30">
        <v>6</v>
      </c>
      <c r="AZ30" t="s">
        <v>3557</v>
      </c>
      <c r="BA30">
        <v>99</v>
      </c>
      <c r="BB30" t="s">
        <v>35</v>
      </c>
      <c r="BC30" t="s">
        <v>36</v>
      </c>
      <c r="BD30" s="4">
        <f>HYPERLINK("http://mlb.mlb.com/team/player.jsp?player_id=624577",624577)</f>
        <v>624577</v>
      </c>
      <c r="BE30">
        <v>1584</v>
      </c>
      <c r="BF30">
        <v>584</v>
      </c>
      <c r="BG30">
        <v>570</v>
      </c>
      <c r="BH30">
        <v>499</v>
      </c>
    </row>
    <row r="31" spans="1:60" x14ac:dyDescent="0.3">
      <c r="A31" s="4">
        <f>HYPERLINK("http://legacy.baseballprospectus.com/p/67049",67049)</f>
        <v>67049</v>
      </c>
      <c r="B31" t="s">
        <v>488</v>
      </c>
      <c r="C31" t="s">
        <v>489</v>
      </c>
      <c r="D31" s="10">
        <v>33791</v>
      </c>
      <c r="E31" t="s">
        <v>53</v>
      </c>
      <c r="F31" t="s">
        <v>33</v>
      </c>
      <c r="G31" t="s">
        <v>33</v>
      </c>
      <c r="H31">
        <v>75</v>
      </c>
      <c r="I31">
        <v>185</v>
      </c>
      <c r="J31">
        <v>2018</v>
      </c>
      <c r="K31" s="4" t="str">
        <f>HYPERLINK("http://legacy.baseballprospectus.com/fantasy/dc/index.php?tm=BAL","BAL")</f>
        <v>BAL</v>
      </c>
      <c r="L31" t="s">
        <v>95</v>
      </c>
      <c r="M31" t="s">
        <v>34</v>
      </c>
      <c r="N31">
        <v>25</v>
      </c>
      <c r="O31">
        <v>651</v>
      </c>
      <c r="P31">
        <v>151</v>
      </c>
      <c r="Q31">
        <v>596</v>
      </c>
      <c r="R31">
        <v>94</v>
      </c>
      <c r="S31">
        <v>106</v>
      </c>
      <c r="T31">
        <v>34</v>
      </c>
      <c r="U31">
        <v>2</v>
      </c>
      <c r="V31">
        <v>27</v>
      </c>
      <c r="W31">
        <v>169</v>
      </c>
      <c r="X31">
        <v>288</v>
      </c>
      <c r="Y31">
        <v>84</v>
      </c>
      <c r="Z31">
        <v>46</v>
      </c>
      <c r="AA31">
        <v>4</v>
      </c>
      <c r="AB31">
        <v>3</v>
      </c>
      <c r="AC31">
        <v>106</v>
      </c>
      <c r="AD31">
        <v>2</v>
      </c>
      <c r="AE31">
        <v>4</v>
      </c>
      <c r="AF31">
        <v>17</v>
      </c>
      <c r="AG31">
        <v>8</v>
      </c>
      <c r="AH31">
        <v>4</v>
      </c>
      <c r="AI31" s="5">
        <v>0.28399999999999997</v>
      </c>
      <c r="AJ31" s="5">
        <v>0.33600000000000002</v>
      </c>
      <c r="AK31" s="5">
        <v>0.48299999999999998</v>
      </c>
      <c r="AL31" s="5">
        <v>0.27700000000000002</v>
      </c>
      <c r="AM31" s="5">
        <v>0.30099999999999999</v>
      </c>
      <c r="AN31">
        <v>-0.9</v>
      </c>
      <c r="AO31">
        <v>3.85</v>
      </c>
      <c r="AP31">
        <v>17.48</v>
      </c>
      <c r="AQ31">
        <v>11.65</v>
      </c>
      <c r="AR31">
        <v>-1.1000000000000001</v>
      </c>
      <c r="AS31" t="s">
        <v>4827</v>
      </c>
      <c r="AT31">
        <v>3.1</v>
      </c>
      <c r="AU31">
        <v>32.1</v>
      </c>
      <c r="AV31">
        <v>2</v>
      </c>
      <c r="AW31">
        <v>72</v>
      </c>
      <c r="AX31">
        <v>1</v>
      </c>
      <c r="AY31">
        <v>1</v>
      </c>
      <c r="AZ31" t="s">
        <v>3559</v>
      </c>
      <c r="BA31">
        <v>99</v>
      </c>
      <c r="BB31" t="s">
        <v>35</v>
      </c>
      <c r="BC31" t="s">
        <v>36</v>
      </c>
      <c r="BD31" s="4">
        <f>HYPERLINK("http://mlb.mlb.com/team/player.jsp?player_id=592518",592518)</f>
        <v>592518</v>
      </c>
      <c r="BE31">
        <v>463</v>
      </c>
      <c r="BF31">
        <v>1463</v>
      </c>
      <c r="BG31">
        <v>690</v>
      </c>
      <c r="BH31">
        <v>630</v>
      </c>
    </row>
    <row r="32" spans="1:60" x14ac:dyDescent="0.3">
      <c r="A32" s="4">
        <f>HYPERLINK("http://legacy.baseballprospectus.com/p/31483",31483)</f>
        <v>31483</v>
      </c>
      <c r="B32" t="s">
        <v>214</v>
      </c>
      <c r="C32" t="s">
        <v>218</v>
      </c>
      <c r="D32" s="10">
        <v>30424</v>
      </c>
      <c r="E32" t="s">
        <v>50</v>
      </c>
      <c r="F32" t="s">
        <v>33</v>
      </c>
      <c r="G32" t="s">
        <v>33</v>
      </c>
      <c r="H32">
        <v>76</v>
      </c>
      <c r="I32">
        <v>240</v>
      </c>
      <c r="J32">
        <v>2018</v>
      </c>
      <c r="K32" s="4" t="str">
        <f>HYPERLINK("http://legacy.baseballprospectus.com/fantasy/dc/index.php?tm=DET","DET")</f>
        <v>DET</v>
      </c>
      <c r="L32" t="s">
        <v>95</v>
      </c>
      <c r="M32" t="s">
        <v>34</v>
      </c>
      <c r="N32">
        <v>35</v>
      </c>
      <c r="O32">
        <v>603</v>
      </c>
      <c r="P32">
        <v>144</v>
      </c>
      <c r="Q32">
        <v>529</v>
      </c>
      <c r="R32">
        <v>82</v>
      </c>
      <c r="S32">
        <v>102</v>
      </c>
      <c r="T32">
        <v>29</v>
      </c>
      <c r="U32">
        <v>1</v>
      </c>
      <c r="V32">
        <v>26</v>
      </c>
      <c r="W32">
        <v>158</v>
      </c>
      <c r="X32">
        <v>267</v>
      </c>
      <c r="Y32">
        <v>90</v>
      </c>
      <c r="Z32">
        <v>67</v>
      </c>
      <c r="AA32">
        <v>12</v>
      </c>
      <c r="AB32">
        <v>4</v>
      </c>
      <c r="AC32">
        <v>105</v>
      </c>
      <c r="AD32">
        <v>0</v>
      </c>
      <c r="AE32">
        <v>3</v>
      </c>
      <c r="AF32">
        <v>19</v>
      </c>
      <c r="AG32">
        <v>1</v>
      </c>
      <c r="AH32">
        <v>1</v>
      </c>
      <c r="AI32" s="5">
        <v>0.29899999999999999</v>
      </c>
      <c r="AJ32" s="5">
        <v>0.38</v>
      </c>
      <c r="AK32" s="5">
        <v>0.505</v>
      </c>
      <c r="AL32" s="5">
        <v>0.29599999999999999</v>
      </c>
      <c r="AM32" s="5">
        <v>0.33</v>
      </c>
      <c r="AN32">
        <v>-1.5</v>
      </c>
      <c r="AO32">
        <v>-6.72</v>
      </c>
      <c r="AP32">
        <v>16.190000000000001</v>
      </c>
      <c r="AQ32">
        <v>22.56</v>
      </c>
      <c r="AR32">
        <v>0.2</v>
      </c>
      <c r="AS32" t="s">
        <v>1005</v>
      </c>
      <c r="AT32">
        <v>3.1</v>
      </c>
      <c r="AU32">
        <v>30.5</v>
      </c>
      <c r="AV32">
        <v>1</v>
      </c>
      <c r="AW32">
        <v>28</v>
      </c>
      <c r="AX32">
        <v>2</v>
      </c>
      <c r="AY32">
        <v>9</v>
      </c>
      <c r="AZ32" t="s">
        <v>3570</v>
      </c>
      <c r="BA32">
        <v>96</v>
      </c>
      <c r="BB32" t="s">
        <v>35</v>
      </c>
      <c r="BC32" t="s">
        <v>36</v>
      </c>
      <c r="BD32" s="4">
        <f>HYPERLINK("http://mlb.mlb.com/team/player.jsp?player_id=408234",408234)</f>
        <v>408234</v>
      </c>
      <c r="BE32">
        <v>411</v>
      </c>
      <c r="BF32">
        <v>1411</v>
      </c>
      <c r="BG32">
        <v>529</v>
      </c>
      <c r="BH32">
        <v>469</v>
      </c>
    </row>
    <row r="33" spans="1:60" x14ac:dyDescent="0.3">
      <c r="A33" s="4">
        <f>HYPERLINK("http://legacy.baseballprospectus.com/p/53004",53004)</f>
        <v>53004</v>
      </c>
      <c r="B33" t="s">
        <v>1030</v>
      </c>
      <c r="C33" t="s">
        <v>1031</v>
      </c>
      <c r="D33" s="10">
        <v>31338</v>
      </c>
      <c r="E33" t="s">
        <v>59</v>
      </c>
      <c r="F33" t="s">
        <v>33</v>
      </c>
      <c r="G33" t="s">
        <v>33</v>
      </c>
      <c r="H33">
        <v>70</v>
      </c>
      <c r="I33">
        <v>220</v>
      </c>
      <c r="J33">
        <v>2018</v>
      </c>
      <c r="K33" s="4" t="str">
        <f>HYPERLINK("http://legacy.baseballprospectus.com/fantasy/dc/index.php?tm=NYN","NYN")</f>
        <v>NYN</v>
      </c>
      <c r="L33" t="s">
        <v>100</v>
      </c>
      <c r="M33" t="s">
        <v>34</v>
      </c>
      <c r="N33">
        <v>32</v>
      </c>
      <c r="O33">
        <v>600</v>
      </c>
      <c r="P33">
        <v>145</v>
      </c>
      <c r="Q33">
        <v>552</v>
      </c>
      <c r="R33">
        <v>76</v>
      </c>
      <c r="S33">
        <v>86</v>
      </c>
      <c r="T33">
        <v>28</v>
      </c>
      <c r="U33">
        <v>3</v>
      </c>
      <c r="V33">
        <v>28</v>
      </c>
      <c r="W33">
        <v>145</v>
      </c>
      <c r="X33">
        <v>263</v>
      </c>
      <c r="Y33">
        <v>89</v>
      </c>
      <c r="Z33">
        <v>39</v>
      </c>
      <c r="AA33">
        <v>5</v>
      </c>
      <c r="AB33">
        <v>5</v>
      </c>
      <c r="AC33">
        <v>127</v>
      </c>
      <c r="AD33">
        <v>0</v>
      </c>
      <c r="AE33">
        <v>4</v>
      </c>
      <c r="AF33">
        <v>14</v>
      </c>
      <c r="AG33">
        <v>4</v>
      </c>
      <c r="AH33">
        <v>2</v>
      </c>
      <c r="AI33" s="5">
        <v>0.26300000000000001</v>
      </c>
      <c r="AJ33" s="5">
        <v>0.315</v>
      </c>
      <c r="AK33" s="5">
        <v>0.47599999999999998</v>
      </c>
      <c r="AL33" s="5">
        <v>0.27400000000000002</v>
      </c>
      <c r="AM33" s="5">
        <v>0.29199999999999998</v>
      </c>
      <c r="AN33">
        <v>-0.9</v>
      </c>
      <c r="AO33">
        <v>-1.1299999999999999</v>
      </c>
      <c r="AP33">
        <v>16.11</v>
      </c>
      <c r="AQ33">
        <v>8.7899999999999991</v>
      </c>
      <c r="AR33">
        <v>8.4</v>
      </c>
      <c r="AS33" t="s">
        <v>4963</v>
      </c>
      <c r="AT33">
        <v>3.1</v>
      </c>
      <c r="AU33">
        <v>22.9</v>
      </c>
      <c r="AV33">
        <v>1</v>
      </c>
      <c r="AW33">
        <v>34</v>
      </c>
      <c r="AX33">
        <v>3</v>
      </c>
      <c r="AY33">
        <v>13</v>
      </c>
      <c r="AZ33" t="s">
        <v>3560</v>
      </c>
      <c r="BA33">
        <v>96</v>
      </c>
      <c r="BB33" t="s">
        <v>35</v>
      </c>
      <c r="BC33" t="s">
        <v>36</v>
      </c>
      <c r="BD33" s="4">
        <f>HYPERLINK("http://mlb.mlb.com/team/player.jsp?player_id=493316",493316)</f>
        <v>493316</v>
      </c>
      <c r="BE33">
        <v>1611</v>
      </c>
      <c r="BF33">
        <v>611</v>
      </c>
      <c r="BG33">
        <v>321</v>
      </c>
      <c r="BH33">
        <v>291</v>
      </c>
    </row>
    <row r="34" spans="1:60" x14ac:dyDescent="0.3">
      <c r="A34" s="4">
        <f>HYPERLINK("http://legacy.baseballprospectus.com/p/102519",102519)</f>
        <v>102519</v>
      </c>
      <c r="B34" t="s">
        <v>1700</v>
      </c>
      <c r="C34" t="s">
        <v>584</v>
      </c>
      <c r="D34" s="10">
        <v>34893</v>
      </c>
      <c r="E34" t="s">
        <v>50</v>
      </c>
      <c r="F34" t="s">
        <v>9</v>
      </c>
      <c r="G34" t="s">
        <v>9</v>
      </c>
      <c r="H34">
        <v>76</v>
      </c>
      <c r="I34">
        <v>210</v>
      </c>
      <c r="J34">
        <v>2018</v>
      </c>
      <c r="K34" s="4" t="str">
        <f>HYPERLINK("http://legacy.baseballprospectus.com/fantasy/dc/index.php?tm=LAN","LAN")</f>
        <v>LAN</v>
      </c>
      <c r="L34" t="s">
        <v>100</v>
      </c>
      <c r="M34" t="s">
        <v>34</v>
      </c>
      <c r="N34">
        <v>22</v>
      </c>
      <c r="O34">
        <v>608</v>
      </c>
      <c r="P34">
        <v>154</v>
      </c>
      <c r="Q34">
        <v>538</v>
      </c>
      <c r="R34">
        <v>91</v>
      </c>
      <c r="S34">
        <v>69</v>
      </c>
      <c r="T34">
        <v>26</v>
      </c>
      <c r="U34">
        <v>2</v>
      </c>
      <c r="V34">
        <v>37</v>
      </c>
      <c r="W34">
        <v>134</v>
      </c>
      <c r="X34">
        <v>275</v>
      </c>
      <c r="Y34">
        <v>100</v>
      </c>
      <c r="Z34">
        <v>64</v>
      </c>
      <c r="AA34">
        <v>7</v>
      </c>
      <c r="AB34">
        <v>3</v>
      </c>
      <c r="AC34">
        <v>165</v>
      </c>
      <c r="AD34">
        <v>1</v>
      </c>
      <c r="AE34">
        <v>3</v>
      </c>
      <c r="AF34">
        <v>8</v>
      </c>
      <c r="AG34">
        <v>10</v>
      </c>
      <c r="AH34">
        <v>2</v>
      </c>
      <c r="AI34" s="5">
        <v>0.249</v>
      </c>
      <c r="AJ34" s="5">
        <v>0.33100000000000002</v>
      </c>
      <c r="AK34" s="5">
        <v>0.51100000000000001</v>
      </c>
      <c r="AL34" s="5">
        <v>0.28699999999999998</v>
      </c>
      <c r="AM34" s="5">
        <v>0.28399999999999997</v>
      </c>
      <c r="AN34">
        <v>0.5</v>
      </c>
      <c r="AO34">
        <v>-6.96</v>
      </c>
      <c r="AP34">
        <v>16.32</v>
      </c>
      <c r="AQ34">
        <v>17.18</v>
      </c>
      <c r="AR34">
        <v>4.2</v>
      </c>
      <c r="AS34" t="s">
        <v>3562</v>
      </c>
      <c r="AT34">
        <v>3.1</v>
      </c>
      <c r="AU34">
        <v>27</v>
      </c>
      <c r="AV34">
        <v>4</v>
      </c>
      <c r="AW34">
        <v>50</v>
      </c>
      <c r="AX34">
        <v>2</v>
      </c>
      <c r="AY34">
        <v>9</v>
      </c>
      <c r="AZ34" t="s">
        <v>3575</v>
      </c>
      <c r="BA34">
        <v>83</v>
      </c>
      <c r="BB34" t="s">
        <v>35</v>
      </c>
      <c r="BC34" t="s">
        <v>36</v>
      </c>
      <c r="BD34" s="4">
        <f>HYPERLINK("http://mlb.mlb.com/team/player.jsp?player_id=641355",641355)</f>
        <v>641355</v>
      </c>
      <c r="BE34">
        <v>1429</v>
      </c>
      <c r="BF34">
        <v>429</v>
      </c>
      <c r="BG34">
        <v>548</v>
      </c>
      <c r="BH34">
        <v>480</v>
      </c>
    </row>
    <row r="35" spans="1:60" x14ac:dyDescent="0.3">
      <c r="A35" s="4">
        <f>HYPERLINK("http://legacy.baseballprospectus.com/p/59275",59275)</f>
        <v>59275</v>
      </c>
      <c r="B35" t="s">
        <v>500</v>
      </c>
      <c r="C35" t="s">
        <v>307</v>
      </c>
      <c r="D35" s="10">
        <v>32010</v>
      </c>
      <c r="E35" t="s">
        <v>59</v>
      </c>
      <c r="F35" t="s">
        <v>33</v>
      </c>
      <c r="G35" t="s">
        <v>33</v>
      </c>
      <c r="H35">
        <v>75</v>
      </c>
      <c r="I35">
        <v>220</v>
      </c>
      <c r="J35">
        <v>2018</v>
      </c>
      <c r="K35" s="4" t="str">
        <f>HYPERLINK("http://legacy.baseballprospectus.com/fantasy/dc/index.php?tm=BOS","BOS")</f>
        <v>BOS</v>
      </c>
      <c r="L35" t="s">
        <v>95</v>
      </c>
      <c r="M35" t="s">
        <v>34</v>
      </c>
      <c r="N35">
        <v>30</v>
      </c>
      <c r="O35">
        <v>603</v>
      </c>
      <c r="P35">
        <v>150</v>
      </c>
      <c r="Q35">
        <v>549</v>
      </c>
      <c r="R35">
        <v>83</v>
      </c>
      <c r="S35">
        <v>88</v>
      </c>
      <c r="T35">
        <v>33</v>
      </c>
      <c r="U35">
        <v>2</v>
      </c>
      <c r="V35">
        <v>31</v>
      </c>
      <c r="W35">
        <v>154</v>
      </c>
      <c r="X35">
        <v>284</v>
      </c>
      <c r="Y35">
        <v>96</v>
      </c>
      <c r="Z35">
        <v>47</v>
      </c>
      <c r="AA35">
        <v>6</v>
      </c>
      <c r="AB35">
        <v>3</v>
      </c>
      <c r="AC35">
        <v>161</v>
      </c>
      <c r="AD35">
        <v>0</v>
      </c>
      <c r="AE35">
        <v>3</v>
      </c>
      <c r="AF35">
        <v>15</v>
      </c>
      <c r="AG35">
        <v>4</v>
      </c>
      <c r="AH35">
        <v>1</v>
      </c>
      <c r="AI35" s="5">
        <v>0.28100000000000003</v>
      </c>
      <c r="AJ35" s="5">
        <v>0.33900000000000002</v>
      </c>
      <c r="AK35" s="5">
        <v>0.51700000000000002</v>
      </c>
      <c r="AL35" s="5">
        <v>0.29199999999999998</v>
      </c>
      <c r="AM35" s="5">
        <v>0.34100000000000003</v>
      </c>
      <c r="AN35">
        <v>-0.9</v>
      </c>
      <c r="AO35">
        <v>-5.0999999999999996</v>
      </c>
      <c r="AP35">
        <v>16.190000000000001</v>
      </c>
      <c r="AQ35">
        <v>20.05</v>
      </c>
      <c r="AR35">
        <v>-0.8</v>
      </c>
      <c r="AS35" t="s">
        <v>4895</v>
      </c>
      <c r="AT35">
        <v>3</v>
      </c>
      <c r="AU35">
        <v>30.3</v>
      </c>
      <c r="AV35">
        <v>0</v>
      </c>
      <c r="AW35">
        <v>43</v>
      </c>
      <c r="AX35">
        <v>1</v>
      </c>
      <c r="AY35">
        <v>8</v>
      </c>
      <c r="AZ35" t="s">
        <v>3647</v>
      </c>
      <c r="BA35">
        <v>100</v>
      </c>
      <c r="BB35" t="s">
        <v>35</v>
      </c>
      <c r="BC35" t="s">
        <v>36</v>
      </c>
      <c r="BD35" s="4">
        <f>HYPERLINK("http://mlb.mlb.com/team/player.jsp?player_id=502110",502110)</f>
        <v>502110</v>
      </c>
      <c r="BE35">
        <v>1692</v>
      </c>
      <c r="BF35">
        <v>692</v>
      </c>
      <c r="BG35">
        <v>489</v>
      </c>
      <c r="BH35">
        <v>432</v>
      </c>
    </row>
    <row r="36" spans="1:60" x14ac:dyDescent="0.3">
      <c r="A36" s="4">
        <f>HYPERLINK("http://legacy.baseballprospectus.com/p/56034",56034)</f>
        <v>56034</v>
      </c>
      <c r="B36" t="s">
        <v>497</v>
      </c>
      <c r="C36" t="s">
        <v>498</v>
      </c>
      <c r="D36" s="10">
        <v>32425</v>
      </c>
      <c r="E36" t="s">
        <v>65</v>
      </c>
      <c r="F36" t="s">
        <v>33</v>
      </c>
      <c r="G36" t="s">
        <v>33</v>
      </c>
      <c r="H36">
        <v>73</v>
      </c>
      <c r="I36">
        <v>190</v>
      </c>
      <c r="J36">
        <v>2018</v>
      </c>
      <c r="K36" s="4" t="str">
        <f>HYPERLINK("http://legacy.baseballprospectus.com/fantasy/dc/index.php?tm=PIT","PIT")</f>
        <v>PIT</v>
      </c>
      <c r="L36" t="s">
        <v>100</v>
      </c>
      <c r="M36" t="s">
        <v>34</v>
      </c>
      <c r="N36">
        <v>29</v>
      </c>
      <c r="O36">
        <v>606</v>
      </c>
      <c r="P36">
        <v>147</v>
      </c>
      <c r="Q36">
        <v>555</v>
      </c>
      <c r="R36">
        <v>80</v>
      </c>
      <c r="S36">
        <v>107</v>
      </c>
      <c r="T36">
        <v>28</v>
      </c>
      <c r="U36">
        <v>5</v>
      </c>
      <c r="V36">
        <v>14</v>
      </c>
      <c r="W36">
        <v>154</v>
      </c>
      <c r="X36">
        <v>234</v>
      </c>
      <c r="Y36">
        <v>66</v>
      </c>
      <c r="Z36">
        <v>30</v>
      </c>
      <c r="AA36">
        <v>2</v>
      </c>
      <c r="AB36">
        <v>17</v>
      </c>
      <c r="AC36">
        <v>128</v>
      </c>
      <c r="AD36">
        <v>2</v>
      </c>
      <c r="AE36">
        <v>2</v>
      </c>
      <c r="AF36">
        <v>13</v>
      </c>
      <c r="AG36">
        <v>37</v>
      </c>
      <c r="AH36">
        <v>10</v>
      </c>
      <c r="AI36" s="5">
        <v>0.27700000000000002</v>
      </c>
      <c r="AJ36" s="5">
        <v>0.33300000000000002</v>
      </c>
      <c r="AK36" s="5">
        <v>0.42199999999999999</v>
      </c>
      <c r="AL36" s="5">
        <v>0.26700000000000002</v>
      </c>
      <c r="AM36" s="5">
        <v>0.33500000000000002</v>
      </c>
      <c r="AN36">
        <v>4.3</v>
      </c>
      <c r="AO36">
        <v>0.88</v>
      </c>
      <c r="AP36">
        <v>16.27</v>
      </c>
      <c r="AQ36">
        <v>4.45</v>
      </c>
      <c r="AR36">
        <v>3.8</v>
      </c>
      <c r="AS36" t="s">
        <v>4493</v>
      </c>
      <c r="AT36">
        <v>3</v>
      </c>
      <c r="AU36">
        <v>25.9</v>
      </c>
      <c r="AV36">
        <v>1</v>
      </c>
      <c r="AW36">
        <v>43</v>
      </c>
      <c r="AX36">
        <v>1</v>
      </c>
      <c r="AY36">
        <v>7</v>
      </c>
      <c r="AZ36" t="s">
        <v>3561</v>
      </c>
      <c r="BA36">
        <v>98</v>
      </c>
      <c r="BB36" t="s">
        <v>35</v>
      </c>
      <c r="BC36" t="s">
        <v>36</v>
      </c>
      <c r="BD36" s="4">
        <f>HYPERLINK("http://mlb.mlb.com/team/player.jsp?player_id=516782",516782)</f>
        <v>516782</v>
      </c>
      <c r="BE36">
        <v>1608</v>
      </c>
      <c r="BF36">
        <v>608</v>
      </c>
      <c r="BG36">
        <v>339</v>
      </c>
      <c r="BH36">
        <v>309</v>
      </c>
    </row>
    <row r="37" spans="1:60" x14ac:dyDescent="0.3">
      <c r="A37" s="4">
        <f>HYPERLINK("http://legacy.baseballprospectus.com/p/67746",67746)</f>
        <v>67746</v>
      </c>
      <c r="B37" t="s">
        <v>317</v>
      </c>
      <c r="C37" t="s">
        <v>313</v>
      </c>
      <c r="D37" s="10">
        <v>32483</v>
      </c>
      <c r="E37" t="s">
        <v>59</v>
      </c>
      <c r="F37" t="s">
        <v>9</v>
      </c>
      <c r="G37" t="s">
        <v>9</v>
      </c>
      <c r="H37">
        <v>68</v>
      </c>
      <c r="I37">
        <v>185</v>
      </c>
      <c r="J37">
        <v>2018</v>
      </c>
      <c r="K37" s="4" t="str">
        <f>HYPERLINK("http://legacy.baseballprospectus.com/fantasy/dc/index.php?tm=WAS","WAS")</f>
        <v>WAS</v>
      </c>
      <c r="L37" t="s">
        <v>100</v>
      </c>
      <c r="M37" t="s">
        <v>34</v>
      </c>
      <c r="N37">
        <v>29</v>
      </c>
      <c r="O37">
        <v>544</v>
      </c>
      <c r="P37">
        <v>126</v>
      </c>
      <c r="Q37">
        <v>482</v>
      </c>
      <c r="R37">
        <v>71</v>
      </c>
      <c r="S37">
        <v>98</v>
      </c>
      <c r="T37">
        <v>23</v>
      </c>
      <c r="U37">
        <v>6</v>
      </c>
      <c r="V37">
        <v>9</v>
      </c>
      <c r="W37">
        <v>136</v>
      </c>
      <c r="X37">
        <v>198</v>
      </c>
      <c r="Y37">
        <v>50</v>
      </c>
      <c r="Z37">
        <v>46</v>
      </c>
      <c r="AA37">
        <v>2</v>
      </c>
      <c r="AB37">
        <v>9</v>
      </c>
      <c r="AC37">
        <v>91</v>
      </c>
      <c r="AD37">
        <v>5</v>
      </c>
      <c r="AE37">
        <v>2</v>
      </c>
      <c r="AF37">
        <v>10</v>
      </c>
      <c r="AG37">
        <v>13</v>
      </c>
      <c r="AH37">
        <v>5</v>
      </c>
      <c r="AI37" s="5">
        <v>0.28199999999999997</v>
      </c>
      <c r="AJ37" s="5">
        <v>0.35399999999999998</v>
      </c>
      <c r="AK37" s="5">
        <v>0.41099999999999998</v>
      </c>
      <c r="AL37" s="5">
        <v>0.26300000000000001</v>
      </c>
      <c r="AM37" s="5">
        <v>0.32600000000000001</v>
      </c>
      <c r="AN37">
        <v>0.6</v>
      </c>
      <c r="AO37">
        <v>-0.9</v>
      </c>
      <c r="AP37">
        <v>14.61</v>
      </c>
      <c r="AQ37">
        <v>1.87</v>
      </c>
      <c r="AR37">
        <v>13.3</v>
      </c>
      <c r="AS37" t="s">
        <v>4965</v>
      </c>
      <c r="AT37">
        <v>3</v>
      </c>
      <c r="AU37">
        <v>16.2</v>
      </c>
      <c r="AV37">
        <v>0</v>
      </c>
      <c r="AW37">
        <v>49</v>
      </c>
      <c r="AX37">
        <v>4</v>
      </c>
      <c r="AY37">
        <v>9</v>
      </c>
      <c r="AZ37" t="s">
        <v>3569</v>
      </c>
      <c r="BA37">
        <v>99</v>
      </c>
      <c r="BB37" t="s">
        <v>35</v>
      </c>
      <c r="BC37" t="s">
        <v>36</v>
      </c>
      <c r="BD37" s="4">
        <f>HYPERLINK("http://mlb.mlb.com/team/player.jsp?player_id=594809",594809)</f>
        <v>594809</v>
      </c>
      <c r="BE37">
        <v>1627</v>
      </c>
      <c r="BF37">
        <v>627</v>
      </c>
      <c r="BG37">
        <v>107</v>
      </c>
      <c r="BH37">
        <v>91</v>
      </c>
    </row>
    <row r="38" spans="1:60" x14ac:dyDescent="0.3">
      <c r="A38" s="4">
        <f>HYPERLINK("http://legacy.baseballprospectus.com/p/104806",104806)</f>
        <v>104806</v>
      </c>
      <c r="B38" t="s">
        <v>1715</v>
      </c>
      <c r="C38" t="s">
        <v>1716</v>
      </c>
      <c r="D38" s="10">
        <v>34045</v>
      </c>
      <c r="E38" t="s">
        <v>59</v>
      </c>
      <c r="F38" t="s">
        <v>33</v>
      </c>
      <c r="G38" t="s">
        <v>33</v>
      </c>
      <c r="H38">
        <v>76</v>
      </c>
      <c r="I38">
        <v>225</v>
      </c>
      <c r="J38">
        <v>2018</v>
      </c>
      <c r="K38" s="4" t="str">
        <f>HYPERLINK("http://legacy.baseballprospectus.com/fantasy/dc/index.php?tm=PHI","PHI")</f>
        <v>PHI</v>
      </c>
      <c r="L38" t="s">
        <v>100</v>
      </c>
      <c r="M38" t="s">
        <v>34</v>
      </c>
      <c r="N38">
        <v>25</v>
      </c>
      <c r="O38">
        <v>597</v>
      </c>
      <c r="P38">
        <v>154</v>
      </c>
      <c r="Q38">
        <v>517</v>
      </c>
      <c r="R38">
        <v>89</v>
      </c>
      <c r="S38">
        <v>70</v>
      </c>
      <c r="T38">
        <v>25</v>
      </c>
      <c r="U38">
        <v>2</v>
      </c>
      <c r="V38">
        <v>36</v>
      </c>
      <c r="W38">
        <v>133</v>
      </c>
      <c r="X38">
        <v>270</v>
      </c>
      <c r="Y38">
        <v>101</v>
      </c>
      <c r="Z38">
        <v>69</v>
      </c>
      <c r="AA38">
        <v>2</v>
      </c>
      <c r="AB38">
        <v>8</v>
      </c>
      <c r="AC38">
        <v>141</v>
      </c>
      <c r="AD38">
        <v>0</v>
      </c>
      <c r="AE38">
        <v>3</v>
      </c>
      <c r="AF38">
        <v>12</v>
      </c>
      <c r="AG38">
        <v>3</v>
      </c>
      <c r="AH38">
        <v>1</v>
      </c>
      <c r="AI38" s="5">
        <v>0.25700000000000001</v>
      </c>
      <c r="AJ38" s="5">
        <v>0.35199999999999998</v>
      </c>
      <c r="AK38" s="5">
        <v>0.52200000000000002</v>
      </c>
      <c r="AL38" s="5">
        <v>0.29799999999999999</v>
      </c>
      <c r="AM38" s="5">
        <v>0.28399999999999997</v>
      </c>
      <c r="AN38">
        <v>-0.8</v>
      </c>
      <c r="AO38">
        <v>-2.15</v>
      </c>
      <c r="AP38">
        <v>16.03</v>
      </c>
      <c r="AQ38">
        <v>23.92</v>
      </c>
      <c r="AR38">
        <v>-6.7</v>
      </c>
      <c r="AS38" t="s">
        <v>3564</v>
      </c>
      <c r="AT38">
        <v>3</v>
      </c>
      <c r="AU38">
        <v>37</v>
      </c>
      <c r="AV38">
        <v>5</v>
      </c>
      <c r="AW38">
        <v>43</v>
      </c>
      <c r="AX38">
        <v>3</v>
      </c>
      <c r="AY38">
        <v>17</v>
      </c>
      <c r="AZ38" t="s">
        <v>3565</v>
      </c>
      <c r="BA38">
        <v>81</v>
      </c>
      <c r="BB38" t="s">
        <v>35</v>
      </c>
      <c r="BC38" t="s">
        <v>36</v>
      </c>
      <c r="BD38" s="4">
        <f>HYPERLINK("http://mlb.mlb.com/team/player.jsp?player_id=656555",656555)</f>
        <v>656555</v>
      </c>
      <c r="BE38">
        <v>1619</v>
      </c>
      <c r="BF38">
        <v>619</v>
      </c>
      <c r="BG38">
        <v>212</v>
      </c>
      <c r="BH38">
        <v>170</v>
      </c>
    </row>
    <row r="39" spans="1:60" x14ac:dyDescent="0.3">
      <c r="A39" s="4">
        <f>HYPERLINK("http://legacy.baseballprospectus.com/p/31564",31564)</f>
        <v>31564</v>
      </c>
      <c r="B39" t="s">
        <v>322</v>
      </c>
      <c r="C39" t="s">
        <v>323</v>
      </c>
      <c r="D39" s="10">
        <v>30323</v>
      </c>
      <c r="E39" t="s">
        <v>50</v>
      </c>
      <c r="F39" t="s">
        <v>33</v>
      </c>
      <c r="G39" t="s">
        <v>33</v>
      </c>
      <c r="H39">
        <v>73</v>
      </c>
      <c r="I39">
        <v>230</v>
      </c>
      <c r="J39">
        <v>2018</v>
      </c>
      <c r="K39" s="4" t="str">
        <f>HYPERLINK("http://legacy.baseballprospectus.com/fantasy/dc/index.php?tm=CLE","CLE")</f>
        <v>CLE</v>
      </c>
      <c r="L39" t="s">
        <v>95</v>
      </c>
      <c r="M39" t="s">
        <v>34</v>
      </c>
      <c r="N39">
        <v>35</v>
      </c>
      <c r="O39">
        <v>608</v>
      </c>
      <c r="P39">
        <v>144</v>
      </c>
      <c r="Q39">
        <v>525</v>
      </c>
      <c r="R39">
        <v>87</v>
      </c>
      <c r="S39">
        <v>77</v>
      </c>
      <c r="T39">
        <v>26</v>
      </c>
      <c r="U39">
        <v>1</v>
      </c>
      <c r="V39">
        <v>33</v>
      </c>
      <c r="W39">
        <v>137</v>
      </c>
      <c r="X39">
        <v>264</v>
      </c>
      <c r="Y39">
        <v>97</v>
      </c>
      <c r="Z39">
        <v>76</v>
      </c>
      <c r="AA39">
        <v>5</v>
      </c>
      <c r="AB39">
        <v>4</v>
      </c>
      <c r="AC39">
        <v>105</v>
      </c>
      <c r="AD39">
        <v>0</v>
      </c>
      <c r="AE39">
        <v>3</v>
      </c>
      <c r="AF39">
        <v>18</v>
      </c>
      <c r="AG39">
        <v>2</v>
      </c>
      <c r="AH39">
        <v>0</v>
      </c>
      <c r="AI39" s="5">
        <v>0.26100000000000001</v>
      </c>
      <c r="AJ39" s="5">
        <v>0.35699999999999998</v>
      </c>
      <c r="AK39" s="5">
        <v>0.503</v>
      </c>
      <c r="AL39" s="5">
        <v>0.29299999999999998</v>
      </c>
      <c r="AM39" s="5">
        <v>0.26700000000000002</v>
      </c>
      <c r="AN39">
        <v>-1</v>
      </c>
      <c r="AO39">
        <v>-6.23</v>
      </c>
      <c r="AP39">
        <v>16.32</v>
      </c>
      <c r="AQ39">
        <v>20.9</v>
      </c>
      <c r="AR39">
        <v>-0.9</v>
      </c>
      <c r="AS39" t="s">
        <v>64</v>
      </c>
      <c r="AT39">
        <v>2.9</v>
      </c>
      <c r="AU39">
        <v>30</v>
      </c>
      <c r="AV39">
        <v>1</v>
      </c>
      <c r="AW39">
        <v>27</v>
      </c>
      <c r="AX39">
        <v>2</v>
      </c>
      <c r="AY39">
        <v>9</v>
      </c>
      <c r="AZ39" t="s">
        <v>3578</v>
      </c>
      <c r="BA39">
        <v>96</v>
      </c>
      <c r="BB39" t="s">
        <v>35</v>
      </c>
      <c r="BC39" t="s">
        <v>36</v>
      </c>
      <c r="BD39" s="4">
        <f>HYPERLINK("http://mlb.mlb.com/team/player.jsp?player_id=429665",429665)</f>
        <v>429665</v>
      </c>
      <c r="BE39">
        <v>404</v>
      </c>
      <c r="BF39">
        <v>1404</v>
      </c>
      <c r="BG39">
        <v>669</v>
      </c>
      <c r="BH39">
        <v>554</v>
      </c>
    </row>
    <row r="40" spans="1:60" x14ac:dyDescent="0.3">
      <c r="A40" s="4">
        <f>HYPERLINK("http://legacy.baseballprospectus.com/p/31789",31789)</f>
        <v>31789</v>
      </c>
      <c r="B40" t="s">
        <v>228</v>
      </c>
      <c r="C40" t="s">
        <v>226</v>
      </c>
      <c r="D40" s="10">
        <v>30246</v>
      </c>
      <c r="E40" t="s">
        <v>58</v>
      </c>
      <c r="F40" t="s">
        <v>9</v>
      </c>
      <c r="G40" t="s">
        <v>33</v>
      </c>
      <c r="H40">
        <v>72</v>
      </c>
      <c r="I40">
        <v>210</v>
      </c>
      <c r="J40">
        <v>2018</v>
      </c>
      <c r="K40" s="4" t="str">
        <f>HYPERLINK("http://legacy.baseballprospectus.com/fantasy/dc/index.php?tm=SEA","SEA")</f>
        <v>SEA</v>
      </c>
      <c r="L40" t="s">
        <v>95</v>
      </c>
      <c r="M40" t="s">
        <v>34</v>
      </c>
      <c r="N40">
        <v>35</v>
      </c>
      <c r="O40">
        <v>620</v>
      </c>
      <c r="P40">
        <v>147</v>
      </c>
      <c r="Q40">
        <v>564</v>
      </c>
      <c r="R40">
        <v>74</v>
      </c>
      <c r="S40">
        <v>109</v>
      </c>
      <c r="T40">
        <v>31</v>
      </c>
      <c r="U40">
        <v>1</v>
      </c>
      <c r="V40">
        <v>20</v>
      </c>
      <c r="W40">
        <v>161</v>
      </c>
      <c r="X40">
        <v>254</v>
      </c>
      <c r="Y40">
        <v>80</v>
      </c>
      <c r="Z40">
        <v>48</v>
      </c>
      <c r="AA40">
        <v>10</v>
      </c>
      <c r="AB40">
        <v>5</v>
      </c>
      <c r="AC40">
        <v>84</v>
      </c>
      <c r="AD40">
        <v>0</v>
      </c>
      <c r="AE40">
        <v>3</v>
      </c>
      <c r="AF40">
        <v>19</v>
      </c>
      <c r="AG40">
        <v>2</v>
      </c>
      <c r="AH40">
        <v>2</v>
      </c>
      <c r="AI40" s="5">
        <v>0.28499999999999998</v>
      </c>
      <c r="AJ40" s="5">
        <v>0.34499999999999997</v>
      </c>
      <c r="AK40" s="5">
        <v>0.45</v>
      </c>
      <c r="AL40" s="5">
        <v>0.27900000000000003</v>
      </c>
      <c r="AM40" s="5">
        <v>0.30599999999999999</v>
      </c>
      <c r="AN40">
        <v>-1.6</v>
      </c>
      <c r="AO40">
        <v>2.12</v>
      </c>
      <c r="AP40">
        <v>16.649999999999999</v>
      </c>
      <c r="AQ40">
        <v>12.56</v>
      </c>
      <c r="AR40">
        <v>-1.1000000000000001</v>
      </c>
      <c r="AS40" t="s">
        <v>1020</v>
      </c>
      <c r="AT40">
        <v>2.9</v>
      </c>
      <c r="AU40">
        <v>29.8</v>
      </c>
      <c r="AV40">
        <v>1</v>
      </c>
      <c r="AW40">
        <v>29</v>
      </c>
      <c r="AX40">
        <v>8</v>
      </c>
      <c r="AY40">
        <v>15</v>
      </c>
      <c r="AZ40" t="s">
        <v>3568</v>
      </c>
      <c r="BA40">
        <v>92</v>
      </c>
      <c r="BB40" t="s">
        <v>35</v>
      </c>
      <c r="BC40" t="s">
        <v>36</v>
      </c>
      <c r="BD40" s="4">
        <f>HYPERLINK("http://mlb.mlb.com/team/player.jsp?player_id=429664",429664)</f>
        <v>429664</v>
      </c>
      <c r="BE40">
        <v>442</v>
      </c>
      <c r="BF40">
        <v>1442</v>
      </c>
      <c r="BG40">
        <v>648</v>
      </c>
      <c r="BH40">
        <v>592</v>
      </c>
    </row>
    <row r="41" spans="1:60" x14ac:dyDescent="0.3">
      <c r="A41" s="4">
        <f>HYPERLINK("http://legacy.baseballprospectus.com/p/340",340)</f>
        <v>340</v>
      </c>
      <c r="B41" t="s">
        <v>166</v>
      </c>
      <c r="C41" t="s">
        <v>167</v>
      </c>
      <c r="D41" s="10">
        <v>28952</v>
      </c>
      <c r="E41" t="s">
        <v>51</v>
      </c>
      <c r="F41" t="s">
        <v>33</v>
      </c>
      <c r="G41" t="s">
        <v>33</v>
      </c>
      <c r="H41">
        <v>71</v>
      </c>
      <c r="I41">
        <v>220</v>
      </c>
      <c r="J41">
        <v>2018</v>
      </c>
      <c r="K41" s="4" t="str">
        <f>HYPERLINK("http://legacy.baseballprospectus.com/fantasy/dc/index.php?tm=TEX","TEX")</f>
        <v>TEX</v>
      </c>
      <c r="L41" t="s">
        <v>95</v>
      </c>
      <c r="M41" t="s">
        <v>34</v>
      </c>
      <c r="N41">
        <v>39</v>
      </c>
      <c r="O41">
        <v>673</v>
      </c>
      <c r="P41">
        <v>154</v>
      </c>
      <c r="Q41">
        <v>612</v>
      </c>
      <c r="R41">
        <v>81</v>
      </c>
      <c r="S41">
        <v>120</v>
      </c>
      <c r="T41">
        <v>33</v>
      </c>
      <c r="U41">
        <v>1</v>
      </c>
      <c r="V41">
        <v>23</v>
      </c>
      <c r="W41">
        <v>177</v>
      </c>
      <c r="X41">
        <v>281</v>
      </c>
      <c r="Y41">
        <v>90</v>
      </c>
      <c r="Z41">
        <v>52</v>
      </c>
      <c r="AA41">
        <v>7</v>
      </c>
      <c r="AB41">
        <v>6</v>
      </c>
      <c r="AC41">
        <v>79</v>
      </c>
      <c r="AD41">
        <v>0</v>
      </c>
      <c r="AE41">
        <v>3</v>
      </c>
      <c r="AF41">
        <v>18</v>
      </c>
      <c r="AG41">
        <v>1</v>
      </c>
      <c r="AH41">
        <v>1</v>
      </c>
      <c r="AI41" s="5">
        <v>0.28899999999999998</v>
      </c>
      <c r="AJ41" s="5">
        <v>0.34899999999999998</v>
      </c>
      <c r="AK41" s="5">
        <v>0.45900000000000002</v>
      </c>
      <c r="AL41" s="5">
        <v>0.27600000000000002</v>
      </c>
      <c r="AM41" s="5">
        <v>0.30099999999999999</v>
      </c>
      <c r="AN41">
        <v>-1.3</v>
      </c>
      <c r="AO41">
        <v>-0.55000000000000004</v>
      </c>
      <c r="AP41">
        <v>18.07</v>
      </c>
      <c r="AQ41">
        <v>11.11</v>
      </c>
      <c r="AR41">
        <v>1.4</v>
      </c>
      <c r="AS41" t="s">
        <v>52</v>
      </c>
      <c r="AT41">
        <v>2.9</v>
      </c>
      <c r="AU41">
        <v>27.3</v>
      </c>
      <c r="AV41">
        <v>0</v>
      </c>
      <c r="AW41">
        <v>15</v>
      </c>
      <c r="AX41">
        <v>9</v>
      </c>
      <c r="AY41">
        <v>12</v>
      </c>
      <c r="AZ41" t="s">
        <v>3587</v>
      </c>
      <c r="BA41">
        <v>74</v>
      </c>
      <c r="BB41" t="s">
        <v>35</v>
      </c>
      <c r="BC41" t="s">
        <v>36</v>
      </c>
      <c r="BD41" s="4">
        <f>HYPERLINK("http://mlb.mlb.com/team/player.jsp?player_id=134181",134181)</f>
        <v>134181</v>
      </c>
      <c r="BE41">
        <v>472</v>
      </c>
      <c r="BF41">
        <v>1472</v>
      </c>
      <c r="BG41">
        <v>389</v>
      </c>
      <c r="BH41">
        <v>340</v>
      </c>
    </row>
    <row r="42" spans="1:60" x14ac:dyDescent="0.3">
      <c r="A42" s="4">
        <f>HYPERLINK("http://legacy.baseballprospectus.com/p/32570",32570)</f>
        <v>32570</v>
      </c>
      <c r="B42" t="s">
        <v>157</v>
      </c>
      <c r="C42" t="s">
        <v>119</v>
      </c>
      <c r="D42" s="10">
        <v>29513</v>
      </c>
      <c r="E42" t="s">
        <v>57</v>
      </c>
      <c r="F42" t="s">
        <v>33</v>
      </c>
      <c r="G42" t="s">
        <v>33</v>
      </c>
      <c r="H42">
        <v>72</v>
      </c>
      <c r="I42">
        <v>205</v>
      </c>
      <c r="J42">
        <v>2018</v>
      </c>
      <c r="K42" s="4" t="str">
        <f>HYPERLINK("http://legacy.baseballprospectus.com/fantasy/dc/index.php?tm=TOR","TOR")</f>
        <v>TOR</v>
      </c>
      <c r="L42" t="s">
        <v>95</v>
      </c>
      <c r="M42" t="s">
        <v>34</v>
      </c>
      <c r="N42">
        <v>37</v>
      </c>
      <c r="O42">
        <v>612</v>
      </c>
      <c r="P42" t="s">
        <v>1680</v>
      </c>
      <c r="Q42">
        <v>513</v>
      </c>
      <c r="R42">
        <v>82</v>
      </c>
      <c r="S42">
        <v>69</v>
      </c>
      <c r="T42">
        <v>25</v>
      </c>
      <c r="U42">
        <v>1</v>
      </c>
      <c r="V42">
        <v>28</v>
      </c>
      <c r="W42">
        <v>123</v>
      </c>
      <c r="X42">
        <v>234</v>
      </c>
      <c r="Y42">
        <v>87</v>
      </c>
      <c r="Z42">
        <v>89</v>
      </c>
      <c r="AA42">
        <v>3</v>
      </c>
      <c r="AB42">
        <v>6</v>
      </c>
      <c r="AC42">
        <v>120</v>
      </c>
      <c r="AD42">
        <v>0</v>
      </c>
      <c r="AE42">
        <v>4</v>
      </c>
      <c r="AF42">
        <v>17</v>
      </c>
      <c r="AG42">
        <v>5</v>
      </c>
      <c r="AH42">
        <v>2</v>
      </c>
      <c r="AI42" s="5">
        <v>0.24</v>
      </c>
      <c r="AJ42" s="5">
        <v>0.35599999999999998</v>
      </c>
      <c r="AK42" s="5">
        <v>0.45400000000000001</v>
      </c>
      <c r="AL42" s="5">
        <v>0.27400000000000002</v>
      </c>
      <c r="AM42" s="5">
        <v>0.25800000000000001</v>
      </c>
      <c r="AN42">
        <v>-0.7</v>
      </c>
      <c r="AO42">
        <v>-0.28000000000000003</v>
      </c>
      <c r="AP42">
        <v>17.14</v>
      </c>
      <c r="AQ42">
        <v>8.93</v>
      </c>
      <c r="AR42">
        <v>-0.9</v>
      </c>
      <c r="AS42" t="s">
        <v>4886</v>
      </c>
      <c r="AT42">
        <v>2.7</v>
      </c>
      <c r="AU42">
        <v>25.1</v>
      </c>
      <c r="AV42">
        <v>0</v>
      </c>
      <c r="AW42">
        <v>23</v>
      </c>
      <c r="AX42">
        <v>10</v>
      </c>
      <c r="AY42">
        <v>8</v>
      </c>
      <c r="AZ42" t="s">
        <v>3588</v>
      </c>
      <c r="BA42">
        <v>88</v>
      </c>
      <c r="BB42" t="s">
        <v>36</v>
      </c>
      <c r="BC42" t="s">
        <v>36</v>
      </c>
      <c r="BD42" s="4">
        <f>HYPERLINK("http://mlb.mlb.com/team/player.jsp?player_id=430832",430832)</f>
        <v>430832</v>
      </c>
      <c r="BE42">
        <v>0</v>
      </c>
      <c r="BF42">
        <v>0</v>
      </c>
      <c r="BG42">
        <v>686</v>
      </c>
      <c r="BH42">
        <v>587</v>
      </c>
    </row>
    <row r="43" spans="1:60" x14ac:dyDescent="0.3">
      <c r="A43" s="4">
        <f>HYPERLINK("http://legacy.baseballprospectus.com/p/51985",51985)</f>
        <v>51985</v>
      </c>
      <c r="B43" t="s">
        <v>674</v>
      </c>
      <c r="C43" t="s">
        <v>254</v>
      </c>
      <c r="D43" s="10">
        <v>32014</v>
      </c>
      <c r="E43" t="s">
        <v>59</v>
      </c>
      <c r="F43" t="s">
        <v>33</v>
      </c>
      <c r="G43" t="s">
        <v>33</v>
      </c>
      <c r="H43">
        <v>74</v>
      </c>
      <c r="I43">
        <v>205</v>
      </c>
      <c r="J43">
        <v>2018</v>
      </c>
      <c r="K43" s="4" t="str">
        <f>HYPERLINK("http://legacy.baseballprospectus.com/fantasy/dc/index.php?tm=ANA","ANA")</f>
        <v>ANA</v>
      </c>
      <c r="L43" t="s">
        <v>95</v>
      </c>
      <c r="M43" t="s">
        <v>34</v>
      </c>
      <c r="N43">
        <v>30</v>
      </c>
      <c r="O43">
        <v>616</v>
      </c>
      <c r="P43">
        <v>150</v>
      </c>
      <c r="Q43">
        <v>547</v>
      </c>
      <c r="R43">
        <v>85</v>
      </c>
      <c r="S43">
        <v>79</v>
      </c>
      <c r="T43">
        <v>28</v>
      </c>
      <c r="U43">
        <v>1</v>
      </c>
      <c r="V43">
        <v>29</v>
      </c>
      <c r="W43">
        <v>137</v>
      </c>
      <c r="X43">
        <v>254</v>
      </c>
      <c r="Y43">
        <v>88</v>
      </c>
      <c r="Z43">
        <v>62</v>
      </c>
      <c r="AA43">
        <v>3</v>
      </c>
      <c r="AB43">
        <v>5</v>
      </c>
      <c r="AC43">
        <v>164</v>
      </c>
      <c r="AD43">
        <v>0</v>
      </c>
      <c r="AE43">
        <v>3</v>
      </c>
      <c r="AF43">
        <v>13</v>
      </c>
      <c r="AG43">
        <v>13</v>
      </c>
      <c r="AH43">
        <v>5</v>
      </c>
      <c r="AI43" s="5">
        <v>0.25</v>
      </c>
      <c r="AJ43" s="5">
        <v>0.33100000000000002</v>
      </c>
      <c r="AK43" s="5">
        <v>0.46400000000000002</v>
      </c>
      <c r="AL43" s="5">
        <v>0.27600000000000002</v>
      </c>
      <c r="AM43" s="5">
        <v>0.30299999999999999</v>
      </c>
      <c r="AN43">
        <v>0.1</v>
      </c>
      <c r="AO43">
        <v>-1.1599999999999999</v>
      </c>
      <c r="AP43">
        <v>16.54</v>
      </c>
      <c r="AQ43">
        <v>10.5</v>
      </c>
      <c r="AR43">
        <v>0.8</v>
      </c>
      <c r="AS43" t="s">
        <v>1025</v>
      </c>
      <c r="AT43">
        <v>2.7</v>
      </c>
      <c r="AU43">
        <v>26</v>
      </c>
      <c r="AV43">
        <v>4</v>
      </c>
      <c r="AW43">
        <v>56</v>
      </c>
      <c r="AX43">
        <v>6</v>
      </c>
      <c r="AY43">
        <v>6</v>
      </c>
      <c r="AZ43" t="s">
        <v>3576</v>
      </c>
      <c r="BA43">
        <v>99</v>
      </c>
      <c r="BB43" t="s">
        <v>35</v>
      </c>
      <c r="BC43" t="s">
        <v>36</v>
      </c>
      <c r="BD43" s="4">
        <f>HYPERLINK("http://mlb.mlb.com/team/player.jsp?player_id=457708",457708)</f>
        <v>457708</v>
      </c>
      <c r="BE43">
        <v>562</v>
      </c>
      <c r="BF43">
        <v>1562</v>
      </c>
      <c r="BG43">
        <v>635</v>
      </c>
      <c r="BH43">
        <v>557</v>
      </c>
    </row>
    <row r="44" spans="1:60" x14ac:dyDescent="0.3">
      <c r="A44" s="4">
        <f>HYPERLINK("http://legacy.baseballprospectus.com/p/67156",67156)</f>
        <v>67156</v>
      </c>
      <c r="B44" t="s">
        <v>996</v>
      </c>
      <c r="C44" t="s">
        <v>172</v>
      </c>
      <c r="D44" s="10">
        <v>33577</v>
      </c>
      <c r="E44" t="s">
        <v>59</v>
      </c>
      <c r="F44" t="s">
        <v>9</v>
      </c>
      <c r="G44" t="s">
        <v>33</v>
      </c>
      <c r="H44">
        <v>75</v>
      </c>
      <c r="I44">
        <v>195</v>
      </c>
      <c r="J44">
        <v>2018</v>
      </c>
      <c r="K44" s="4" t="str">
        <f>HYPERLINK("http://legacy.baseballprospectus.com/fantasy/dc/index.php?tm=MIL","MIL")</f>
        <v>MIL</v>
      </c>
      <c r="L44" t="s">
        <v>100</v>
      </c>
      <c r="M44" t="s">
        <v>34</v>
      </c>
      <c r="N44">
        <v>26</v>
      </c>
      <c r="O44">
        <v>658</v>
      </c>
      <c r="P44">
        <v>154</v>
      </c>
      <c r="Q44">
        <v>582</v>
      </c>
      <c r="R44">
        <v>93</v>
      </c>
      <c r="S44">
        <v>108</v>
      </c>
      <c r="T44">
        <v>34</v>
      </c>
      <c r="U44">
        <v>3</v>
      </c>
      <c r="V44">
        <v>18</v>
      </c>
      <c r="W44">
        <v>163</v>
      </c>
      <c r="X44">
        <v>257</v>
      </c>
      <c r="Y44">
        <v>71</v>
      </c>
      <c r="Z44">
        <v>69</v>
      </c>
      <c r="AA44">
        <v>3</v>
      </c>
      <c r="AB44">
        <v>4</v>
      </c>
      <c r="AC44">
        <v>138</v>
      </c>
      <c r="AD44">
        <v>0</v>
      </c>
      <c r="AE44">
        <v>2</v>
      </c>
      <c r="AF44">
        <v>15</v>
      </c>
      <c r="AG44">
        <v>14</v>
      </c>
      <c r="AH44">
        <v>4</v>
      </c>
      <c r="AI44" s="5">
        <v>0.28000000000000003</v>
      </c>
      <c r="AJ44" s="5">
        <v>0.35899999999999999</v>
      </c>
      <c r="AK44" s="5">
        <v>0.442</v>
      </c>
      <c r="AL44" s="5">
        <v>0.27800000000000002</v>
      </c>
      <c r="AM44" s="5">
        <v>0.33800000000000002</v>
      </c>
      <c r="AN44">
        <v>0.6</v>
      </c>
      <c r="AO44">
        <v>-1.24</v>
      </c>
      <c r="AP44">
        <v>17.670000000000002</v>
      </c>
      <c r="AQ44">
        <v>12.71</v>
      </c>
      <c r="AR44">
        <v>-2.9</v>
      </c>
      <c r="AS44" t="s">
        <v>1544</v>
      </c>
      <c r="AT44">
        <v>2.7</v>
      </c>
      <c r="AU44">
        <v>29.8</v>
      </c>
      <c r="AV44">
        <v>4</v>
      </c>
      <c r="AW44">
        <v>62</v>
      </c>
      <c r="AX44">
        <v>2</v>
      </c>
      <c r="AY44">
        <v>7</v>
      </c>
      <c r="AZ44" t="s">
        <v>3580</v>
      </c>
      <c r="BA44">
        <v>99</v>
      </c>
      <c r="BB44" t="s">
        <v>35</v>
      </c>
      <c r="BC44" t="s">
        <v>36</v>
      </c>
      <c r="BD44" s="4">
        <f>HYPERLINK("http://mlb.mlb.com/team/player.jsp?player_id=592885",592885)</f>
        <v>592885</v>
      </c>
      <c r="BE44">
        <v>1575</v>
      </c>
      <c r="BF44">
        <v>575</v>
      </c>
      <c r="BG44">
        <v>695</v>
      </c>
      <c r="BH44">
        <v>602</v>
      </c>
    </row>
    <row r="45" spans="1:60" x14ac:dyDescent="0.3">
      <c r="A45" s="4">
        <f>HYPERLINK("http://legacy.baseballprospectus.com/p/66638",66638)</f>
        <v>66638</v>
      </c>
      <c r="B45" t="s">
        <v>299</v>
      </c>
      <c r="C45" t="s">
        <v>202</v>
      </c>
      <c r="D45" s="10">
        <v>32650</v>
      </c>
      <c r="E45" t="s">
        <v>59</v>
      </c>
      <c r="F45" t="s">
        <v>9</v>
      </c>
      <c r="G45" t="s">
        <v>33</v>
      </c>
      <c r="H45">
        <v>73</v>
      </c>
      <c r="I45">
        <v>200</v>
      </c>
      <c r="J45">
        <v>2018</v>
      </c>
      <c r="K45" s="4" t="str">
        <f>HYPERLINK("http://legacy.baseballprospectus.com/fantasy/dc/index.php?tm=PIT","PIT")</f>
        <v>PIT</v>
      </c>
      <c r="L45" t="s">
        <v>100</v>
      </c>
      <c r="M45" t="s">
        <v>34</v>
      </c>
      <c r="N45">
        <v>29</v>
      </c>
      <c r="O45">
        <v>506</v>
      </c>
      <c r="P45">
        <v>127</v>
      </c>
      <c r="Q45">
        <v>471</v>
      </c>
      <c r="R45">
        <v>68</v>
      </c>
      <c r="S45">
        <v>78</v>
      </c>
      <c r="T45">
        <v>28</v>
      </c>
      <c r="U45">
        <v>5</v>
      </c>
      <c r="V45">
        <v>20</v>
      </c>
      <c r="W45">
        <v>131</v>
      </c>
      <c r="X45">
        <v>229</v>
      </c>
      <c r="Y45">
        <v>65</v>
      </c>
      <c r="Z45">
        <v>31</v>
      </c>
      <c r="AA45">
        <v>4</v>
      </c>
      <c r="AB45">
        <v>2</v>
      </c>
      <c r="AC45">
        <v>108</v>
      </c>
      <c r="AD45">
        <v>0</v>
      </c>
      <c r="AE45">
        <v>3</v>
      </c>
      <c r="AF45">
        <v>11</v>
      </c>
      <c r="AG45">
        <v>3</v>
      </c>
      <c r="AH45">
        <v>3</v>
      </c>
      <c r="AI45" s="5">
        <v>0.27800000000000002</v>
      </c>
      <c r="AJ45" s="5">
        <v>0.32300000000000001</v>
      </c>
      <c r="AK45" s="5">
        <v>0.48599999999999999</v>
      </c>
      <c r="AL45" s="5">
        <v>0.27400000000000002</v>
      </c>
      <c r="AM45" s="5">
        <v>0.318</v>
      </c>
      <c r="AN45">
        <v>-0.9</v>
      </c>
      <c r="AO45">
        <v>-0.96</v>
      </c>
      <c r="AP45">
        <v>13.58</v>
      </c>
      <c r="AQ45">
        <v>7.26</v>
      </c>
      <c r="AR45">
        <v>8.4</v>
      </c>
      <c r="AS45" t="s">
        <v>4963</v>
      </c>
      <c r="AT45">
        <v>2.7</v>
      </c>
      <c r="AU45">
        <v>19</v>
      </c>
      <c r="AV45">
        <v>3</v>
      </c>
      <c r="AW45">
        <v>43</v>
      </c>
      <c r="AX45">
        <v>1</v>
      </c>
      <c r="AY45">
        <v>3</v>
      </c>
      <c r="AZ45" t="s">
        <v>3630</v>
      </c>
      <c r="BA45">
        <v>95</v>
      </c>
      <c r="BB45" t="s">
        <v>35</v>
      </c>
      <c r="BC45" t="s">
        <v>36</v>
      </c>
      <c r="BD45" s="4">
        <f>HYPERLINK("http://mlb.mlb.com/team/player.jsp?player_id=572816",572816)</f>
        <v>572816</v>
      </c>
      <c r="BE45">
        <v>565</v>
      </c>
      <c r="BF45">
        <v>1565</v>
      </c>
      <c r="BG45">
        <v>629</v>
      </c>
      <c r="BH45">
        <v>588</v>
      </c>
    </row>
    <row r="46" spans="1:60" x14ac:dyDescent="0.3">
      <c r="A46" s="4">
        <f>HYPERLINK("http://legacy.baseballprospectus.com/p/70397",70397)</f>
        <v>70397</v>
      </c>
      <c r="B46" t="s">
        <v>1051</v>
      </c>
      <c r="C46" t="s">
        <v>136</v>
      </c>
      <c r="D46" s="10">
        <v>33834</v>
      </c>
      <c r="E46" t="s">
        <v>54</v>
      </c>
      <c r="F46" t="s">
        <v>33</v>
      </c>
      <c r="G46" t="s">
        <v>33</v>
      </c>
      <c r="H46">
        <v>73</v>
      </c>
      <c r="I46">
        <v>206</v>
      </c>
      <c r="J46">
        <v>2018</v>
      </c>
      <c r="K46" s="4" t="str">
        <f>HYPERLINK("http://legacy.baseballprospectus.com/fantasy/dc/index.php?tm=SDN","SDN")</f>
        <v>SDN</v>
      </c>
      <c r="L46" t="s">
        <v>100</v>
      </c>
      <c r="M46" t="s">
        <v>34</v>
      </c>
      <c r="N46">
        <v>25</v>
      </c>
      <c r="O46">
        <v>436</v>
      </c>
      <c r="P46">
        <v>129</v>
      </c>
      <c r="Q46">
        <v>405</v>
      </c>
      <c r="R46">
        <v>51</v>
      </c>
      <c r="S46">
        <v>56</v>
      </c>
      <c r="T46">
        <v>18</v>
      </c>
      <c r="U46">
        <v>1</v>
      </c>
      <c r="V46">
        <v>18</v>
      </c>
      <c r="W46">
        <v>93</v>
      </c>
      <c r="X46">
        <v>167</v>
      </c>
      <c r="Y46">
        <v>55</v>
      </c>
      <c r="Z46">
        <v>23</v>
      </c>
      <c r="AA46">
        <v>2</v>
      </c>
      <c r="AB46">
        <v>4</v>
      </c>
      <c r="AC46">
        <v>108</v>
      </c>
      <c r="AD46">
        <v>2</v>
      </c>
      <c r="AE46">
        <v>3</v>
      </c>
      <c r="AF46">
        <v>12</v>
      </c>
      <c r="AG46">
        <v>3</v>
      </c>
      <c r="AH46">
        <v>1</v>
      </c>
      <c r="AI46" s="5">
        <v>0.23</v>
      </c>
      <c r="AJ46" s="5">
        <v>0.27600000000000002</v>
      </c>
      <c r="AK46" s="5">
        <v>0.41199999999999998</v>
      </c>
      <c r="AL46" s="5">
        <v>0.24199999999999999</v>
      </c>
      <c r="AM46" s="5">
        <v>0.26500000000000001</v>
      </c>
      <c r="AN46">
        <v>-0.7</v>
      </c>
      <c r="AO46">
        <v>3.32</v>
      </c>
      <c r="AP46">
        <v>11.71</v>
      </c>
      <c r="AQ46">
        <v>-8.4</v>
      </c>
      <c r="AR46">
        <v>20.7</v>
      </c>
      <c r="AS46" t="s">
        <v>4885</v>
      </c>
      <c r="AT46">
        <v>2.7</v>
      </c>
      <c r="AU46">
        <v>6</v>
      </c>
      <c r="AV46">
        <v>6</v>
      </c>
      <c r="AW46">
        <v>47</v>
      </c>
      <c r="AX46">
        <v>10</v>
      </c>
      <c r="AY46">
        <v>20</v>
      </c>
      <c r="AZ46" t="s">
        <v>3582</v>
      </c>
      <c r="BA46">
        <v>95</v>
      </c>
      <c r="BB46" t="s">
        <v>35</v>
      </c>
      <c r="BC46" t="s">
        <v>36</v>
      </c>
      <c r="BD46" s="4">
        <f>HYPERLINK("http://mlb.mlb.com/team/player.jsp?player_id=595978",595978)</f>
        <v>595978</v>
      </c>
      <c r="BE46">
        <v>1376</v>
      </c>
      <c r="BF46">
        <v>376</v>
      </c>
      <c r="BG46">
        <v>417</v>
      </c>
      <c r="BH46">
        <v>387</v>
      </c>
    </row>
    <row r="47" spans="1:60" x14ac:dyDescent="0.3">
      <c r="A47" s="4">
        <f>HYPERLINK("http://legacy.baseballprospectus.com/p/34302",34302)</f>
        <v>34302</v>
      </c>
      <c r="B47" t="s">
        <v>273</v>
      </c>
      <c r="C47" t="s">
        <v>274</v>
      </c>
      <c r="D47" s="10">
        <v>29403</v>
      </c>
      <c r="E47" t="s">
        <v>57</v>
      </c>
      <c r="F47" t="s">
        <v>33</v>
      </c>
      <c r="G47" t="s">
        <v>33</v>
      </c>
      <c r="H47">
        <v>74</v>
      </c>
      <c r="I47">
        <v>230</v>
      </c>
      <c r="J47">
        <v>2018</v>
      </c>
      <c r="K47" s="4" t="str">
        <f>HYPERLINK("http://legacy.baseballprospectus.com/fantasy/dc/index.php?tm=SEA","SEA")</f>
        <v>SEA</v>
      </c>
      <c r="L47" t="s">
        <v>95</v>
      </c>
      <c r="M47" t="s">
        <v>34</v>
      </c>
      <c r="N47">
        <v>37</v>
      </c>
      <c r="O47">
        <v>606</v>
      </c>
      <c r="P47">
        <v>146</v>
      </c>
      <c r="Q47">
        <v>543</v>
      </c>
      <c r="R47">
        <v>86</v>
      </c>
      <c r="S47">
        <v>87</v>
      </c>
      <c r="T47">
        <v>24</v>
      </c>
      <c r="U47">
        <v>1</v>
      </c>
      <c r="V47">
        <v>34</v>
      </c>
      <c r="W47">
        <v>146</v>
      </c>
      <c r="X47">
        <v>274</v>
      </c>
      <c r="Y47">
        <v>99</v>
      </c>
      <c r="Z47">
        <v>53</v>
      </c>
      <c r="AA47">
        <v>6</v>
      </c>
      <c r="AB47">
        <v>7</v>
      </c>
      <c r="AC47">
        <v>143</v>
      </c>
      <c r="AD47">
        <v>0</v>
      </c>
      <c r="AE47">
        <v>3</v>
      </c>
      <c r="AF47">
        <v>16</v>
      </c>
      <c r="AG47">
        <v>2</v>
      </c>
      <c r="AH47">
        <v>1</v>
      </c>
      <c r="AI47" s="5">
        <v>0.26900000000000002</v>
      </c>
      <c r="AJ47" s="5">
        <v>0.34</v>
      </c>
      <c r="AK47" s="5">
        <v>0.505</v>
      </c>
      <c r="AL47" s="5">
        <v>0.29099999999999998</v>
      </c>
      <c r="AM47" s="5">
        <v>0.30199999999999999</v>
      </c>
      <c r="AN47">
        <v>-1.3</v>
      </c>
      <c r="AO47">
        <v>-5.0199999999999996</v>
      </c>
      <c r="AP47">
        <v>16.27</v>
      </c>
      <c r="AQ47">
        <v>19.82</v>
      </c>
      <c r="AR47">
        <v>-2.4</v>
      </c>
      <c r="AS47" t="s">
        <v>1223</v>
      </c>
      <c r="AT47">
        <v>2.7</v>
      </c>
      <c r="AU47">
        <v>29.8</v>
      </c>
      <c r="AV47">
        <v>1</v>
      </c>
      <c r="AW47">
        <v>24</v>
      </c>
      <c r="AX47">
        <v>7</v>
      </c>
      <c r="AY47">
        <v>20</v>
      </c>
      <c r="AZ47" t="s">
        <v>3583</v>
      </c>
      <c r="BA47">
        <v>79</v>
      </c>
      <c r="BB47" t="s">
        <v>35</v>
      </c>
      <c r="BC47" t="s">
        <v>36</v>
      </c>
      <c r="BD47" s="4">
        <f>HYPERLINK("http://mlb.mlb.com/team/player.jsp?player_id=443558",443558)</f>
        <v>443558</v>
      </c>
      <c r="BE47">
        <v>561</v>
      </c>
      <c r="BF47">
        <v>1561</v>
      </c>
      <c r="BG47">
        <v>645</v>
      </c>
      <c r="BH47">
        <v>556</v>
      </c>
    </row>
    <row r="48" spans="1:60" x14ac:dyDescent="0.3">
      <c r="A48" s="4">
        <f>HYPERLINK("http://legacy.baseballprospectus.com/p/99914",99914)</f>
        <v>99914</v>
      </c>
      <c r="B48" t="s">
        <v>1840</v>
      </c>
      <c r="C48" t="s">
        <v>491</v>
      </c>
      <c r="D48" s="10">
        <v>33230</v>
      </c>
      <c r="E48" t="s">
        <v>57</v>
      </c>
      <c r="F48" t="s">
        <v>33</v>
      </c>
      <c r="G48" t="s">
        <v>33</v>
      </c>
      <c r="H48">
        <v>74</v>
      </c>
      <c r="I48">
        <v>215</v>
      </c>
      <c r="J48">
        <v>2018</v>
      </c>
      <c r="K48" s="4" t="str">
        <f>HYPERLINK("http://legacy.baseballprospectus.com/fantasy/dc/index.php?tm=SEA","SEA")</f>
        <v>SEA</v>
      </c>
      <c r="L48" t="s">
        <v>95</v>
      </c>
      <c r="M48" t="s">
        <v>34</v>
      </c>
      <c r="N48">
        <v>27</v>
      </c>
      <c r="O48">
        <v>474</v>
      </c>
      <c r="P48">
        <v>124</v>
      </c>
      <c r="Q48">
        <v>419</v>
      </c>
      <c r="R48">
        <v>64</v>
      </c>
      <c r="S48">
        <v>65</v>
      </c>
      <c r="T48">
        <v>23</v>
      </c>
      <c r="U48">
        <v>2</v>
      </c>
      <c r="V48">
        <v>19</v>
      </c>
      <c r="W48">
        <v>109</v>
      </c>
      <c r="X48">
        <v>193</v>
      </c>
      <c r="Y48">
        <v>63</v>
      </c>
      <c r="Z48">
        <v>43</v>
      </c>
      <c r="AA48">
        <v>2</v>
      </c>
      <c r="AB48">
        <v>8</v>
      </c>
      <c r="AC48">
        <v>106</v>
      </c>
      <c r="AD48">
        <v>1</v>
      </c>
      <c r="AE48">
        <v>3</v>
      </c>
      <c r="AF48">
        <v>11</v>
      </c>
      <c r="AG48">
        <v>6</v>
      </c>
      <c r="AH48">
        <v>3</v>
      </c>
      <c r="AI48" s="5">
        <v>0.26</v>
      </c>
      <c r="AJ48" s="5">
        <v>0.33800000000000002</v>
      </c>
      <c r="AK48" s="5">
        <v>0.46100000000000002</v>
      </c>
      <c r="AL48" s="5">
        <v>0.28199999999999997</v>
      </c>
      <c r="AM48" s="5">
        <v>0.30499999999999999</v>
      </c>
      <c r="AN48">
        <v>-0.5</v>
      </c>
      <c r="AO48">
        <v>-1.69</v>
      </c>
      <c r="AP48">
        <v>12.73</v>
      </c>
      <c r="AQ48">
        <v>10.99</v>
      </c>
      <c r="AR48">
        <v>5.4</v>
      </c>
      <c r="AS48" t="s">
        <v>2164</v>
      </c>
      <c r="AT48">
        <v>2.7</v>
      </c>
      <c r="AU48">
        <v>21.5</v>
      </c>
      <c r="AV48">
        <v>5</v>
      </c>
      <c r="AW48">
        <v>36</v>
      </c>
      <c r="AX48">
        <v>10</v>
      </c>
      <c r="AY48">
        <v>19</v>
      </c>
      <c r="AZ48" t="s">
        <v>3572</v>
      </c>
      <c r="BA48">
        <v>81</v>
      </c>
      <c r="BB48" t="s">
        <v>35</v>
      </c>
      <c r="BC48" t="s">
        <v>36</v>
      </c>
      <c r="BD48" s="4">
        <f>HYPERLINK("http://mlb.mlb.com/team/player.jsp?player_id=571745",571745)</f>
        <v>571745</v>
      </c>
      <c r="BE48">
        <v>589</v>
      </c>
      <c r="BF48">
        <v>1589</v>
      </c>
      <c r="BG48">
        <v>410</v>
      </c>
      <c r="BH48">
        <v>369</v>
      </c>
    </row>
    <row r="49" spans="1:60" x14ac:dyDescent="0.3">
      <c r="A49" s="4">
        <f>HYPERLINK("http://legacy.baseballprospectus.com/p/65767",65767)</f>
        <v>65767</v>
      </c>
      <c r="B49" t="s">
        <v>163</v>
      </c>
      <c r="C49" t="s">
        <v>113</v>
      </c>
      <c r="D49" s="10">
        <v>32253</v>
      </c>
      <c r="E49" t="s">
        <v>50</v>
      </c>
      <c r="F49" t="s">
        <v>9</v>
      </c>
      <c r="G49" t="s">
        <v>9</v>
      </c>
      <c r="H49">
        <v>77</v>
      </c>
      <c r="I49">
        <v>220</v>
      </c>
      <c r="J49">
        <v>2018</v>
      </c>
      <c r="K49" s="4" t="str">
        <f>HYPERLINK("http://legacy.baseballprospectus.com/fantasy/dc/index.php?tm=SFN","SFN")</f>
        <v>SFN</v>
      </c>
      <c r="L49" t="s">
        <v>100</v>
      </c>
      <c r="M49" t="s">
        <v>34</v>
      </c>
      <c r="N49">
        <v>30</v>
      </c>
      <c r="O49">
        <v>557</v>
      </c>
      <c r="P49">
        <v>137</v>
      </c>
      <c r="Q49">
        <v>486</v>
      </c>
      <c r="R49">
        <v>68</v>
      </c>
      <c r="S49">
        <v>73</v>
      </c>
      <c r="T49">
        <v>31</v>
      </c>
      <c r="U49">
        <v>3</v>
      </c>
      <c r="V49">
        <v>18</v>
      </c>
      <c r="W49">
        <v>125</v>
      </c>
      <c r="X49">
        <v>216</v>
      </c>
      <c r="Y49">
        <v>71</v>
      </c>
      <c r="Z49">
        <v>64</v>
      </c>
      <c r="AA49">
        <v>3</v>
      </c>
      <c r="AB49">
        <v>5</v>
      </c>
      <c r="AC49">
        <v>135</v>
      </c>
      <c r="AD49">
        <v>0</v>
      </c>
      <c r="AE49">
        <v>2</v>
      </c>
      <c r="AF49">
        <v>8</v>
      </c>
      <c r="AG49">
        <v>4</v>
      </c>
      <c r="AH49">
        <v>3</v>
      </c>
      <c r="AI49" s="5">
        <v>0.25700000000000001</v>
      </c>
      <c r="AJ49" s="5">
        <v>0.34799999999999998</v>
      </c>
      <c r="AK49" s="5">
        <v>0.44400000000000001</v>
      </c>
      <c r="AL49" s="5">
        <v>0.28199999999999997</v>
      </c>
      <c r="AM49" s="5">
        <v>0.32</v>
      </c>
      <c r="AN49">
        <v>-1</v>
      </c>
      <c r="AO49">
        <v>-6.38</v>
      </c>
      <c r="AP49">
        <v>14.95</v>
      </c>
      <c r="AQ49">
        <v>12.8</v>
      </c>
      <c r="AR49">
        <v>6.2</v>
      </c>
      <c r="AS49" t="s">
        <v>2194</v>
      </c>
      <c r="AT49">
        <v>2.7</v>
      </c>
      <c r="AU49">
        <v>20.399999999999999</v>
      </c>
      <c r="AV49">
        <v>2</v>
      </c>
      <c r="AW49">
        <v>44</v>
      </c>
      <c r="AX49">
        <v>4</v>
      </c>
      <c r="AY49">
        <v>15</v>
      </c>
      <c r="AZ49" t="s">
        <v>3591</v>
      </c>
      <c r="BA49">
        <v>96</v>
      </c>
      <c r="BB49" t="s">
        <v>35</v>
      </c>
      <c r="BC49" t="s">
        <v>36</v>
      </c>
      <c r="BD49" s="4">
        <f>HYPERLINK("http://mlb.mlb.com/team/player.jsp?player_id=474832",474832)</f>
        <v>474832</v>
      </c>
      <c r="BE49">
        <v>1432</v>
      </c>
      <c r="BF49">
        <v>432</v>
      </c>
      <c r="BG49">
        <v>451</v>
      </c>
      <c r="BH49">
        <v>382</v>
      </c>
    </row>
    <row r="50" spans="1:60" x14ac:dyDescent="0.3">
      <c r="A50" s="4">
        <f>HYPERLINK("http://legacy.baseballprospectus.com/p/100496",100496)</f>
        <v>100496</v>
      </c>
      <c r="B50" t="s">
        <v>391</v>
      </c>
      <c r="C50" t="s">
        <v>234</v>
      </c>
      <c r="D50" s="10">
        <v>33114</v>
      </c>
      <c r="E50" t="s">
        <v>59</v>
      </c>
      <c r="F50" t="s">
        <v>33</v>
      </c>
      <c r="G50" t="s">
        <v>33</v>
      </c>
      <c r="H50">
        <v>73</v>
      </c>
      <c r="I50">
        <v>195</v>
      </c>
      <c r="J50">
        <v>2018</v>
      </c>
      <c r="K50" s="4" t="str">
        <f>HYPERLINK("http://legacy.baseballprospectus.com/fantasy/dc/index.php?tm=LAN","LAN")</f>
        <v>LAN</v>
      </c>
      <c r="L50" t="s">
        <v>100</v>
      </c>
      <c r="M50" t="s">
        <v>34</v>
      </c>
      <c r="N50">
        <v>27</v>
      </c>
      <c r="O50">
        <v>613</v>
      </c>
      <c r="P50">
        <v>154</v>
      </c>
      <c r="Q50">
        <v>550</v>
      </c>
      <c r="R50">
        <v>80</v>
      </c>
      <c r="S50">
        <v>93</v>
      </c>
      <c r="T50">
        <v>31</v>
      </c>
      <c r="U50">
        <v>6</v>
      </c>
      <c r="V50">
        <v>12</v>
      </c>
      <c r="W50">
        <v>142</v>
      </c>
      <c r="X50">
        <v>221</v>
      </c>
      <c r="Y50">
        <v>57</v>
      </c>
      <c r="Z50">
        <v>55</v>
      </c>
      <c r="AA50">
        <v>1</v>
      </c>
      <c r="AB50">
        <v>4</v>
      </c>
      <c r="AC50">
        <v>145</v>
      </c>
      <c r="AD50">
        <v>1</v>
      </c>
      <c r="AE50">
        <v>2</v>
      </c>
      <c r="AF50">
        <v>13</v>
      </c>
      <c r="AG50">
        <v>18</v>
      </c>
      <c r="AH50">
        <v>6</v>
      </c>
      <c r="AI50" s="5">
        <v>0.25800000000000001</v>
      </c>
      <c r="AJ50" s="5">
        <v>0.32900000000000001</v>
      </c>
      <c r="AK50" s="5">
        <v>0.40200000000000002</v>
      </c>
      <c r="AL50" s="5">
        <v>0.26300000000000001</v>
      </c>
      <c r="AM50" s="5">
        <v>0.32800000000000001</v>
      </c>
      <c r="AN50">
        <v>1.3</v>
      </c>
      <c r="AO50">
        <v>0.23</v>
      </c>
      <c r="AP50">
        <v>16.46</v>
      </c>
      <c r="AQ50">
        <v>2.02</v>
      </c>
      <c r="AR50">
        <v>6.7</v>
      </c>
      <c r="AS50" t="s">
        <v>4954</v>
      </c>
      <c r="AT50">
        <v>2.7</v>
      </c>
      <c r="AU50">
        <v>20</v>
      </c>
      <c r="AV50">
        <v>3</v>
      </c>
      <c r="AW50">
        <v>39</v>
      </c>
      <c r="AX50">
        <v>6</v>
      </c>
      <c r="AY50">
        <v>14</v>
      </c>
      <c r="AZ50" t="s">
        <v>3567</v>
      </c>
      <c r="BA50">
        <v>86</v>
      </c>
      <c r="BB50" t="s">
        <v>35</v>
      </c>
      <c r="BC50" t="s">
        <v>36</v>
      </c>
      <c r="BD50" s="4">
        <f>HYPERLINK("http://mlb.mlb.com/team/player.jsp?player_id=621035",621035)</f>
        <v>621035</v>
      </c>
      <c r="BE50">
        <v>1449</v>
      </c>
      <c r="BF50">
        <v>449</v>
      </c>
      <c r="BG50">
        <v>568</v>
      </c>
      <c r="BH50">
        <v>514</v>
      </c>
    </row>
    <row r="51" spans="1:60" x14ac:dyDescent="0.3">
      <c r="A51" s="4">
        <f>HYPERLINK("http://legacy.baseballprospectus.com/p/52532",52532)</f>
        <v>52532</v>
      </c>
      <c r="B51" t="s">
        <v>338</v>
      </c>
      <c r="C51" t="s">
        <v>258</v>
      </c>
      <c r="D51" s="10">
        <v>31436</v>
      </c>
      <c r="E51" t="s">
        <v>54</v>
      </c>
      <c r="F51" t="s">
        <v>33</v>
      </c>
      <c r="G51" t="s">
        <v>33</v>
      </c>
      <c r="H51">
        <v>76</v>
      </c>
      <c r="I51">
        <v>260</v>
      </c>
      <c r="J51">
        <v>2018</v>
      </c>
      <c r="K51" s="4" t="str">
        <f>HYPERLINK("http://legacy.baseballprospectus.com/fantasy/dc/index.php?tm=ATL","ATL")</f>
        <v>ATL</v>
      </c>
      <c r="L51" t="s">
        <v>100</v>
      </c>
      <c r="M51" t="s">
        <v>34</v>
      </c>
      <c r="N51">
        <v>32</v>
      </c>
      <c r="O51">
        <v>412</v>
      </c>
      <c r="P51">
        <v>116</v>
      </c>
      <c r="Q51">
        <v>371</v>
      </c>
      <c r="R51">
        <v>43</v>
      </c>
      <c r="S51">
        <v>60</v>
      </c>
      <c r="T51">
        <v>16</v>
      </c>
      <c r="U51">
        <v>0</v>
      </c>
      <c r="V51">
        <v>12</v>
      </c>
      <c r="W51">
        <v>88</v>
      </c>
      <c r="X51">
        <v>140</v>
      </c>
      <c r="Y51">
        <v>47</v>
      </c>
      <c r="Z51">
        <v>28</v>
      </c>
      <c r="AA51">
        <v>1</v>
      </c>
      <c r="AB51">
        <v>11</v>
      </c>
      <c r="AC51">
        <v>121</v>
      </c>
      <c r="AD51">
        <v>1</v>
      </c>
      <c r="AE51">
        <v>2</v>
      </c>
      <c r="AF51">
        <v>10</v>
      </c>
      <c r="AG51">
        <v>0</v>
      </c>
      <c r="AH51">
        <v>0</v>
      </c>
      <c r="AI51" s="5">
        <v>0.23699999999999999</v>
      </c>
      <c r="AJ51" s="5">
        <v>0.308</v>
      </c>
      <c r="AK51" s="5">
        <v>0.377</v>
      </c>
      <c r="AL51" s="5">
        <v>0.24399999999999999</v>
      </c>
      <c r="AM51" s="5">
        <v>0.31900000000000001</v>
      </c>
      <c r="AN51">
        <v>-1.1000000000000001</v>
      </c>
      <c r="AO51">
        <v>3.14</v>
      </c>
      <c r="AP51">
        <v>11.06</v>
      </c>
      <c r="AQ51">
        <v>-6.78</v>
      </c>
      <c r="AR51">
        <v>19.3</v>
      </c>
      <c r="AS51" t="s">
        <v>4997</v>
      </c>
      <c r="AT51">
        <v>2.6</v>
      </c>
      <c r="AU51">
        <v>6.3</v>
      </c>
      <c r="AV51">
        <v>6</v>
      </c>
      <c r="AW51">
        <v>35</v>
      </c>
      <c r="AX51">
        <v>9</v>
      </c>
      <c r="AY51">
        <v>22</v>
      </c>
      <c r="AZ51" t="s">
        <v>3566</v>
      </c>
      <c r="BA51">
        <v>93</v>
      </c>
      <c r="BB51" t="s">
        <v>35</v>
      </c>
      <c r="BC51" t="s">
        <v>36</v>
      </c>
      <c r="BD51" s="4">
        <f>HYPERLINK("http://mlb.mlb.com/team/player.jsp?player_id=452095",452095)</f>
        <v>452095</v>
      </c>
      <c r="BE51">
        <v>1378</v>
      </c>
      <c r="BF51">
        <v>378</v>
      </c>
      <c r="BG51">
        <v>370</v>
      </c>
      <c r="BH51">
        <v>317</v>
      </c>
    </row>
    <row r="52" spans="1:60" x14ac:dyDescent="0.3">
      <c r="A52" s="4">
        <f>HYPERLINK("http://legacy.baseballprospectus.com/p/66719",66719)</f>
        <v>66719</v>
      </c>
      <c r="B52" t="s">
        <v>765</v>
      </c>
      <c r="C52" t="s">
        <v>1744</v>
      </c>
      <c r="D52" s="10">
        <v>33737</v>
      </c>
      <c r="E52" t="s">
        <v>54</v>
      </c>
      <c r="F52" t="s">
        <v>33</v>
      </c>
      <c r="G52" t="s">
        <v>33</v>
      </c>
      <c r="H52">
        <v>73</v>
      </c>
      <c r="I52">
        <v>210</v>
      </c>
      <c r="J52">
        <v>2018</v>
      </c>
      <c r="K52" s="4" t="str">
        <f>HYPERLINK("http://legacy.baseballprospectus.com/fantasy/dc/index.php?tm=CHN","CHN")</f>
        <v>CHN</v>
      </c>
      <c r="L52" t="s">
        <v>100</v>
      </c>
      <c r="M52" t="s">
        <v>34</v>
      </c>
      <c r="N52">
        <v>26</v>
      </c>
      <c r="O52">
        <v>523</v>
      </c>
      <c r="P52">
        <v>154</v>
      </c>
      <c r="Q52">
        <v>463</v>
      </c>
      <c r="R52">
        <v>70</v>
      </c>
      <c r="S52">
        <v>82</v>
      </c>
      <c r="T52">
        <v>27</v>
      </c>
      <c r="U52">
        <v>2</v>
      </c>
      <c r="V52">
        <v>21</v>
      </c>
      <c r="W52">
        <v>132</v>
      </c>
      <c r="X52">
        <v>226</v>
      </c>
      <c r="Y52">
        <v>74</v>
      </c>
      <c r="Z52">
        <v>50</v>
      </c>
      <c r="AA52">
        <v>2</v>
      </c>
      <c r="AB52">
        <v>7</v>
      </c>
      <c r="AC52">
        <v>105</v>
      </c>
      <c r="AD52">
        <v>1</v>
      </c>
      <c r="AE52">
        <v>2</v>
      </c>
      <c r="AF52">
        <v>15</v>
      </c>
      <c r="AG52">
        <v>5</v>
      </c>
      <c r="AH52">
        <v>4</v>
      </c>
      <c r="AI52" s="5">
        <v>0.28499999999999998</v>
      </c>
      <c r="AJ52" s="5">
        <v>0.36199999999999999</v>
      </c>
      <c r="AK52" s="5">
        <v>0.48799999999999999</v>
      </c>
      <c r="AL52" s="5">
        <v>0.28899999999999998</v>
      </c>
      <c r="AM52" s="5">
        <v>0.32500000000000001</v>
      </c>
      <c r="AN52">
        <v>-1.2</v>
      </c>
      <c r="AO52">
        <v>3.31</v>
      </c>
      <c r="AP52">
        <v>14.04</v>
      </c>
      <c r="AQ52">
        <v>16.190000000000001</v>
      </c>
      <c r="AR52">
        <v>-6.6</v>
      </c>
      <c r="AS52" t="s">
        <v>1748</v>
      </c>
      <c r="AT52">
        <v>2.6</v>
      </c>
      <c r="AU52">
        <v>32.299999999999997</v>
      </c>
      <c r="AV52">
        <v>4</v>
      </c>
      <c r="AW52">
        <v>44</v>
      </c>
      <c r="AX52">
        <v>11</v>
      </c>
      <c r="AY52">
        <v>13</v>
      </c>
      <c r="AZ52" t="s">
        <v>3577</v>
      </c>
      <c r="BA52">
        <v>95</v>
      </c>
      <c r="BB52" t="s">
        <v>35</v>
      </c>
      <c r="BC52" t="s">
        <v>36</v>
      </c>
      <c r="BD52" s="4">
        <f>HYPERLINK("http://mlb.mlb.com/team/player.jsp?player_id=575929",575929)</f>
        <v>575929</v>
      </c>
      <c r="BE52">
        <v>1374</v>
      </c>
      <c r="BF52">
        <v>374</v>
      </c>
      <c r="BG52">
        <v>428</v>
      </c>
      <c r="BH52">
        <v>377</v>
      </c>
    </row>
    <row r="53" spans="1:60" x14ac:dyDescent="0.3">
      <c r="A53" s="4">
        <f>HYPERLINK("http://legacy.baseballprospectus.com/p/55784",55784)</f>
        <v>55784</v>
      </c>
      <c r="B53" t="s">
        <v>281</v>
      </c>
      <c r="C53" t="s">
        <v>207</v>
      </c>
      <c r="D53" s="10">
        <v>32549</v>
      </c>
      <c r="E53" t="s">
        <v>54</v>
      </c>
      <c r="F53" t="s">
        <v>33</v>
      </c>
      <c r="G53" t="s">
        <v>33</v>
      </c>
      <c r="H53">
        <v>74</v>
      </c>
      <c r="I53">
        <v>210</v>
      </c>
      <c r="J53">
        <v>2018</v>
      </c>
      <c r="K53" s="4" t="str">
        <f>HYPERLINK("http://legacy.baseballprospectus.com/fantasy/dc/index.php?tm=NYN","NYN")</f>
        <v>NYN</v>
      </c>
      <c r="L53" t="s">
        <v>100</v>
      </c>
      <c r="M53" t="s">
        <v>34</v>
      </c>
      <c r="N53">
        <v>29</v>
      </c>
      <c r="O53">
        <v>487</v>
      </c>
      <c r="P53">
        <v>129</v>
      </c>
      <c r="Q53">
        <v>441</v>
      </c>
      <c r="R53">
        <v>57</v>
      </c>
      <c r="S53">
        <v>70</v>
      </c>
      <c r="T53">
        <v>23</v>
      </c>
      <c r="U53">
        <v>1</v>
      </c>
      <c r="V53">
        <v>16</v>
      </c>
      <c r="W53">
        <v>110</v>
      </c>
      <c r="X53">
        <v>183</v>
      </c>
      <c r="Y53">
        <v>59</v>
      </c>
      <c r="Z53">
        <v>39</v>
      </c>
      <c r="AA53">
        <v>3</v>
      </c>
      <c r="AB53">
        <v>4</v>
      </c>
      <c r="AC53">
        <v>81</v>
      </c>
      <c r="AD53">
        <v>1</v>
      </c>
      <c r="AE53">
        <v>2</v>
      </c>
      <c r="AF53">
        <v>16</v>
      </c>
      <c r="AG53">
        <v>0</v>
      </c>
      <c r="AH53">
        <v>0</v>
      </c>
      <c r="AI53" s="5">
        <v>0.249</v>
      </c>
      <c r="AJ53" s="5">
        <v>0.315</v>
      </c>
      <c r="AK53" s="5">
        <v>0.41499999999999998</v>
      </c>
      <c r="AL53" s="5">
        <v>0.25800000000000001</v>
      </c>
      <c r="AM53" s="5">
        <v>0.27200000000000002</v>
      </c>
      <c r="AN53">
        <v>-0.9</v>
      </c>
      <c r="AO53">
        <v>3.71</v>
      </c>
      <c r="AP53">
        <v>13.07</v>
      </c>
      <c r="AQ53">
        <v>-1.1399999999999999</v>
      </c>
      <c r="AR53">
        <v>11.1</v>
      </c>
      <c r="AS53" t="s">
        <v>4828</v>
      </c>
      <c r="AT53">
        <v>2.6</v>
      </c>
      <c r="AU53">
        <v>14.7</v>
      </c>
      <c r="AV53">
        <v>2</v>
      </c>
      <c r="AW53">
        <v>34</v>
      </c>
      <c r="AX53">
        <v>7</v>
      </c>
      <c r="AY53">
        <v>18</v>
      </c>
      <c r="AZ53" t="s">
        <v>3581</v>
      </c>
      <c r="BA53">
        <v>94</v>
      </c>
      <c r="BB53" t="s">
        <v>35</v>
      </c>
      <c r="BC53" t="s">
        <v>36</v>
      </c>
      <c r="BD53" s="4">
        <f>HYPERLINK("http://mlb.mlb.com/team/player.jsp?player_id=518595",518595)</f>
        <v>518595</v>
      </c>
      <c r="BE53">
        <v>1377</v>
      </c>
      <c r="BF53">
        <v>377</v>
      </c>
      <c r="BG53">
        <v>376</v>
      </c>
      <c r="BH53">
        <v>348</v>
      </c>
    </row>
    <row r="54" spans="1:60" x14ac:dyDescent="0.3">
      <c r="A54" s="4">
        <f>HYPERLINK("http://legacy.baseballprospectus.com/p/59112",59112)</f>
        <v>59112</v>
      </c>
      <c r="B54" t="s">
        <v>1344</v>
      </c>
      <c r="C54" t="s">
        <v>1345</v>
      </c>
      <c r="D54" s="10">
        <v>33175</v>
      </c>
      <c r="E54" t="s">
        <v>65</v>
      </c>
      <c r="F54" t="s">
        <v>9</v>
      </c>
      <c r="G54" t="s">
        <v>9</v>
      </c>
      <c r="H54">
        <v>71</v>
      </c>
      <c r="I54">
        <v>190</v>
      </c>
      <c r="J54">
        <v>2018</v>
      </c>
      <c r="K54" s="4" t="str">
        <f>HYPERLINK("http://legacy.baseballprospectus.com/fantasy/dc/index.php?tm=ATL","ATL")</f>
        <v>ATL</v>
      </c>
      <c r="L54" t="s">
        <v>100</v>
      </c>
      <c r="M54" t="s">
        <v>34</v>
      </c>
      <c r="N54">
        <v>27</v>
      </c>
      <c r="O54">
        <v>636</v>
      </c>
      <c r="P54">
        <v>150</v>
      </c>
      <c r="Q54">
        <v>585</v>
      </c>
      <c r="R54">
        <v>79</v>
      </c>
      <c r="S54">
        <v>129</v>
      </c>
      <c r="T54">
        <v>26</v>
      </c>
      <c r="U54">
        <v>4</v>
      </c>
      <c r="V54">
        <v>8</v>
      </c>
      <c r="W54">
        <v>167</v>
      </c>
      <c r="X54">
        <v>225</v>
      </c>
      <c r="Y54">
        <v>53</v>
      </c>
      <c r="Z54">
        <v>41</v>
      </c>
      <c r="AA54">
        <v>2</v>
      </c>
      <c r="AB54">
        <v>3</v>
      </c>
      <c r="AC54">
        <v>76</v>
      </c>
      <c r="AD54">
        <v>4</v>
      </c>
      <c r="AE54">
        <v>3</v>
      </c>
      <c r="AF54">
        <v>12</v>
      </c>
      <c r="AG54">
        <v>20</v>
      </c>
      <c r="AH54">
        <v>8</v>
      </c>
      <c r="AI54" s="5">
        <v>0.28499999999999998</v>
      </c>
      <c r="AJ54" s="5">
        <v>0.33400000000000002</v>
      </c>
      <c r="AK54" s="5">
        <v>0.38500000000000001</v>
      </c>
      <c r="AL54" s="5">
        <v>0.255</v>
      </c>
      <c r="AM54" s="5">
        <v>0.314</v>
      </c>
      <c r="AN54">
        <v>0.8</v>
      </c>
      <c r="AO54">
        <v>0.93</v>
      </c>
      <c r="AP54">
        <v>17.079999999999998</v>
      </c>
      <c r="AQ54">
        <v>-3.66</v>
      </c>
      <c r="AR54">
        <v>9.6</v>
      </c>
      <c r="AS54" t="s">
        <v>4829</v>
      </c>
      <c r="AT54">
        <v>2.5</v>
      </c>
      <c r="AU54">
        <v>15.1</v>
      </c>
      <c r="AV54">
        <v>6</v>
      </c>
      <c r="AW54">
        <v>44</v>
      </c>
      <c r="AX54">
        <v>8</v>
      </c>
      <c r="AY54">
        <v>17</v>
      </c>
      <c r="AZ54" t="s">
        <v>3584</v>
      </c>
      <c r="BA54">
        <v>98</v>
      </c>
      <c r="BB54" t="s">
        <v>35</v>
      </c>
      <c r="BC54" t="s">
        <v>36</v>
      </c>
      <c r="BD54" s="4">
        <f>HYPERLINK("http://mlb.mlb.com/team/player.jsp?player_id=542255",542255)</f>
        <v>542255</v>
      </c>
      <c r="BE54">
        <v>1574</v>
      </c>
      <c r="BF54">
        <v>574</v>
      </c>
      <c r="BG54">
        <v>718</v>
      </c>
      <c r="BH54">
        <v>662</v>
      </c>
    </row>
    <row r="55" spans="1:60" x14ac:dyDescent="0.3">
      <c r="A55" s="4">
        <f>HYPERLINK("http://legacy.baseballprospectus.com/p/69513",69513)</f>
        <v>69513</v>
      </c>
      <c r="B55" t="s">
        <v>709</v>
      </c>
      <c r="C55" t="s">
        <v>136</v>
      </c>
      <c r="D55" s="10">
        <v>32870</v>
      </c>
      <c r="E55" t="s">
        <v>54</v>
      </c>
      <c r="F55" t="s">
        <v>33</v>
      </c>
      <c r="G55" t="s">
        <v>33</v>
      </c>
      <c r="H55">
        <v>70</v>
      </c>
      <c r="I55">
        <v>190</v>
      </c>
      <c r="J55">
        <v>2018</v>
      </c>
      <c r="K55" s="4" t="str">
        <f>HYPERLINK("http://legacy.baseballprospectus.com/fantasy/dc/index.php?tm=LAN","LAN")</f>
        <v>LAN</v>
      </c>
      <c r="L55" t="s">
        <v>100</v>
      </c>
      <c r="M55" t="s">
        <v>34</v>
      </c>
      <c r="N55">
        <v>28</v>
      </c>
      <c r="O55">
        <v>272</v>
      </c>
      <c r="P55">
        <v>87</v>
      </c>
      <c r="Q55">
        <v>236</v>
      </c>
      <c r="R55">
        <v>34</v>
      </c>
      <c r="S55">
        <v>40</v>
      </c>
      <c r="T55">
        <v>13</v>
      </c>
      <c r="U55">
        <v>1</v>
      </c>
      <c r="V55">
        <v>8</v>
      </c>
      <c r="W55">
        <v>62</v>
      </c>
      <c r="X55">
        <v>101</v>
      </c>
      <c r="Y55">
        <v>32</v>
      </c>
      <c r="Z55">
        <v>31</v>
      </c>
      <c r="AA55">
        <v>1</v>
      </c>
      <c r="AB55">
        <v>3</v>
      </c>
      <c r="AC55">
        <v>46</v>
      </c>
      <c r="AD55">
        <v>1</v>
      </c>
      <c r="AE55">
        <v>1</v>
      </c>
      <c r="AF55">
        <v>6</v>
      </c>
      <c r="AG55">
        <v>6</v>
      </c>
      <c r="AH55">
        <v>1</v>
      </c>
      <c r="AI55" s="5">
        <v>0.26300000000000001</v>
      </c>
      <c r="AJ55" s="5">
        <v>0.35399999999999998</v>
      </c>
      <c r="AK55" s="5">
        <v>0.42799999999999999</v>
      </c>
      <c r="AL55" s="5">
        <v>0.27700000000000002</v>
      </c>
      <c r="AM55" s="5">
        <v>0.29399999999999998</v>
      </c>
      <c r="AN55">
        <v>0.4</v>
      </c>
      <c r="AO55">
        <v>1.98</v>
      </c>
      <c r="AP55">
        <v>7.3</v>
      </c>
      <c r="AQ55">
        <v>4.8</v>
      </c>
      <c r="AR55">
        <v>10.9</v>
      </c>
      <c r="AS55" t="s">
        <v>4998</v>
      </c>
      <c r="AT55">
        <v>2.5</v>
      </c>
      <c r="AU55">
        <v>14.5</v>
      </c>
      <c r="AV55">
        <v>6</v>
      </c>
      <c r="AW55">
        <v>23</v>
      </c>
      <c r="AX55">
        <v>13</v>
      </c>
      <c r="AY55">
        <v>24</v>
      </c>
      <c r="AZ55" t="s">
        <v>3545</v>
      </c>
      <c r="BA55">
        <v>73</v>
      </c>
      <c r="BB55" t="s">
        <v>35</v>
      </c>
      <c r="BC55" t="s">
        <v>36</v>
      </c>
      <c r="BD55" s="4">
        <f>HYPERLINK("http://mlb.mlb.com/team/player.jsp?player_id=605131",605131)</f>
        <v>605131</v>
      </c>
      <c r="BE55">
        <v>1387</v>
      </c>
      <c r="BF55">
        <v>387</v>
      </c>
      <c r="BG55">
        <v>262</v>
      </c>
      <c r="BH55">
        <v>218</v>
      </c>
    </row>
    <row r="56" spans="1:60" x14ac:dyDescent="0.3">
      <c r="A56" s="4">
        <f>HYPERLINK("http://legacy.baseballprospectus.com/p/60219",60219)</f>
        <v>60219</v>
      </c>
      <c r="B56" t="s">
        <v>306</v>
      </c>
      <c r="C56" t="s">
        <v>173</v>
      </c>
      <c r="D56" s="10">
        <v>31912</v>
      </c>
      <c r="E56" t="s">
        <v>58</v>
      </c>
      <c r="F56" t="s">
        <v>33</v>
      </c>
      <c r="G56" t="s">
        <v>33</v>
      </c>
      <c r="H56">
        <v>71</v>
      </c>
      <c r="I56">
        <v>200</v>
      </c>
      <c r="J56">
        <v>2018</v>
      </c>
      <c r="K56" s="4" t="str">
        <f>HYPERLINK("http://legacy.baseballprospectus.com/fantasy/dc/index.php?tm=MIN","MIN")</f>
        <v>MIN</v>
      </c>
      <c r="L56" t="s">
        <v>95</v>
      </c>
      <c r="M56" t="s">
        <v>34</v>
      </c>
      <c r="N56">
        <v>31</v>
      </c>
      <c r="O56">
        <v>679</v>
      </c>
      <c r="P56">
        <v>154</v>
      </c>
      <c r="Q56">
        <v>597</v>
      </c>
      <c r="R56">
        <v>102</v>
      </c>
      <c r="S56">
        <v>86</v>
      </c>
      <c r="T56">
        <v>32</v>
      </c>
      <c r="U56">
        <v>4</v>
      </c>
      <c r="V56">
        <v>28</v>
      </c>
      <c r="W56">
        <v>150</v>
      </c>
      <c r="X56">
        <v>274</v>
      </c>
      <c r="Y56">
        <v>85</v>
      </c>
      <c r="Z56">
        <v>69</v>
      </c>
      <c r="AA56">
        <v>4</v>
      </c>
      <c r="AB56">
        <v>8</v>
      </c>
      <c r="AC56">
        <v>136</v>
      </c>
      <c r="AD56">
        <v>1</v>
      </c>
      <c r="AE56">
        <v>4</v>
      </c>
      <c r="AF56">
        <v>13</v>
      </c>
      <c r="AG56">
        <v>16</v>
      </c>
      <c r="AH56">
        <v>5</v>
      </c>
      <c r="AI56" s="5">
        <v>0.251</v>
      </c>
      <c r="AJ56" s="5">
        <v>0.33500000000000002</v>
      </c>
      <c r="AK56" s="5">
        <v>0.45900000000000002</v>
      </c>
      <c r="AL56" s="5">
        <v>0.26600000000000001</v>
      </c>
      <c r="AM56" s="5">
        <v>0.27600000000000002</v>
      </c>
      <c r="AN56">
        <v>0.9</v>
      </c>
      <c r="AO56">
        <v>3.52</v>
      </c>
      <c r="AP56">
        <v>18.23</v>
      </c>
      <c r="AQ56">
        <v>4.37</v>
      </c>
      <c r="AR56">
        <v>-1.7</v>
      </c>
      <c r="AS56" t="s">
        <v>1027</v>
      </c>
      <c r="AT56">
        <v>2.5</v>
      </c>
      <c r="AU56">
        <v>27.1</v>
      </c>
      <c r="AV56">
        <v>0</v>
      </c>
      <c r="AW56">
        <v>47</v>
      </c>
      <c r="AX56">
        <v>2</v>
      </c>
      <c r="AY56">
        <v>4</v>
      </c>
      <c r="AZ56" t="s">
        <v>3590</v>
      </c>
      <c r="BA56">
        <v>98</v>
      </c>
      <c r="BB56" t="s">
        <v>35</v>
      </c>
      <c r="BC56" t="s">
        <v>36</v>
      </c>
      <c r="BD56" s="4">
        <f>HYPERLINK("http://mlb.mlb.com/team/player.jsp?player_id=572821",572821)</f>
        <v>572821</v>
      </c>
      <c r="BE56">
        <v>437</v>
      </c>
      <c r="BF56">
        <v>1437</v>
      </c>
      <c r="BG56">
        <v>705</v>
      </c>
      <c r="BH56">
        <v>617</v>
      </c>
    </row>
    <row r="57" spans="1:60" x14ac:dyDescent="0.3">
      <c r="A57" s="4">
        <f>HYPERLINK("http://legacy.baseballprospectus.com/p/104004",104004)</f>
        <v>104004</v>
      </c>
      <c r="B57" t="s">
        <v>1412</v>
      </c>
      <c r="C57" t="s">
        <v>1413</v>
      </c>
      <c r="D57" s="10">
        <v>35437</v>
      </c>
      <c r="E57" t="s">
        <v>58</v>
      </c>
      <c r="F57" t="s">
        <v>37</v>
      </c>
      <c r="G57" t="s">
        <v>33</v>
      </c>
      <c r="H57">
        <v>69</v>
      </c>
      <c r="I57">
        <v>160</v>
      </c>
      <c r="J57">
        <v>2018</v>
      </c>
      <c r="K57" s="4" t="str">
        <f>HYPERLINK("http://legacy.baseballprospectus.com/fantasy/dc/index.php?tm=ATL","ATL")</f>
        <v>ATL</v>
      </c>
      <c r="L57" t="s">
        <v>100</v>
      </c>
      <c r="M57" t="s">
        <v>34</v>
      </c>
      <c r="N57">
        <v>21</v>
      </c>
      <c r="O57">
        <v>550</v>
      </c>
      <c r="P57">
        <v>151</v>
      </c>
      <c r="Q57">
        <v>501</v>
      </c>
      <c r="R57">
        <v>73</v>
      </c>
      <c r="S57">
        <v>90</v>
      </c>
      <c r="T57">
        <v>26</v>
      </c>
      <c r="U57">
        <v>7</v>
      </c>
      <c r="V57">
        <v>12</v>
      </c>
      <c r="W57">
        <v>135</v>
      </c>
      <c r="X57">
        <v>211</v>
      </c>
      <c r="Y57">
        <v>54</v>
      </c>
      <c r="Z57">
        <v>38</v>
      </c>
      <c r="AA57">
        <v>2</v>
      </c>
      <c r="AB57">
        <v>5</v>
      </c>
      <c r="AC57">
        <v>107</v>
      </c>
      <c r="AD57">
        <v>4</v>
      </c>
      <c r="AE57">
        <v>3</v>
      </c>
      <c r="AF57">
        <v>9</v>
      </c>
      <c r="AG57">
        <v>19</v>
      </c>
      <c r="AH57">
        <v>5</v>
      </c>
      <c r="AI57" s="5">
        <v>0.26900000000000002</v>
      </c>
      <c r="AJ57" s="5">
        <v>0.32500000000000001</v>
      </c>
      <c r="AK57" s="5">
        <v>0.42099999999999999</v>
      </c>
      <c r="AL57" s="5">
        <v>0.25900000000000001</v>
      </c>
      <c r="AM57" s="5">
        <v>0.315</v>
      </c>
      <c r="AN57">
        <v>2.4</v>
      </c>
      <c r="AO57">
        <v>2.91</v>
      </c>
      <c r="AP57">
        <v>14.77</v>
      </c>
      <c r="AQ57">
        <v>-0.53</v>
      </c>
      <c r="AR57">
        <v>5.0999999999999996</v>
      </c>
      <c r="AS57" t="s">
        <v>3966</v>
      </c>
      <c r="AT57">
        <v>2.5</v>
      </c>
      <c r="AU57">
        <v>19.600000000000001</v>
      </c>
      <c r="AV57">
        <v>4</v>
      </c>
      <c r="AW57">
        <v>28</v>
      </c>
      <c r="AX57">
        <v>5</v>
      </c>
      <c r="AY57">
        <v>16</v>
      </c>
      <c r="AZ57" t="s">
        <v>3574</v>
      </c>
      <c r="BA57">
        <v>44</v>
      </c>
      <c r="BB57" t="s">
        <v>35</v>
      </c>
      <c r="BC57" t="s">
        <v>36</v>
      </c>
      <c r="BD57" s="4">
        <f>HYPERLINK("http://mlb.mlb.com/team/player.jsp?player_id=645277",645277)</f>
        <v>645277</v>
      </c>
      <c r="BE57">
        <v>1465</v>
      </c>
      <c r="BF57">
        <v>465</v>
      </c>
      <c r="BG57">
        <v>244</v>
      </c>
      <c r="BH57">
        <v>217</v>
      </c>
    </row>
    <row r="58" spans="1:60" x14ac:dyDescent="0.3">
      <c r="A58" s="4">
        <f>HYPERLINK("http://legacy.baseballprospectus.com/p/52260",52260)</f>
        <v>52260</v>
      </c>
      <c r="B58" t="s">
        <v>566</v>
      </c>
      <c r="C58" t="s">
        <v>103</v>
      </c>
      <c r="D58" s="10">
        <v>32003</v>
      </c>
      <c r="E58" t="s">
        <v>59</v>
      </c>
      <c r="F58" t="s">
        <v>9</v>
      </c>
      <c r="G58" t="s">
        <v>9</v>
      </c>
      <c r="H58">
        <v>73</v>
      </c>
      <c r="I58">
        <v>210</v>
      </c>
      <c r="J58">
        <v>2018</v>
      </c>
      <c r="K58" s="4" t="str">
        <f>HYPERLINK("http://legacy.baseballprospectus.com/fantasy/dc/index.php?tm=ARI","ARI")</f>
        <v>ARI</v>
      </c>
      <c r="L58" t="s">
        <v>100</v>
      </c>
      <c r="M58" t="s">
        <v>34</v>
      </c>
      <c r="N58">
        <v>30</v>
      </c>
      <c r="O58">
        <v>561</v>
      </c>
      <c r="P58">
        <v>142</v>
      </c>
      <c r="Q58">
        <v>516</v>
      </c>
      <c r="R58">
        <v>71</v>
      </c>
      <c r="S58">
        <v>92</v>
      </c>
      <c r="T58">
        <v>29</v>
      </c>
      <c r="U58">
        <v>7</v>
      </c>
      <c r="V58">
        <v>13</v>
      </c>
      <c r="W58">
        <v>141</v>
      </c>
      <c r="X58">
        <v>223</v>
      </c>
      <c r="Y58">
        <v>58</v>
      </c>
      <c r="Z58">
        <v>38</v>
      </c>
      <c r="AA58">
        <v>2</v>
      </c>
      <c r="AB58">
        <v>5</v>
      </c>
      <c r="AC58">
        <v>107</v>
      </c>
      <c r="AD58">
        <v>0</v>
      </c>
      <c r="AE58">
        <v>2</v>
      </c>
      <c r="AF58">
        <v>13</v>
      </c>
      <c r="AG58">
        <v>7</v>
      </c>
      <c r="AH58">
        <v>3</v>
      </c>
      <c r="AI58" s="5">
        <v>0.27300000000000002</v>
      </c>
      <c r="AJ58" s="5">
        <v>0.32800000000000001</v>
      </c>
      <c r="AK58" s="5">
        <v>0.432</v>
      </c>
      <c r="AL58" s="5">
        <v>0.26300000000000001</v>
      </c>
      <c r="AM58" s="5">
        <v>0.31900000000000001</v>
      </c>
      <c r="AN58">
        <v>0.2</v>
      </c>
      <c r="AO58">
        <v>-1.31</v>
      </c>
      <c r="AP58">
        <v>15.06</v>
      </c>
      <c r="AQ58">
        <v>2.0299999999999998</v>
      </c>
      <c r="AR58">
        <v>7</v>
      </c>
      <c r="AS58" t="s">
        <v>5025</v>
      </c>
      <c r="AT58">
        <v>2.2999999999999998</v>
      </c>
      <c r="AU58">
        <v>15.9</v>
      </c>
      <c r="AV58">
        <v>1</v>
      </c>
      <c r="AW58">
        <v>41</v>
      </c>
      <c r="AX58">
        <v>10</v>
      </c>
      <c r="AY58">
        <v>18</v>
      </c>
      <c r="AZ58" t="s">
        <v>3555</v>
      </c>
      <c r="BA58">
        <v>94</v>
      </c>
      <c r="BB58" t="s">
        <v>35</v>
      </c>
      <c r="BC58" t="s">
        <v>36</v>
      </c>
      <c r="BD58" s="4">
        <f>HYPERLINK("http://mlb.mlb.com/team/player.jsp?player_id=444482",444482)</f>
        <v>444482</v>
      </c>
      <c r="BE58">
        <v>1583</v>
      </c>
      <c r="BF58">
        <v>583</v>
      </c>
      <c r="BG58">
        <v>577</v>
      </c>
      <c r="BH58">
        <v>525</v>
      </c>
    </row>
    <row r="59" spans="1:60" x14ac:dyDescent="0.3">
      <c r="A59" s="4">
        <f>HYPERLINK("http://legacy.baseballprospectus.com/p/67574",67574)</f>
        <v>67574</v>
      </c>
      <c r="B59" t="s">
        <v>619</v>
      </c>
      <c r="C59" t="s">
        <v>218</v>
      </c>
      <c r="D59" s="10">
        <v>34100</v>
      </c>
      <c r="E59" t="s">
        <v>51</v>
      </c>
      <c r="F59" t="s">
        <v>33</v>
      </c>
      <c r="G59" t="s">
        <v>33</v>
      </c>
      <c r="H59">
        <v>76</v>
      </c>
      <c r="I59">
        <v>260</v>
      </c>
      <c r="J59">
        <v>2018</v>
      </c>
      <c r="K59" s="4" t="str">
        <f>HYPERLINK("http://legacy.baseballprospectus.com/fantasy/dc/index.php?tm=MIN","MIN")</f>
        <v>MIN</v>
      </c>
      <c r="L59" t="s">
        <v>95</v>
      </c>
      <c r="M59" t="s">
        <v>34</v>
      </c>
      <c r="N59">
        <v>25</v>
      </c>
      <c r="O59">
        <v>609</v>
      </c>
      <c r="P59">
        <v>150</v>
      </c>
      <c r="Q59">
        <v>529</v>
      </c>
      <c r="R59">
        <v>84</v>
      </c>
      <c r="S59">
        <v>71</v>
      </c>
      <c r="T59">
        <v>24</v>
      </c>
      <c r="U59">
        <v>2</v>
      </c>
      <c r="V59">
        <v>32</v>
      </c>
      <c r="W59">
        <v>129</v>
      </c>
      <c r="X59">
        <v>253</v>
      </c>
      <c r="Y59">
        <v>95</v>
      </c>
      <c r="Z59">
        <v>74</v>
      </c>
      <c r="AA59">
        <v>5</v>
      </c>
      <c r="AB59">
        <v>4</v>
      </c>
      <c r="AC59">
        <v>207</v>
      </c>
      <c r="AD59">
        <v>0</v>
      </c>
      <c r="AE59">
        <v>3</v>
      </c>
      <c r="AF59">
        <v>13</v>
      </c>
      <c r="AG59">
        <v>1</v>
      </c>
      <c r="AH59">
        <v>0</v>
      </c>
      <c r="AI59" s="5">
        <v>0.24399999999999999</v>
      </c>
      <c r="AJ59" s="5">
        <v>0.33900000000000002</v>
      </c>
      <c r="AK59" s="5">
        <v>0.47799999999999998</v>
      </c>
      <c r="AL59" s="5">
        <v>0.27600000000000002</v>
      </c>
      <c r="AM59" s="5">
        <v>0.33300000000000002</v>
      </c>
      <c r="AN59">
        <v>-1</v>
      </c>
      <c r="AO59">
        <v>-1.0900000000000001</v>
      </c>
      <c r="AP59">
        <v>16.350000000000001</v>
      </c>
      <c r="AQ59">
        <v>10.47</v>
      </c>
      <c r="AR59">
        <v>-1.4</v>
      </c>
      <c r="AS59" t="s">
        <v>4999</v>
      </c>
      <c r="AT59">
        <v>2.2999999999999998</v>
      </c>
      <c r="AU59">
        <v>24.8</v>
      </c>
      <c r="AV59">
        <v>3</v>
      </c>
      <c r="AW59">
        <v>65</v>
      </c>
      <c r="AX59">
        <v>3</v>
      </c>
      <c r="AY59">
        <v>6</v>
      </c>
      <c r="AZ59" t="s">
        <v>3606</v>
      </c>
      <c r="BA59">
        <v>97</v>
      </c>
      <c r="BB59" t="s">
        <v>35</v>
      </c>
      <c r="BC59" t="s">
        <v>36</v>
      </c>
      <c r="BD59" s="4">
        <f>HYPERLINK("http://mlb.mlb.com/team/player.jsp?player_id=593934",593934)</f>
        <v>593934</v>
      </c>
      <c r="BE59">
        <v>469</v>
      </c>
      <c r="BF59">
        <v>1469</v>
      </c>
      <c r="BG59">
        <v>483</v>
      </c>
      <c r="BH59">
        <v>424</v>
      </c>
    </row>
    <row r="60" spans="1:60" x14ac:dyDescent="0.3">
      <c r="A60" s="4">
        <f>HYPERLINK("http://legacy.baseballprospectus.com/p/46400",46400)</f>
        <v>46400</v>
      </c>
      <c r="B60" t="s">
        <v>508</v>
      </c>
      <c r="C60" t="s">
        <v>204</v>
      </c>
      <c r="D60" s="10">
        <v>31695</v>
      </c>
      <c r="E60" t="s">
        <v>57</v>
      </c>
      <c r="F60" t="s">
        <v>33</v>
      </c>
      <c r="G60" t="s">
        <v>33</v>
      </c>
      <c r="H60">
        <v>70</v>
      </c>
      <c r="I60">
        <v>195</v>
      </c>
      <c r="J60">
        <v>2018</v>
      </c>
      <c r="K60" s="4" t="str">
        <f>HYPERLINK("http://legacy.baseballprospectus.com/fantasy/dc/index.php?tm=SFN","SFN")</f>
        <v>SFN</v>
      </c>
      <c r="L60" t="s">
        <v>100</v>
      </c>
      <c r="M60" t="s">
        <v>34</v>
      </c>
      <c r="N60">
        <v>31</v>
      </c>
      <c r="O60">
        <v>607</v>
      </c>
      <c r="P60">
        <v>143</v>
      </c>
      <c r="Q60">
        <v>528</v>
      </c>
      <c r="R60">
        <v>87</v>
      </c>
      <c r="S60">
        <v>92</v>
      </c>
      <c r="T60">
        <v>29</v>
      </c>
      <c r="U60">
        <v>3</v>
      </c>
      <c r="V60">
        <v>19</v>
      </c>
      <c r="W60">
        <v>143</v>
      </c>
      <c r="X60">
        <v>235</v>
      </c>
      <c r="Y60">
        <v>69</v>
      </c>
      <c r="Z60">
        <v>70</v>
      </c>
      <c r="AA60">
        <v>7</v>
      </c>
      <c r="AB60">
        <v>6</v>
      </c>
      <c r="AC60">
        <v>118</v>
      </c>
      <c r="AD60">
        <v>0</v>
      </c>
      <c r="AE60">
        <v>3</v>
      </c>
      <c r="AF60">
        <v>11</v>
      </c>
      <c r="AG60">
        <v>9</v>
      </c>
      <c r="AH60">
        <v>5</v>
      </c>
      <c r="AI60" s="5">
        <v>0.27100000000000002</v>
      </c>
      <c r="AJ60" s="5">
        <v>0.36099999999999999</v>
      </c>
      <c r="AK60" s="5">
        <v>0.44500000000000001</v>
      </c>
      <c r="AL60" s="5">
        <v>0.28899999999999998</v>
      </c>
      <c r="AM60" s="5">
        <v>0.317</v>
      </c>
      <c r="AN60">
        <v>-0.6</v>
      </c>
      <c r="AO60">
        <v>-2.16</v>
      </c>
      <c r="AP60">
        <v>16.3</v>
      </c>
      <c r="AQ60">
        <v>18.73</v>
      </c>
      <c r="AR60">
        <v>-9.3000000000000007</v>
      </c>
      <c r="AS60" t="s">
        <v>4887</v>
      </c>
      <c r="AT60">
        <v>2.2999999999999998</v>
      </c>
      <c r="AU60">
        <v>32.299999999999997</v>
      </c>
      <c r="AV60">
        <v>0</v>
      </c>
      <c r="AW60">
        <v>45</v>
      </c>
      <c r="AX60">
        <v>3</v>
      </c>
      <c r="AY60">
        <v>1</v>
      </c>
      <c r="AZ60" t="s">
        <v>3552</v>
      </c>
      <c r="BA60">
        <v>99</v>
      </c>
      <c r="BB60" t="s">
        <v>35</v>
      </c>
      <c r="BC60" t="s">
        <v>36</v>
      </c>
      <c r="BD60" s="4">
        <f>HYPERLINK("http://mlb.mlb.com/team/player.jsp?player_id=457705",457705)</f>
        <v>457705</v>
      </c>
      <c r="BE60">
        <v>1578</v>
      </c>
      <c r="BF60">
        <v>578</v>
      </c>
      <c r="BG60">
        <v>650</v>
      </c>
      <c r="BH60">
        <v>570</v>
      </c>
    </row>
    <row r="61" spans="1:60" x14ac:dyDescent="0.3">
      <c r="A61" s="4">
        <f>HYPERLINK("http://legacy.baseballprospectus.com/p/70755",70755)</f>
        <v>70755</v>
      </c>
      <c r="B61" t="s">
        <v>1056</v>
      </c>
      <c r="C61" t="s">
        <v>384</v>
      </c>
      <c r="D61" s="10">
        <v>33030</v>
      </c>
      <c r="E61" t="s">
        <v>51</v>
      </c>
      <c r="F61" t="s">
        <v>33</v>
      </c>
      <c r="G61" t="s">
        <v>33</v>
      </c>
      <c r="H61">
        <v>73</v>
      </c>
      <c r="I61">
        <v>210</v>
      </c>
      <c r="J61">
        <v>2018</v>
      </c>
      <c r="K61" s="4" t="str">
        <f>HYPERLINK("http://legacy.baseballprospectus.com/fantasy/dc/index.php?tm=WAS","WAS")</f>
        <v>WAS</v>
      </c>
      <c r="L61" t="s">
        <v>100</v>
      </c>
      <c r="M61" t="s">
        <v>34</v>
      </c>
      <c r="N61">
        <v>28</v>
      </c>
      <c r="O61">
        <v>604</v>
      </c>
      <c r="P61">
        <v>145</v>
      </c>
      <c r="Q61">
        <v>529</v>
      </c>
      <c r="R61">
        <v>77</v>
      </c>
      <c r="S61">
        <v>91</v>
      </c>
      <c r="T61">
        <v>34</v>
      </c>
      <c r="U61">
        <v>2</v>
      </c>
      <c r="V61">
        <v>19</v>
      </c>
      <c r="W61">
        <v>146</v>
      </c>
      <c r="X61">
        <v>241</v>
      </c>
      <c r="Y61">
        <v>78</v>
      </c>
      <c r="Z61">
        <v>63</v>
      </c>
      <c r="AA61">
        <v>3</v>
      </c>
      <c r="AB61">
        <v>7</v>
      </c>
      <c r="AC61">
        <v>100</v>
      </c>
      <c r="AD61">
        <v>1</v>
      </c>
      <c r="AE61">
        <v>4</v>
      </c>
      <c r="AF61">
        <v>12</v>
      </c>
      <c r="AG61">
        <v>8</v>
      </c>
      <c r="AH61">
        <v>3</v>
      </c>
      <c r="AI61" s="5">
        <v>0.27600000000000002</v>
      </c>
      <c r="AJ61" s="5">
        <v>0.35799999999999998</v>
      </c>
      <c r="AK61" s="5">
        <v>0.45600000000000002</v>
      </c>
      <c r="AL61" s="5">
        <v>0.27600000000000002</v>
      </c>
      <c r="AM61" s="5">
        <v>0.30499999999999999</v>
      </c>
      <c r="AN61">
        <v>-0.5</v>
      </c>
      <c r="AO61">
        <v>0.53</v>
      </c>
      <c r="AP61">
        <v>16.22</v>
      </c>
      <c r="AQ61">
        <v>10.35</v>
      </c>
      <c r="AR61">
        <v>-3.9</v>
      </c>
      <c r="AS61" t="s">
        <v>80</v>
      </c>
      <c r="AT61">
        <v>2.2999999999999998</v>
      </c>
      <c r="AU61">
        <v>26.6</v>
      </c>
      <c r="AV61">
        <v>0</v>
      </c>
      <c r="AW61">
        <v>49</v>
      </c>
      <c r="AX61">
        <v>4</v>
      </c>
      <c r="AY61">
        <v>5</v>
      </c>
      <c r="AZ61" t="s">
        <v>3619</v>
      </c>
      <c r="BA61">
        <v>98</v>
      </c>
      <c r="BB61" t="s">
        <v>35</v>
      </c>
      <c r="BC61" t="s">
        <v>36</v>
      </c>
      <c r="BD61" s="4">
        <f>HYPERLINK("http://mlb.mlb.com/team/player.jsp?player_id=543685",543685)</f>
        <v>543685</v>
      </c>
      <c r="BE61">
        <v>1491</v>
      </c>
      <c r="BF61">
        <v>491</v>
      </c>
      <c r="BG61">
        <v>605</v>
      </c>
      <c r="BH61">
        <v>508</v>
      </c>
    </row>
    <row r="62" spans="1:60" x14ac:dyDescent="0.3">
      <c r="A62" s="4">
        <f>HYPERLINK("http://legacy.baseballprospectus.com/p/105574",105574)</f>
        <v>105574</v>
      </c>
      <c r="B62" t="s">
        <v>1692</v>
      </c>
      <c r="C62" t="s">
        <v>204</v>
      </c>
      <c r="D62" s="10">
        <v>34521</v>
      </c>
      <c r="E62" t="s">
        <v>59</v>
      </c>
      <c r="F62" t="s">
        <v>9</v>
      </c>
      <c r="G62" t="s">
        <v>9</v>
      </c>
      <c r="H62">
        <v>70</v>
      </c>
      <c r="I62">
        <v>170</v>
      </c>
      <c r="J62">
        <v>2018</v>
      </c>
      <c r="K62" s="4" t="str">
        <f>HYPERLINK("http://legacy.baseballprospectus.com/fantasy/dc/index.php?tm=BOS","BOS")</f>
        <v>BOS</v>
      </c>
      <c r="L62" t="s">
        <v>95</v>
      </c>
      <c r="M62" t="s">
        <v>34</v>
      </c>
      <c r="N62">
        <v>23</v>
      </c>
      <c r="O62">
        <v>595</v>
      </c>
      <c r="P62">
        <v>149</v>
      </c>
      <c r="Q62">
        <v>529</v>
      </c>
      <c r="R62">
        <v>85</v>
      </c>
      <c r="S62">
        <v>92</v>
      </c>
      <c r="T62">
        <v>30</v>
      </c>
      <c r="U62">
        <v>4</v>
      </c>
      <c r="V62">
        <v>18</v>
      </c>
      <c r="W62">
        <v>144</v>
      </c>
      <c r="X62">
        <v>236</v>
      </c>
      <c r="Y62">
        <v>66</v>
      </c>
      <c r="Z62">
        <v>57</v>
      </c>
      <c r="AA62">
        <v>6</v>
      </c>
      <c r="AB62">
        <v>5</v>
      </c>
      <c r="AC62">
        <v>102</v>
      </c>
      <c r="AD62">
        <v>1</v>
      </c>
      <c r="AE62">
        <v>4</v>
      </c>
      <c r="AF62">
        <v>13</v>
      </c>
      <c r="AG62">
        <v>15</v>
      </c>
      <c r="AH62">
        <v>5</v>
      </c>
      <c r="AI62" s="5">
        <v>0.27200000000000002</v>
      </c>
      <c r="AJ62" s="5">
        <v>0.34599999999999997</v>
      </c>
      <c r="AK62" s="5">
        <v>0.44600000000000001</v>
      </c>
      <c r="AL62" s="5">
        <v>0.27300000000000002</v>
      </c>
      <c r="AM62" s="5">
        <v>0.30499999999999999</v>
      </c>
      <c r="AN62">
        <v>0.9</v>
      </c>
      <c r="AO62">
        <v>-1</v>
      </c>
      <c r="AP62">
        <v>15.97</v>
      </c>
      <c r="AQ62">
        <v>8.1300000000000008</v>
      </c>
      <c r="AR62">
        <v>-0.8</v>
      </c>
      <c r="AS62" t="s">
        <v>4734</v>
      </c>
      <c r="AT62">
        <v>2.2999999999999998</v>
      </c>
      <c r="AU62">
        <v>24</v>
      </c>
      <c r="AV62">
        <v>5</v>
      </c>
      <c r="AW62">
        <v>61</v>
      </c>
      <c r="AX62">
        <v>2</v>
      </c>
      <c r="AY62">
        <v>11</v>
      </c>
      <c r="AZ62" t="s">
        <v>3592</v>
      </c>
      <c r="BA62">
        <v>94</v>
      </c>
      <c r="BB62" t="s">
        <v>35</v>
      </c>
      <c r="BC62" t="s">
        <v>36</v>
      </c>
      <c r="BD62" s="4">
        <f>HYPERLINK("http://mlb.mlb.com/team/player.jsp?player_id=643217",643217)</f>
        <v>643217</v>
      </c>
      <c r="BE62">
        <v>558</v>
      </c>
      <c r="BF62">
        <v>1558</v>
      </c>
      <c r="BG62">
        <v>658</v>
      </c>
      <c r="BH62">
        <v>573</v>
      </c>
    </row>
    <row r="63" spans="1:60" x14ac:dyDescent="0.3">
      <c r="A63" s="4">
        <f>HYPERLINK("http://legacy.baseballprospectus.com/p/100668",100668)</f>
        <v>100668</v>
      </c>
      <c r="B63" t="s">
        <v>898</v>
      </c>
      <c r="C63" t="s">
        <v>104</v>
      </c>
      <c r="D63" s="10">
        <v>34422</v>
      </c>
      <c r="E63" t="s">
        <v>50</v>
      </c>
      <c r="F63" t="s">
        <v>9</v>
      </c>
      <c r="G63" t="s">
        <v>33</v>
      </c>
      <c r="H63">
        <v>77</v>
      </c>
      <c r="I63">
        <v>230</v>
      </c>
      <c r="J63">
        <v>2018</v>
      </c>
      <c r="K63" s="4" t="str">
        <f>HYPERLINK("http://legacy.baseballprospectus.com/fantasy/dc/index.php?tm=OAK","OAK")</f>
        <v>OAK</v>
      </c>
      <c r="L63" t="s">
        <v>95</v>
      </c>
      <c r="M63" t="s">
        <v>34</v>
      </c>
      <c r="N63">
        <v>24</v>
      </c>
      <c r="O63">
        <v>592</v>
      </c>
      <c r="P63">
        <v>154</v>
      </c>
      <c r="Q63">
        <v>508</v>
      </c>
      <c r="R63">
        <v>80</v>
      </c>
      <c r="S63">
        <v>59</v>
      </c>
      <c r="T63">
        <v>27</v>
      </c>
      <c r="U63">
        <v>1</v>
      </c>
      <c r="V63">
        <v>31</v>
      </c>
      <c r="W63">
        <v>118</v>
      </c>
      <c r="X63">
        <v>240</v>
      </c>
      <c r="Y63">
        <v>91</v>
      </c>
      <c r="Z63">
        <v>76</v>
      </c>
      <c r="AA63">
        <v>4</v>
      </c>
      <c r="AB63">
        <v>5</v>
      </c>
      <c r="AC63">
        <v>163</v>
      </c>
      <c r="AD63">
        <v>1</v>
      </c>
      <c r="AE63">
        <v>3</v>
      </c>
      <c r="AF63">
        <v>12</v>
      </c>
      <c r="AG63">
        <v>0</v>
      </c>
      <c r="AH63">
        <v>0</v>
      </c>
      <c r="AI63" s="5">
        <v>0.23200000000000001</v>
      </c>
      <c r="AJ63" s="5">
        <v>0.33600000000000002</v>
      </c>
      <c r="AK63" s="5">
        <v>0.47199999999999998</v>
      </c>
      <c r="AL63" s="5">
        <v>0.27400000000000002</v>
      </c>
      <c r="AM63" s="5">
        <v>0.27200000000000002</v>
      </c>
      <c r="AN63">
        <v>-1.2</v>
      </c>
      <c r="AO63">
        <v>-6.72</v>
      </c>
      <c r="AP63">
        <v>15.89</v>
      </c>
      <c r="AQ63">
        <v>8.66</v>
      </c>
      <c r="AR63">
        <v>6.1</v>
      </c>
      <c r="AS63" t="s">
        <v>2194</v>
      </c>
      <c r="AT63">
        <v>2.2999999999999998</v>
      </c>
      <c r="AU63">
        <v>16.600000000000001</v>
      </c>
      <c r="AV63">
        <v>6</v>
      </c>
      <c r="AW63">
        <v>30</v>
      </c>
      <c r="AX63">
        <v>23</v>
      </c>
      <c r="AY63">
        <v>28</v>
      </c>
      <c r="AZ63" t="s">
        <v>3607</v>
      </c>
      <c r="BA63">
        <v>67</v>
      </c>
      <c r="BB63" t="s">
        <v>35</v>
      </c>
      <c r="BC63" t="s">
        <v>36</v>
      </c>
      <c r="BD63" s="4">
        <f>HYPERLINK("http://mlb.mlb.com/team/player.jsp?player_id=621566",621566)</f>
        <v>621566</v>
      </c>
      <c r="BE63">
        <v>417</v>
      </c>
      <c r="BF63">
        <v>1417</v>
      </c>
      <c r="BG63">
        <v>216</v>
      </c>
      <c r="BH63">
        <v>189</v>
      </c>
    </row>
    <row r="64" spans="1:60" x14ac:dyDescent="0.3">
      <c r="A64" s="4">
        <f>HYPERLINK("http://legacy.baseballprospectus.com/p/67728",67728)</f>
        <v>67728</v>
      </c>
      <c r="B64" t="s">
        <v>221</v>
      </c>
      <c r="C64" t="s">
        <v>222</v>
      </c>
      <c r="D64" s="10">
        <v>32064</v>
      </c>
      <c r="E64" t="s">
        <v>57</v>
      </c>
      <c r="F64" t="s">
        <v>9</v>
      </c>
      <c r="G64" t="s">
        <v>9</v>
      </c>
      <c r="H64">
        <v>70</v>
      </c>
      <c r="I64">
        <v>205</v>
      </c>
      <c r="J64">
        <v>2018</v>
      </c>
      <c r="K64" s="4" t="str">
        <f>HYPERLINK("http://legacy.baseballprospectus.com/fantasy/dc/index.php?tm=ANA","ANA")</f>
        <v>ANA</v>
      </c>
      <c r="L64" t="s">
        <v>95</v>
      </c>
      <c r="M64" t="s">
        <v>34</v>
      </c>
      <c r="N64">
        <v>30</v>
      </c>
      <c r="O64">
        <v>641</v>
      </c>
      <c r="P64">
        <v>153</v>
      </c>
      <c r="Q64">
        <v>575</v>
      </c>
      <c r="R64">
        <v>75</v>
      </c>
      <c r="S64">
        <v>98</v>
      </c>
      <c r="T64">
        <v>27</v>
      </c>
      <c r="U64">
        <v>3</v>
      </c>
      <c r="V64">
        <v>21</v>
      </c>
      <c r="W64">
        <v>149</v>
      </c>
      <c r="X64">
        <v>245</v>
      </c>
      <c r="Y64">
        <v>80</v>
      </c>
      <c r="Z64">
        <v>56</v>
      </c>
      <c r="AA64">
        <v>2</v>
      </c>
      <c r="AB64">
        <v>5</v>
      </c>
      <c r="AC64">
        <v>127</v>
      </c>
      <c r="AD64">
        <v>0</v>
      </c>
      <c r="AE64">
        <v>4</v>
      </c>
      <c r="AF64">
        <v>14</v>
      </c>
      <c r="AG64">
        <v>4</v>
      </c>
      <c r="AH64">
        <v>2</v>
      </c>
      <c r="AI64" s="5">
        <v>0.25900000000000001</v>
      </c>
      <c r="AJ64" s="5">
        <v>0.32800000000000001</v>
      </c>
      <c r="AK64" s="5">
        <v>0.42599999999999999</v>
      </c>
      <c r="AL64" s="5">
        <v>0.26500000000000001</v>
      </c>
      <c r="AM64" s="5">
        <v>0.29799999999999999</v>
      </c>
      <c r="AN64">
        <v>-0.7</v>
      </c>
      <c r="AO64">
        <v>-2.2799999999999998</v>
      </c>
      <c r="AP64">
        <v>17.21</v>
      </c>
      <c r="AQ64">
        <v>3.27</v>
      </c>
      <c r="AR64">
        <v>4.2</v>
      </c>
      <c r="AS64" t="s">
        <v>4987</v>
      </c>
      <c r="AT64">
        <v>2.2000000000000002</v>
      </c>
      <c r="AU64">
        <v>17.5</v>
      </c>
      <c r="AV64">
        <v>2</v>
      </c>
      <c r="AW64">
        <v>39</v>
      </c>
      <c r="AX64">
        <v>8</v>
      </c>
      <c r="AY64">
        <v>15</v>
      </c>
      <c r="AZ64" t="s">
        <v>3621</v>
      </c>
      <c r="BA64">
        <v>98</v>
      </c>
      <c r="BB64" t="s">
        <v>35</v>
      </c>
      <c r="BC64" t="s">
        <v>36</v>
      </c>
      <c r="BD64" s="4">
        <f>HYPERLINK("http://mlb.mlb.com/team/player.jsp?player_id=594777",594777)</f>
        <v>594777</v>
      </c>
      <c r="BE64">
        <v>559</v>
      </c>
      <c r="BF64">
        <v>1559</v>
      </c>
      <c r="BG64">
        <v>654</v>
      </c>
      <c r="BH64">
        <v>569</v>
      </c>
    </row>
    <row r="65" spans="1:60" x14ac:dyDescent="0.3">
      <c r="A65" s="4">
        <f>HYPERLINK("http://legacy.baseballprospectus.com/p/60932",60932)</f>
        <v>60932</v>
      </c>
      <c r="B65" t="s">
        <v>578</v>
      </c>
      <c r="C65" t="s">
        <v>319</v>
      </c>
      <c r="D65" s="10">
        <v>32116</v>
      </c>
      <c r="E65" t="s">
        <v>65</v>
      </c>
      <c r="F65" t="s">
        <v>33</v>
      </c>
      <c r="G65" t="s">
        <v>33</v>
      </c>
      <c r="H65">
        <v>73</v>
      </c>
      <c r="I65">
        <v>195</v>
      </c>
      <c r="J65">
        <v>2018</v>
      </c>
      <c r="K65" s="4" t="str">
        <f>HYPERLINK("http://legacy.baseballprospectus.com/fantasy/dc/index.php?tm=ARI","ARI")</f>
        <v>ARI</v>
      </c>
      <c r="L65" t="s">
        <v>100</v>
      </c>
      <c r="M65" t="s">
        <v>34</v>
      </c>
      <c r="N65">
        <v>30</v>
      </c>
      <c r="O65">
        <v>589</v>
      </c>
      <c r="P65">
        <v>144</v>
      </c>
      <c r="Q65">
        <v>538</v>
      </c>
      <c r="R65">
        <v>84</v>
      </c>
      <c r="S65">
        <v>91</v>
      </c>
      <c r="T65">
        <v>35</v>
      </c>
      <c r="U65">
        <v>5</v>
      </c>
      <c r="V65">
        <v>15</v>
      </c>
      <c r="W65">
        <v>146</v>
      </c>
      <c r="X65">
        <v>236</v>
      </c>
      <c r="Y65">
        <v>60</v>
      </c>
      <c r="Z65">
        <v>44</v>
      </c>
      <c r="AA65">
        <v>1</v>
      </c>
      <c r="AB65">
        <v>4</v>
      </c>
      <c r="AC65">
        <v>94</v>
      </c>
      <c r="AD65">
        <v>1</v>
      </c>
      <c r="AE65">
        <v>3</v>
      </c>
      <c r="AF65">
        <v>13</v>
      </c>
      <c r="AG65">
        <v>28</v>
      </c>
      <c r="AH65">
        <v>7</v>
      </c>
      <c r="AI65" s="5">
        <v>0.27100000000000002</v>
      </c>
      <c r="AJ65" s="5">
        <v>0.32900000000000001</v>
      </c>
      <c r="AK65" s="5">
        <v>0.439</v>
      </c>
      <c r="AL65" s="5">
        <v>0.26900000000000002</v>
      </c>
      <c r="AM65" s="5">
        <v>0.30499999999999999</v>
      </c>
      <c r="AN65">
        <v>3.4</v>
      </c>
      <c r="AO65">
        <v>0.86</v>
      </c>
      <c r="AP65">
        <v>15.81</v>
      </c>
      <c r="AQ65">
        <v>5.44</v>
      </c>
      <c r="AR65">
        <v>-3.3</v>
      </c>
      <c r="AS65" t="s">
        <v>1046</v>
      </c>
      <c r="AT65">
        <v>2.2000000000000002</v>
      </c>
      <c r="AU65">
        <v>25.5</v>
      </c>
      <c r="AV65">
        <v>1</v>
      </c>
      <c r="AW65">
        <v>43</v>
      </c>
      <c r="AX65">
        <v>7</v>
      </c>
      <c r="AY65">
        <v>3</v>
      </c>
      <c r="AZ65" t="s">
        <v>3593</v>
      </c>
      <c r="BA65">
        <v>97</v>
      </c>
      <c r="BB65" t="s">
        <v>35</v>
      </c>
      <c r="BC65" t="s">
        <v>36</v>
      </c>
      <c r="BD65" s="4">
        <f>HYPERLINK("http://mlb.mlb.com/team/player.jsp?player_id=572041",572041)</f>
        <v>572041</v>
      </c>
      <c r="BE65">
        <v>1595</v>
      </c>
      <c r="BF65">
        <v>595</v>
      </c>
      <c r="BG65">
        <v>466</v>
      </c>
      <c r="BH65">
        <v>425</v>
      </c>
    </row>
    <row r="66" spans="1:60" x14ac:dyDescent="0.3">
      <c r="A66" s="4">
        <f>HYPERLINK("http://legacy.baseballprospectus.com/p/46980",46980)</f>
        <v>46980</v>
      </c>
      <c r="B66" t="s">
        <v>128</v>
      </c>
      <c r="C66" t="s">
        <v>129</v>
      </c>
      <c r="D66" s="10">
        <v>32381</v>
      </c>
      <c r="E66" t="s">
        <v>53</v>
      </c>
      <c r="F66" t="s">
        <v>33</v>
      </c>
      <c r="G66" t="s">
        <v>33</v>
      </c>
      <c r="H66">
        <v>72</v>
      </c>
      <c r="I66">
        <v>200</v>
      </c>
      <c r="J66">
        <v>2018</v>
      </c>
      <c r="K66" s="4" t="str">
        <f>HYPERLINK("http://legacy.baseballprospectus.com/fantasy/dc/index.php?tm=TEX","TEX")</f>
        <v>TEX</v>
      </c>
      <c r="L66" t="s">
        <v>95</v>
      </c>
      <c r="M66" t="s">
        <v>34</v>
      </c>
      <c r="N66">
        <v>29</v>
      </c>
      <c r="O66">
        <v>692</v>
      </c>
      <c r="P66">
        <v>154</v>
      </c>
      <c r="Q66">
        <v>625</v>
      </c>
      <c r="R66">
        <v>79</v>
      </c>
      <c r="S66">
        <v>125</v>
      </c>
      <c r="T66">
        <v>35</v>
      </c>
      <c r="U66">
        <v>3</v>
      </c>
      <c r="V66">
        <v>9</v>
      </c>
      <c r="W66">
        <v>172</v>
      </c>
      <c r="X66">
        <v>240</v>
      </c>
      <c r="Y66">
        <v>66</v>
      </c>
      <c r="Z66">
        <v>51</v>
      </c>
      <c r="AA66">
        <v>1</v>
      </c>
      <c r="AB66">
        <v>4</v>
      </c>
      <c r="AC66">
        <v>91</v>
      </c>
      <c r="AD66">
        <v>7</v>
      </c>
      <c r="AE66">
        <v>4</v>
      </c>
      <c r="AF66">
        <v>21</v>
      </c>
      <c r="AG66">
        <v>27</v>
      </c>
      <c r="AH66">
        <v>11</v>
      </c>
      <c r="AI66" s="5">
        <v>0.27500000000000002</v>
      </c>
      <c r="AJ66" s="5">
        <v>0.33200000000000002</v>
      </c>
      <c r="AK66" s="5">
        <v>0.38400000000000001</v>
      </c>
      <c r="AL66" s="5">
        <v>0.249</v>
      </c>
      <c r="AM66" s="5">
        <v>0.30399999999999999</v>
      </c>
      <c r="AN66">
        <v>1.2</v>
      </c>
      <c r="AO66">
        <v>4.7699999999999996</v>
      </c>
      <c r="AP66">
        <v>18.579999999999998</v>
      </c>
      <c r="AQ66">
        <v>-7.81</v>
      </c>
      <c r="AR66">
        <v>5.6</v>
      </c>
      <c r="AS66" t="s">
        <v>3594</v>
      </c>
      <c r="AT66">
        <v>2.2000000000000002</v>
      </c>
      <c r="AU66">
        <v>16.8</v>
      </c>
      <c r="AV66">
        <v>3</v>
      </c>
      <c r="AW66">
        <v>47</v>
      </c>
      <c r="AX66">
        <v>6</v>
      </c>
      <c r="AY66">
        <v>13</v>
      </c>
      <c r="AZ66" t="s">
        <v>3595</v>
      </c>
      <c r="BA66">
        <v>97</v>
      </c>
      <c r="BB66" t="s">
        <v>35</v>
      </c>
      <c r="BC66" t="s">
        <v>36</v>
      </c>
      <c r="BD66" s="4">
        <f>HYPERLINK("http://mlb.mlb.com/team/player.jsp?player_id=462101",462101)</f>
        <v>462101</v>
      </c>
      <c r="BE66">
        <v>494</v>
      </c>
      <c r="BF66">
        <v>1494</v>
      </c>
      <c r="BG66">
        <v>689</v>
      </c>
      <c r="BH66">
        <v>643</v>
      </c>
    </row>
    <row r="67" spans="1:60" x14ac:dyDescent="0.3">
      <c r="A67" s="4">
        <f>HYPERLINK("http://legacy.baseballprospectus.com/p/60408",60408)</f>
        <v>60408</v>
      </c>
      <c r="B67" t="s">
        <v>395</v>
      </c>
      <c r="C67" t="s">
        <v>396</v>
      </c>
      <c r="D67" s="10">
        <v>33463</v>
      </c>
      <c r="E67" t="s">
        <v>57</v>
      </c>
      <c r="F67" t="s">
        <v>33</v>
      </c>
      <c r="G67" t="s">
        <v>33</v>
      </c>
      <c r="H67">
        <v>73</v>
      </c>
      <c r="I67">
        <v>205</v>
      </c>
      <c r="J67">
        <v>2018</v>
      </c>
      <c r="K67" s="4" t="str">
        <f>HYPERLINK("http://legacy.baseballprospectus.com/fantasy/dc/index.php?tm=TOR","TOR")</f>
        <v>TOR</v>
      </c>
      <c r="L67" t="s">
        <v>95</v>
      </c>
      <c r="M67" t="s">
        <v>34</v>
      </c>
      <c r="N67">
        <v>26</v>
      </c>
      <c r="O67">
        <v>514</v>
      </c>
      <c r="P67">
        <v>136</v>
      </c>
      <c r="Q67">
        <v>479</v>
      </c>
      <c r="R67">
        <v>65</v>
      </c>
      <c r="S67">
        <v>60</v>
      </c>
      <c r="T67">
        <v>27</v>
      </c>
      <c r="U67">
        <v>4</v>
      </c>
      <c r="V67">
        <v>25</v>
      </c>
      <c r="W67">
        <v>116</v>
      </c>
      <c r="X67">
        <v>226</v>
      </c>
      <c r="Y67">
        <v>76</v>
      </c>
      <c r="Z67">
        <v>29</v>
      </c>
      <c r="AA67">
        <v>2</v>
      </c>
      <c r="AB67">
        <v>4</v>
      </c>
      <c r="AC67">
        <v>151</v>
      </c>
      <c r="AD67">
        <v>0</v>
      </c>
      <c r="AE67">
        <v>2</v>
      </c>
      <c r="AF67">
        <v>12</v>
      </c>
      <c r="AG67">
        <v>6</v>
      </c>
      <c r="AH67">
        <v>3</v>
      </c>
      <c r="AI67" s="5">
        <v>0.24199999999999999</v>
      </c>
      <c r="AJ67" s="5">
        <v>0.28999999999999998</v>
      </c>
      <c r="AK67" s="5">
        <v>0.47199999999999998</v>
      </c>
      <c r="AL67" s="5">
        <v>0.25900000000000001</v>
      </c>
      <c r="AM67" s="5">
        <v>0.29499999999999998</v>
      </c>
      <c r="AN67">
        <v>-0.1</v>
      </c>
      <c r="AO67">
        <v>-1.83</v>
      </c>
      <c r="AP67">
        <v>13.8</v>
      </c>
      <c r="AQ67">
        <v>-0.31</v>
      </c>
      <c r="AR67">
        <v>10.1</v>
      </c>
      <c r="AS67" t="s">
        <v>4967</v>
      </c>
      <c r="AT67">
        <v>2.2000000000000002</v>
      </c>
      <c r="AU67">
        <v>11.5</v>
      </c>
      <c r="AV67">
        <v>6</v>
      </c>
      <c r="AW67">
        <v>52</v>
      </c>
      <c r="AX67">
        <v>6</v>
      </c>
      <c r="AY67">
        <v>11</v>
      </c>
      <c r="AZ67" t="s">
        <v>3836</v>
      </c>
      <c r="BA67">
        <v>92</v>
      </c>
      <c r="BB67" t="s">
        <v>35</v>
      </c>
      <c r="BC67" t="s">
        <v>36</v>
      </c>
      <c r="BD67" s="4">
        <f>HYPERLINK("http://mlb.mlb.com/team/player.jsp?player_id=545341",545341)</f>
        <v>545341</v>
      </c>
      <c r="BE67">
        <v>584</v>
      </c>
      <c r="BF67">
        <v>1584</v>
      </c>
      <c r="BG67">
        <v>442</v>
      </c>
      <c r="BH67">
        <v>412</v>
      </c>
    </row>
    <row r="68" spans="1:60" x14ac:dyDescent="0.3">
      <c r="A68" s="4">
        <f>HYPERLINK("http://legacy.baseballprospectus.com/p/70802",70802)</f>
        <v>70802</v>
      </c>
      <c r="B68" t="s">
        <v>3704</v>
      </c>
      <c r="C68" t="s">
        <v>108</v>
      </c>
      <c r="D68" s="10">
        <v>33797</v>
      </c>
      <c r="E68" t="s">
        <v>59</v>
      </c>
      <c r="F68" t="s">
        <v>9</v>
      </c>
      <c r="G68" t="s">
        <v>33</v>
      </c>
      <c r="H68">
        <v>74</v>
      </c>
      <c r="I68">
        <v>230</v>
      </c>
      <c r="J68">
        <v>2018</v>
      </c>
      <c r="K68" s="4" t="str">
        <f>HYPERLINK("http://legacy.baseballprospectus.com/fantasy/dc/index.php?tm=CHA","CHA")</f>
        <v>CHA</v>
      </c>
      <c r="L68" t="s">
        <v>95</v>
      </c>
      <c r="M68" t="s">
        <v>34</v>
      </c>
      <c r="N68">
        <v>25</v>
      </c>
      <c r="O68">
        <v>517</v>
      </c>
      <c r="P68">
        <v>154</v>
      </c>
      <c r="Q68">
        <v>459</v>
      </c>
      <c r="R68">
        <v>64</v>
      </c>
      <c r="S68">
        <v>67</v>
      </c>
      <c r="T68">
        <v>25</v>
      </c>
      <c r="U68">
        <v>2</v>
      </c>
      <c r="V68">
        <v>19</v>
      </c>
      <c r="W68">
        <v>113</v>
      </c>
      <c r="X68">
        <v>199</v>
      </c>
      <c r="Y68">
        <v>65</v>
      </c>
      <c r="Z68">
        <v>50</v>
      </c>
      <c r="AA68">
        <v>2</v>
      </c>
      <c r="AB68">
        <v>4</v>
      </c>
      <c r="AC68">
        <v>121</v>
      </c>
      <c r="AD68">
        <v>2</v>
      </c>
      <c r="AE68">
        <v>2</v>
      </c>
      <c r="AF68">
        <v>11</v>
      </c>
      <c r="AG68">
        <v>2</v>
      </c>
      <c r="AH68">
        <v>1</v>
      </c>
      <c r="AI68" s="5">
        <v>0.246</v>
      </c>
      <c r="AJ68" s="5">
        <v>0.32400000000000001</v>
      </c>
      <c r="AK68" s="5">
        <v>0.434</v>
      </c>
      <c r="AL68" s="5">
        <v>0.26300000000000001</v>
      </c>
      <c r="AM68" s="5">
        <v>0.28999999999999998</v>
      </c>
      <c r="AN68">
        <v>-0.6</v>
      </c>
      <c r="AO68">
        <v>-2.31</v>
      </c>
      <c r="AP68">
        <v>13.88</v>
      </c>
      <c r="AQ68">
        <v>1.8</v>
      </c>
      <c r="AR68">
        <v>7.9</v>
      </c>
      <c r="AS68" t="s">
        <v>4963</v>
      </c>
      <c r="AT68">
        <v>2.1</v>
      </c>
      <c r="AU68">
        <v>12.7</v>
      </c>
      <c r="AV68">
        <v>9</v>
      </c>
      <c r="AW68">
        <v>28</v>
      </c>
      <c r="AX68">
        <v>15</v>
      </c>
      <c r="AY68">
        <v>42</v>
      </c>
      <c r="AZ68" t="s">
        <v>3705</v>
      </c>
      <c r="BA68">
        <v>77</v>
      </c>
      <c r="BB68" t="s">
        <v>35</v>
      </c>
      <c r="BC68" t="s">
        <v>36</v>
      </c>
      <c r="BD68" s="4">
        <f>HYPERLINK("http://mlb.mlb.com/team/player.jsp?player_id=547170",547170)</f>
        <v>547170</v>
      </c>
      <c r="BE68">
        <v>609</v>
      </c>
      <c r="BF68">
        <v>1609</v>
      </c>
      <c r="BG68">
        <v>166</v>
      </c>
      <c r="BH68">
        <v>141</v>
      </c>
    </row>
    <row r="69" spans="1:60" x14ac:dyDescent="0.3">
      <c r="A69" s="4">
        <f>HYPERLINK("http://legacy.baseballprospectus.com/p/49264",49264)</f>
        <v>49264</v>
      </c>
      <c r="B69" t="s">
        <v>195</v>
      </c>
      <c r="C69" t="s">
        <v>181</v>
      </c>
      <c r="D69" s="10">
        <v>31912</v>
      </c>
      <c r="E69" t="s">
        <v>59</v>
      </c>
      <c r="F69" t="s">
        <v>9</v>
      </c>
      <c r="G69" t="s">
        <v>9</v>
      </c>
      <c r="H69">
        <v>74</v>
      </c>
      <c r="I69">
        <v>200</v>
      </c>
      <c r="J69">
        <v>2018</v>
      </c>
      <c r="K69" s="4" t="str">
        <f>HYPERLINK("http://legacy.baseballprospectus.com/fantasy/dc/index.php?tm=CLE","CLE")</f>
        <v>CLE</v>
      </c>
      <c r="L69" t="s">
        <v>95</v>
      </c>
      <c r="M69" t="s">
        <v>34</v>
      </c>
      <c r="N69">
        <v>31</v>
      </c>
      <c r="O69">
        <v>424</v>
      </c>
      <c r="P69">
        <v>103</v>
      </c>
      <c r="Q69">
        <v>384</v>
      </c>
      <c r="R69">
        <v>51</v>
      </c>
      <c r="S69">
        <v>77</v>
      </c>
      <c r="T69">
        <v>25</v>
      </c>
      <c r="U69">
        <v>1</v>
      </c>
      <c r="V69">
        <v>9</v>
      </c>
      <c r="W69">
        <v>112</v>
      </c>
      <c r="X69">
        <v>166</v>
      </c>
      <c r="Y69">
        <v>48</v>
      </c>
      <c r="Z69">
        <v>34</v>
      </c>
      <c r="AA69">
        <v>3</v>
      </c>
      <c r="AB69">
        <v>3</v>
      </c>
      <c r="AC69">
        <v>45</v>
      </c>
      <c r="AD69">
        <v>0</v>
      </c>
      <c r="AE69">
        <v>3</v>
      </c>
      <c r="AF69">
        <v>11</v>
      </c>
      <c r="AG69">
        <v>11</v>
      </c>
      <c r="AH69">
        <v>1</v>
      </c>
      <c r="AI69" s="5">
        <v>0.29199999999999998</v>
      </c>
      <c r="AJ69" s="5">
        <v>0.35099999999999998</v>
      </c>
      <c r="AK69" s="5">
        <v>0.432</v>
      </c>
      <c r="AL69" s="5">
        <v>0.27300000000000002</v>
      </c>
      <c r="AM69" s="5">
        <v>0.309</v>
      </c>
      <c r="AN69">
        <v>1.3</v>
      </c>
      <c r="AO69">
        <v>-1.08</v>
      </c>
      <c r="AP69">
        <v>11.38</v>
      </c>
      <c r="AQ69">
        <v>5.88</v>
      </c>
      <c r="AR69">
        <v>3.3</v>
      </c>
      <c r="AS69" t="s">
        <v>4966</v>
      </c>
      <c r="AT69">
        <v>2.1</v>
      </c>
      <c r="AU69">
        <v>17.399999999999999</v>
      </c>
      <c r="AV69">
        <v>0</v>
      </c>
      <c r="AW69">
        <v>41</v>
      </c>
      <c r="AX69">
        <v>5</v>
      </c>
      <c r="AY69">
        <v>13</v>
      </c>
      <c r="AZ69" t="s">
        <v>3585</v>
      </c>
      <c r="BA69">
        <v>95</v>
      </c>
      <c r="BB69" t="s">
        <v>35</v>
      </c>
      <c r="BC69" t="s">
        <v>36</v>
      </c>
      <c r="BD69" s="4">
        <f>HYPERLINK("http://mlb.mlb.com/team/player.jsp?player_id=488726",488726)</f>
        <v>488726</v>
      </c>
      <c r="BE69">
        <v>593</v>
      </c>
      <c r="BF69">
        <v>1593</v>
      </c>
      <c r="BG69">
        <v>375</v>
      </c>
      <c r="BH69">
        <v>338</v>
      </c>
    </row>
    <row r="70" spans="1:60" x14ac:dyDescent="0.3">
      <c r="A70" s="4">
        <f>HYPERLINK("http://legacy.baseballprospectus.com/p/70217",70217)</f>
        <v>70217</v>
      </c>
      <c r="B70" t="s">
        <v>588</v>
      </c>
      <c r="C70" t="s">
        <v>119</v>
      </c>
      <c r="D70" s="10">
        <v>33864</v>
      </c>
      <c r="E70" t="s">
        <v>51</v>
      </c>
      <c r="F70" t="s">
        <v>37</v>
      </c>
      <c r="G70" t="s">
        <v>33</v>
      </c>
      <c r="H70">
        <v>69</v>
      </c>
      <c r="I70">
        <v>165</v>
      </c>
      <c r="J70">
        <v>2018</v>
      </c>
      <c r="K70" s="4" t="str">
        <f>HYPERLINK("http://legacy.baseballprospectus.com/fantasy/dc/index.php?tm=CLE","CLE")</f>
        <v>CLE</v>
      </c>
      <c r="L70" t="s">
        <v>95</v>
      </c>
      <c r="M70" t="s">
        <v>34</v>
      </c>
      <c r="N70">
        <v>25</v>
      </c>
      <c r="O70">
        <v>624</v>
      </c>
      <c r="P70">
        <v>154</v>
      </c>
      <c r="Q70">
        <v>567</v>
      </c>
      <c r="R70">
        <v>74</v>
      </c>
      <c r="S70">
        <v>104</v>
      </c>
      <c r="T70">
        <v>36</v>
      </c>
      <c r="U70">
        <v>5</v>
      </c>
      <c r="V70">
        <v>13</v>
      </c>
      <c r="W70">
        <v>158</v>
      </c>
      <c r="X70">
        <v>243</v>
      </c>
      <c r="Y70">
        <v>69</v>
      </c>
      <c r="Z70">
        <v>45</v>
      </c>
      <c r="AA70">
        <v>3</v>
      </c>
      <c r="AB70">
        <v>3</v>
      </c>
      <c r="AC70">
        <v>69</v>
      </c>
      <c r="AD70">
        <v>6</v>
      </c>
      <c r="AE70">
        <v>4</v>
      </c>
      <c r="AF70">
        <v>12</v>
      </c>
      <c r="AG70">
        <v>20</v>
      </c>
      <c r="AH70">
        <v>7</v>
      </c>
      <c r="AI70" s="5">
        <v>0.27900000000000003</v>
      </c>
      <c r="AJ70" s="5">
        <v>0.33300000000000002</v>
      </c>
      <c r="AK70" s="5">
        <v>0.42899999999999999</v>
      </c>
      <c r="AL70" s="5">
        <v>0.26300000000000001</v>
      </c>
      <c r="AM70" s="5">
        <v>0.29399999999999998</v>
      </c>
      <c r="AN70">
        <v>1.6</v>
      </c>
      <c r="AO70">
        <v>1.18</v>
      </c>
      <c r="AP70">
        <v>16.75</v>
      </c>
      <c r="AQ70">
        <v>1.81</v>
      </c>
      <c r="AR70">
        <v>-0.5</v>
      </c>
      <c r="AS70" t="s">
        <v>4832</v>
      </c>
      <c r="AT70">
        <v>2.1</v>
      </c>
      <c r="AU70">
        <v>21.3</v>
      </c>
      <c r="AV70">
        <v>2</v>
      </c>
      <c r="AW70">
        <v>54</v>
      </c>
      <c r="AX70">
        <v>2</v>
      </c>
      <c r="AY70">
        <v>7</v>
      </c>
      <c r="AZ70" t="s">
        <v>3623</v>
      </c>
      <c r="BA70">
        <v>98</v>
      </c>
      <c r="BB70" t="s">
        <v>35</v>
      </c>
      <c r="BC70" t="s">
        <v>36</v>
      </c>
      <c r="BD70" s="4">
        <f>HYPERLINK("http://mlb.mlb.com/team/player.jsp?player_id=608070",608070)</f>
        <v>608070</v>
      </c>
      <c r="BE70">
        <v>444</v>
      </c>
      <c r="BF70">
        <v>1444</v>
      </c>
      <c r="BG70">
        <v>645</v>
      </c>
      <c r="BH70">
        <v>585</v>
      </c>
    </row>
    <row r="71" spans="1:60" x14ac:dyDescent="0.3">
      <c r="A71" s="4">
        <f>HYPERLINK("http://legacy.baseballprospectus.com/p/70950",70950)</f>
        <v>70950</v>
      </c>
      <c r="B71" t="s">
        <v>1182</v>
      </c>
      <c r="C71" t="s">
        <v>194</v>
      </c>
      <c r="D71" s="10">
        <v>33935</v>
      </c>
      <c r="E71" t="s">
        <v>65</v>
      </c>
      <c r="F71" t="s">
        <v>9</v>
      </c>
      <c r="G71" t="s">
        <v>33</v>
      </c>
      <c r="H71">
        <v>77</v>
      </c>
      <c r="I71">
        <v>220</v>
      </c>
      <c r="J71">
        <v>2018</v>
      </c>
      <c r="K71" s="4" t="str">
        <f>HYPERLINK("http://legacy.baseballprospectus.com/fantasy/dc/index.php?tm=CLE","CLE")</f>
        <v>CLE</v>
      </c>
      <c r="L71" t="s">
        <v>95</v>
      </c>
      <c r="M71" t="s">
        <v>34</v>
      </c>
      <c r="N71">
        <v>25</v>
      </c>
      <c r="O71">
        <v>498</v>
      </c>
      <c r="P71">
        <v>145</v>
      </c>
      <c r="Q71">
        <v>437</v>
      </c>
      <c r="R71">
        <v>68</v>
      </c>
      <c r="S71">
        <v>62</v>
      </c>
      <c r="T71">
        <v>22</v>
      </c>
      <c r="U71">
        <v>3</v>
      </c>
      <c r="V71">
        <v>15</v>
      </c>
      <c r="W71">
        <v>102</v>
      </c>
      <c r="X71">
        <v>175</v>
      </c>
      <c r="Y71">
        <v>54</v>
      </c>
      <c r="Z71">
        <v>49</v>
      </c>
      <c r="AA71">
        <v>2</v>
      </c>
      <c r="AB71">
        <v>8</v>
      </c>
      <c r="AC71">
        <v>158</v>
      </c>
      <c r="AD71">
        <v>1</v>
      </c>
      <c r="AE71">
        <v>2</v>
      </c>
      <c r="AF71">
        <v>9</v>
      </c>
      <c r="AG71">
        <v>26</v>
      </c>
      <c r="AH71">
        <v>6</v>
      </c>
      <c r="AI71" s="5">
        <v>0.23300000000000001</v>
      </c>
      <c r="AJ71" s="5">
        <v>0.32100000000000001</v>
      </c>
      <c r="AK71" s="5">
        <v>0.4</v>
      </c>
      <c r="AL71" s="5">
        <v>0.253</v>
      </c>
      <c r="AM71" s="5">
        <v>0.32300000000000001</v>
      </c>
      <c r="AN71">
        <v>3.3</v>
      </c>
      <c r="AO71">
        <v>0.73</v>
      </c>
      <c r="AP71">
        <v>13.37</v>
      </c>
      <c r="AQ71">
        <v>-3.7</v>
      </c>
      <c r="AR71">
        <v>6.8</v>
      </c>
      <c r="AS71" t="s">
        <v>4831</v>
      </c>
      <c r="AT71">
        <v>2.1</v>
      </c>
      <c r="AU71">
        <v>13.7</v>
      </c>
      <c r="AV71">
        <v>5</v>
      </c>
      <c r="AW71">
        <v>23</v>
      </c>
      <c r="AX71">
        <v>10</v>
      </c>
      <c r="AY71">
        <v>28</v>
      </c>
      <c r="AZ71" t="s">
        <v>3598</v>
      </c>
      <c r="BA71">
        <v>68</v>
      </c>
      <c r="BB71" t="s">
        <v>35</v>
      </c>
      <c r="BC71" t="s">
        <v>36</v>
      </c>
      <c r="BD71" s="4">
        <f>HYPERLINK("http://mlb.mlb.com/team/player.jsp?player_id=605548",605548)</f>
        <v>605548</v>
      </c>
      <c r="BE71">
        <v>596</v>
      </c>
      <c r="BF71">
        <v>1596</v>
      </c>
      <c r="BG71">
        <v>332</v>
      </c>
      <c r="BH71">
        <v>299</v>
      </c>
    </row>
    <row r="72" spans="1:60" x14ac:dyDescent="0.3">
      <c r="A72" s="4">
        <f>HYPERLINK("http://legacy.baseballprospectus.com/p/51991",51991)</f>
        <v>51991</v>
      </c>
      <c r="B72" t="s">
        <v>673</v>
      </c>
      <c r="C72" t="s">
        <v>254</v>
      </c>
      <c r="D72" s="10">
        <v>31009</v>
      </c>
      <c r="E72" t="s">
        <v>51</v>
      </c>
      <c r="F72" t="s">
        <v>33</v>
      </c>
      <c r="G72" t="s">
        <v>33</v>
      </c>
      <c r="H72">
        <v>71</v>
      </c>
      <c r="I72">
        <v>205</v>
      </c>
      <c r="J72">
        <v>2018</v>
      </c>
      <c r="K72" s="4" t="str">
        <f>HYPERLINK("http://legacy.baseballprospectus.com/fantasy/dc/index.php?tm=LAN","LAN")</f>
        <v>LAN</v>
      </c>
      <c r="L72" t="s">
        <v>100</v>
      </c>
      <c r="M72" t="s">
        <v>34</v>
      </c>
      <c r="N72">
        <v>33</v>
      </c>
      <c r="O72">
        <v>473</v>
      </c>
      <c r="P72">
        <v>120</v>
      </c>
      <c r="Q72">
        <v>420</v>
      </c>
      <c r="R72">
        <v>60</v>
      </c>
      <c r="S72">
        <v>76</v>
      </c>
      <c r="T72">
        <v>25</v>
      </c>
      <c r="U72">
        <v>1</v>
      </c>
      <c r="V72">
        <v>16</v>
      </c>
      <c r="W72">
        <v>118</v>
      </c>
      <c r="X72">
        <v>193</v>
      </c>
      <c r="Y72">
        <v>62</v>
      </c>
      <c r="Z72">
        <v>40</v>
      </c>
      <c r="AA72">
        <v>1</v>
      </c>
      <c r="AB72">
        <v>10</v>
      </c>
      <c r="AC72">
        <v>74</v>
      </c>
      <c r="AD72">
        <v>1</v>
      </c>
      <c r="AE72">
        <v>3</v>
      </c>
      <c r="AF72">
        <v>11</v>
      </c>
      <c r="AG72">
        <v>5</v>
      </c>
      <c r="AH72">
        <v>1</v>
      </c>
      <c r="AI72" s="5">
        <v>0.28100000000000003</v>
      </c>
      <c r="AJ72" s="5">
        <v>0.35499999999999998</v>
      </c>
      <c r="AK72" s="5">
        <v>0.46</v>
      </c>
      <c r="AL72" s="5">
        <v>0.28699999999999998</v>
      </c>
      <c r="AM72" s="5">
        <v>0.307</v>
      </c>
      <c r="AN72">
        <v>-0.4</v>
      </c>
      <c r="AO72">
        <v>0.41</v>
      </c>
      <c r="AP72">
        <v>12.7</v>
      </c>
      <c r="AQ72">
        <v>13.18</v>
      </c>
      <c r="AR72">
        <v>-4.5</v>
      </c>
      <c r="AS72" t="s">
        <v>5000</v>
      </c>
      <c r="AT72">
        <v>2.1</v>
      </c>
      <c r="AU72">
        <v>25.9</v>
      </c>
      <c r="AV72">
        <v>0</v>
      </c>
      <c r="AW72">
        <v>31</v>
      </c>
      <c r="AX72">
        <v>2</v>
      </c>
      <c r="AY72">
        <v>5</v>
      </c>
      <c r="AZ72" t="s">
        <v>3586</v>
      </c>
      <c r="BA72">
        <v>94</v>
      </c>
      <c r="BB72" t="s">
        <v>35</v>
      </c>
      <c r="BC72" t="s">
        <v>36</v>
      </c>
      <c r="BD72" s="4">
        <f>HYPERLINK("http://mlb.mlb.com/team/player.jsp?player_id=457759",457759)</f>
        <v>457759</v>
      </c>
      <c r="BE72">
        <v>1493</v>
      </c>
      <c r="BF72">
        <v>493</v>
      </c>
      <c r="BG72">
        <v>543</v>
      </c>
      <c r="BH72">
        <v>457</v>
      </c>
    </row>
    <row r="73" spans="1:60" x14ac:dyDescent="0.3">
      <c r="A73" s="4">
        <f>HYPERLINK("http://legacy.baseballprospectus.com/p/68091",68091)</f>
        <v>68091</v>
      </c>
      <c r="B73" t="s">
        <v>457</v>
      </c>
      <c r="C73" t="s">
        <v>458</v>
      </c>
      <c r="D73" s="10">
        <v>34010</v>
      </c>
      <c r="E73" t="s">
        <v>57</v>
      </c>
      <c r="F73" t="s">
        <v>9</v>
      </c>
      <c r="G73" t="s">
        <v>9</v>
      </c>
      <c r="H73">
        <v>76</v>
      </c>
      <c r="I73">
        <v>205</v>
      </c>
      <c r="J73">
        <v>2018</v>
      </c>
      <c r="K73" s="4" t="str">
        <f>HYPERLINK("http://legacy.baseballprospectus.com/fantasy/dc/index.php?tm=MIN","MIN")</f>
        <v>MIN</v>
      </c>
      <c r="L73" t="s">
        <v>95</v>
      </c>
      <c r="M73" t="s">
        <v>34</v>
      </c>
      <c r="N73">
        <v>25</v>
      </c>
      <c r="O73">
        <v>580</v>
      </c>
      <c r="P73">
        <v>152</v>
      </c>
      <c r="Q73">
        <v>516</v>
      </c>
      <c r="R73">
        <v>70</v>
      </c>
      <c r="S73">
        <v>79</v>
      </c>
      <c r="T73">
        <v>29</v>
      </c>
      <c r="U73">
        <v>6</v>
      </c>
      <c r="V73">
        <v>19</v>
      </c>
      <c r="W73">
        <v>133</v>
      </c>
      <c r="X73">
        <v>231</v>
      </c>
      <c r="Y73">
        <v>74</v>
      </c>
      <c r="Z73">
        <v>56</v>
      </c>
      <c r="AA73">
        <v>4</v>
      </c>
      <c r="AB73">
        <v>5</v>
      </c>
      <c r="AC73">
        <v>111</v>
      </c>
      <c r="AD73">
        <v>1</v>
      </c>
      <c r="AE73">
        <v>3</v>
      </c>
      <c r="AF73">
        <v>8</v>
      </c>
      <c r="AG73">
        <v>8</v>
      </c>
      <c r="AH73">
        <v>2</v>
      </c>
      <c r="AI73" s="5">
        <v>0.25800000000000001</v>
      </c>
      <c r="AJ73" s="5">
        <v>0.33400000000000002</v>
      </c>
      <c r="AK73" s="5">
        <v>0.44800000000000001</v>
      </c>
      <c r="AL73" s="5">
        <v>0.26400000000000001</v>
      </c>
      <c r="AM73" s="5">
        <v>0.29199999999999998</v>
      </c>
      <c r="AN73">
        <v>0.5</v>
      </c>
      <c r="AO73">
        <v>-2.0699999999999998</v>
      </c>
      <c r="AP73">
        <v>15.57</v>
      </c>
      <c r="AQ73">
        <v>2.15</v>
      </c>
      <c r="AR73">
        <v>4.5</v>
      </c>
      <c r="AS73" t="s">
        <v>4987</v>
      </c>
      <c r="AT73">
        <v>2.1</v>
      </c>
      <c r="AU73">
        <v>16.2</v>
      </c>
      <c r="AV73">
        <v>4</v>
      </c>
      <c r="AW73">
        <v>59</v>
      </c>
      <c r="AX73">
        <v>3</v>
      </c>
      <c r="AY73">
        <v>12</v>
      </c>
      <c r="AZ73" t="s">
        <v>3625</v>
      </c>
      <c r="BA73">
        <v>99</v>
      </c>
      <c r="BB73" t="s">
        <v>35</v>
      </c>
      <c r="BC73" t="s">
        <v>36</v>
      </c>
      <c r="BD73" s="4">
        <f>HYPERLINK("http://mlb.mlb.com/team/player.jsp?player_id=596146",596146)</f>
        <v>596146</v>
      </c>
      <c r="BE73">
        <v>573</v>
      </c>
      <c r="BF73">
        <v>1573</v>
      </c>
      <c r="BG73">
        <v>568</v>
      </c>
      <c r="BH73">
        <v>511</v>
      </c>
    </row>
    <row r="74" spans="1:60" x14ac:dyDescent="0.3">
      <c r="A74" s="4">
        <f>HYPERLINK("http://legacy.baseballprospectus.com/p/59145",59145)</f>
        <v>59145</v>
      </c>
      <c r="B74" t="s">
        <v>546</v>
      </c>
      <c r="C74" t="s">
        <v>547</v>
      </c>
      <c r="D74" s="10">
        <v>33189</v>
      </c>
      <c r="E74" t="s">
        <v>59</v>
      </c>
      <c r="F74" t="s">
        <v>33</v>
      </c>
      <c r="G74" t="s">
        <v>33</v>
      </c>
      <c r="H74">
        <v>73</v>
      </c>
      <c r="I74">
        <v>225</v>
      </c>
      <c r="J74">
        <v>2018</v>
      </c>
      <c r="K74" s="4" t="str">
        <f>HYPERLINK("http://legacy.baseballprospectus.com/fantasy/dc/index.php?tm=SLN","SLN")</f>
        <v>SLN</v>
      </c>
      <c r="L74" t="s">
        <v>100</v>
      </c>
      <c r="M74" t="s">
        <v>34</v>
      </c>
      <c r="N74">
        <v>27</v>
      </c>
      <c r="O74">
        <v>587</v>
      </c>
      <c r="P74">
        <v>144</v>
      </c>
      <c r="Q74">
        <v>539</v>
      </c>
      <c r="R74">
        <v>71</v>
      </c>
      <c r="S74">
        <v>94</v>
      </c>
      <c r="T74">
        <v>28</v>
      </c>
      <c r="U74">
        <v>3</v>
      </c>
      <c r="V74">
        <v>23</v>
      </c>
      <c r="W74">
        <v>148</v>
      </c>
      <c r="X74">
        <v>251</v>
      </c>
      <c r="Y74">
        <v>82</v>
      </c>
      <c r="Z74">
        <v>42</v>
      </c>
      <c r="AA74">
        <v>2</v>
      </c>
      <c r="AB74">
        <v>3</v>
      </c>
      <c r="AC74">
        <v>123</v>
      </c>
      <c r="AD74">
        <v>0</v>
      </c>
      <c r="AE74">
        <v>3</v>
      </c>
      <c r="AF74">
        <v>14</v>
      </c>
      <c r="AG74">
        <v>2</v>
      </c>
      <c r="AH74">
        <v>2</v>
      </c>
      <c r="AI74" s="5">
        <v>0.27500000000000002</v>
      </c>
      <c r="AJ74" s="5">
        <v>0.32900000000000001</v>
      </c>
      <c r="AK74" s="5">
        <v>0.46600000000000003</v>
      </c>
      <c r="AL74" s="5">
        <v>0.27400000000000002</v>
      </c>
      <c r="AM74" s="5">
        <v>0.316</v>
      </c>
      <c r="AN74">
        <v>-1.4</v>
      </c>
      <c r="AO74">
        <v>-1.17</v>
      </c>
      <c r="AP74">
        <v>15.76</v>
      </c>
      <c r="AQ74">
        <v>8.8000000000000007</v>
      </c>
      <c r="AR74">
        <v>-1</v>
      </c>
      <c r="AS74" t="s">
        <v>4955</v>
      </c>
      <c r="AT74">
        <v>2.1</v>
      </c>
      <c r="AU74">
        <v>21.9</v>
      </c>
      <c r="AV74">
        <v>3</v>
      </c>
      <c r="AW74">
        <v>60</v>
      </c>
      <c r="AX74">
        <v>2</v>
      </c>
      <c r="AY74">
        <v>5</v>
      </c>
      <c r="AZ74" t="s">
        <v>3554</v>
      </c>
      <c r="BA74">
        <v>98</v>
      </c>
      <c r="BB74" t="s">
        <v>35</v>
      </c>
      <c r="BC74" t="s">
        <v>36</v>
      </c>
      <c r="BD74" s="4">
        <f>HYPERLINK("http://mlb.mlb.com/team/player.jsp?player_id=542303",542303)</f>
        <v>542303</v>
      </c>
      <c r="BE74">
        <v>1576</v>
      </c>
      <c r="BF74">
        <v>576</v>
      </c>
      <c r="BG74">
        <v>679</v>
      </c>
      <c r="BH74">
        <v>613</v>
      </c>
    </row>
    <row r="75" spans="1:60" x14ac:dyDescent="0.3">
      <c r="A75" s="4">
        <f>HYPERLINK("http://legacy.baseballprospectus.com/p/31672",31672)</f>
        <v>31672</v>
      </c>
      <c r="B75" t="s">
        <v>252</v>
      </c>
      <c r="C75" t="s">
        <v>253</v>
      </c>
      <c r="D75" s="10">
        <v>30145</v>
      </c>
      <c r="E75" t="s">
        <v>57</v>
      </c>
      <c r="F75" t="s">
        <v>9</v>
      </c>
      <c r="G75" t="s">
        <v>9</v>
      </c>
      <c r="H75">
        <v>71</v>
      </c>
      <c r="I75">
        <v>210</v>
      </c>
      <c r="J75">
        <v>2018</v>
      </c>
      <c r="K75" s="4" t="str">
        <f>HYPERLINK("http://legacy.baseballprospectus.com/fantasy/dc/index.php?tm=TEX","TEX")</f>
        <v>TEX</v>
      </c>
      <c r="L75" t="s">
        <v>95</v>
      </c>
      <c r="M75" t="s">
        <v>34</v>
      </c>
      <c r="N75">
        <v>35</v>
      </c>
      <c r="O75">
        <v>634</v>
      </c>
      <c r="P75">
        <v>146</v>
      </c>
      <c r="Q75">
        <v>534</v>
      </c>
      <c r="R75">
        <v>90</v>
      </c>
      <c r="S75">
        <v>93</v>
      </c>
      <c r="T75">
        <v>25</v>
      </c>
      <c r="U75">
        <v>1</v>
      </c>
      <c r="V75">
        <v>18</v>
      </c>
      <c r="W75">
        <v>137</v>
      </c>
      <c r="X75">
        <v>218</v>
      </c>
      <c r="Y75">
        <v>66</v>
      </c>
      <c r="Z75">
        <v>80</v>
      </c>
      <c r="AA75">
        <v>2</v>
      </c>
      <c r="AB75">
        <v>15</v>
      </c>
      <c r="AC75">
        <v>138</v>
      </c>
      <c r="AD75">
        <v>2</v>
      </c>
      <c r="AE75">
        <v>3</v>
      </c>
      <c r="AF75">
        <v>15</v>
      </c>
      <c r="AG75">
        <v>10</v>
      </c>
      <c r="AH75">
        <v>4</v>
      </c>
      <c r="AI75" s="5">
        <v>0.25700000000000001</v>
      </c>
      <c r="AJ75" s="5">
        <v>0.36699999999999999</v>
      </c>
      <c r="AK75" s="5">
        <v>0.40799999999999997</v>
      </c>
      <c r="AL75" s="5">
        <v>0.26900000000000002</v>
      </c>
      <c r="AM75" s="5">
        <v>0.311</v>
      </c>
      <c r="AN75">
        <v>-0.6</v>
      </c>
      <c r="AO75">
        <v>-4.09</v>
      </c>
      <c r="AP75">
        <v>17.02</v>
      </c>
      <c r="AQ75">
        <v>6.18</v>
      </c>
      <c r="AR75">
        <v>2.2999999999999998</v>
      </c>
      <c r="AS75" t="s">
        <v>2171</v>
      </c>
      <c r="AT75">
        <v>2.1</v>
      </c>
      <c r="AU75">
        <v>18.5</v>
      </c>
      <c r="AV75">
        <v>2</v>
      </c>
      <c r="AW75">
        <v>25</v>
      </c>
      <c r="AX75">
        <v>7</v>
      </c>
      <c r="AY75">
        <v>20</v>
      </c>
      <c r="AZ75" t="s">
        <v>3631</v>
      </c>
      <c r="BA75">
        <v>82</v>
      </c>
      <c r="BB75" t="s">
        <v>35</v>
      </c>
      <c r="BC75" t="s">
        <v>36</v>
      </c>
      <c r="BD75" s="4">
        <f>HYPERLINK("http://mlb.mlb.com/team/player.jsp?player_id=425783",425783)</f>
        <v>425783</v>
      </c>
      <c r="BE75">
        <v>564</v>
      </c>
      <c r="BF75">
        <v>1564</v>
      </c>
      <c r="BG75">
        <v>636</v>
      </c>
      <c r="BH75">
        <v>544</v>
      </c>
    </row>
    <row r="76" spans="1:60" x14ac:dyDescent="0.3">
      <c r="A76" s="4">
        <f>HYPERLINK("http://legacy.baseballprospectus.com/p/105432",105432)</f>
        <v>105432</v>
      </c>
      <c r="B76" t="s">
        <v>1729</v>
      </c>
      <c r="C76" t="s">
        <v>1644</v>
      </c>
      <c r="D76" s="10">
        <v>34846</v>
      </c>
      <c r="E76" t="s">
        <v>58</v>
      </c>
      <c r="F76" t="s">
        <v>37</v>
      </c>
      <c r="G76" t="s">
        <v>33</v>
      </c>
      <c r="H76">
        <v>74</v>
      </c>
      <c r="I76">
        <v>205</v>
      </c>
      <c r="J76">
        <v>2018</v>
      </c>
      <c r="K76" s="4" t="str">
        <f>HYPERLINK("http://legacy.baseballprospectus.com/fantasy/dc/index.php?tm=CHA","CHA")</f>
        <v>CHA</v>
      </c>
      <c r="L76" t="s">
        <v>95</v>
      </c>
      <c r="M76" t="s">
        <v>34</v>
      </c>
      <c r="N76">
        <v>23</v>
      </c>
      <c r="O76">
        <v>577</v>
      </c>
      <c r="P76">
        <v>154</v>
      </c>
      <c r="Q76">
        <v>498</v>
      </c>
      <c r="R76">
        <v>86</v>
      </c>
      <c r="S76">
        <v>72</v>
      </c>
      <c r="T76">
        <v>20</v>
      </c>
      <c r="U76">
        <v>4</v>
      </c>
      <c r="V76">
        <v>20</v>
      </c>
      <c r="W76">
        <v>116</v>
      </c>
      <c r="X76">
        <v>204</v>
      </c>
      <c r="Y76">
        <v>62</v>
      </c>
      <c r="Z76">
        <v>67</v>
      </c>
      <c r="AA76">
        <v>4</v>
      </c>
      <c r="AB76">
        <v>7</v>
      </c>
      <c r="AC76">
        <v>182</v>
      </c>
      <c r="AD76">
        <v>2</v>
      </c>
      <c r="AE76">
        <v>2</v>
      </c>
      <c r="AF76">
        <v>11</v>
      </c>
      <c r="AG76">
        <v>21</v>
      </c>
      <c r="AH76">
        <v>7</v>
      </c>
      <c r="AI76" s="5">
        <v>0.23300000000000001</v>
      </c>
      <c r="AJ76" s="5">
        <v>0.33100000000000002</v>
      </c>
      <c r="AK76" s="5">
        <v>0.41</v>
      </c>
      <c r="AL76" s="5">
        <v>0.25800000000000001</v>
      </c>
      <c r="AM76" s="5">
        <v>0.31900000000000001</v>
      </c>
      <c r="AN76">
        <v>1.5</v>
      </c>
      <c r="AO76">
        <v>2.99</v>
      </c>
      <c r="AP76">
        <v>15.49</v>
      </c>
      <c r="AQ76">
        <v>-0.97</v>
      </c>
      <c r="AR76">
        <v>1.6</v>
      </c>
      <c r="AS76" t="s">
        <v>1339</v>
      </c>
      <c r="AT76">
        <v>2.1</v>
      </c>
      <c r="AU76">
        <v>19</v>
      </c>
      <c r="AV76">
        <v>6</v>
      </c>
      <c r="AW76">
        <v>26</v>
      </c>
      <c r="AX76">
        <v>10</v>
      </c>
      <c r="AY76">
        <v>19</v>
      </c>
      <c r="AZ76" t="s">
        <v>3611</v>
      </c>
      <c r="BA76">
        <v>61</v>
      </c>
      <c r="BB76" t="s">
        <v>35</v>
      </c>
      <c r="BC76" t="s">
        <v>36</v>
      </c>
      <c r="BD76" s="4">
        <f>HYPERLINK("http://mlb.mlb.com/team/player.jsp?player_id=660162",660162)</f>
        <v>660162</v>
      </c>
      <c r="BE76">
        <v>452</v>
      </c>
      <c r="BF76">
        <v>1452</v>
      </c>
      <c r="BG76">
        <v>231</v>
      </c>
      <c r="BH76">
        <v>199</v>
      </c>
    </row>
    <row r="77" spans="1:60" x14ac:dyDescent="0.3">
      <c r="A77" s="4">
        <f>HYPERLINK("http://legacy.baseballprospectus.com/p/105846",105846)</f>
        <v>105846</v>
      </c>
      <c r="B77" t="s">
        <v>1648</v>
      </c>
      <c r="C77" t="s">
        <v>376</v>
      </c>
      <c r="D77" s="10">
        <v>34183</v>
      </c>
      <c r="E77" t="s">
        <v>53</v>
      </c>
      <c r="F77" t="s">
        <v>33</v>
      </c>
      <c r="G77" t="s">
        <v>33</v>
      </c>
      <c r="H77">
        <v>73</v>
      </c>
      <c r="I77">
        <v>195</v>
      </c>
      <c r="J77">
        <v>2018</v>
      </c>
      <c r="K77" s="4" t="str">
        <f>HYPERLINK("http://legacy.baseballprospectus.com/fantasy/dc/index.php?tm=SLN","SLN")</f>
        <v>SLN</v>
      </c>
      <c r="L77" t="s">
        <v>100</v>
      </c>
      <c r="M77" t="s">
        <v>34</v>
      </c>
      <c r="N77">
        <v>24</v>
      </c>
      <c r="O77">
        <v>617</v>
      </c>
      <c r="P77">
        <v>154</v>
      </c>
      <c r="Q77">
        <v>569</v>
      </c>
      <c r="R77">
        <v>76</v>
      </c>
      <c r="S77">
        <v>86</v>
      </c>
      <c r="T77">
        <v>30</v>
      </c>
      <c r="U77">
        <v>2</v>
      </c>
      <c r="V77">
        <v>29</v>
      </c>
      <c r="W77">
        <v>147</v>
      </c>
      <c r="X77">
        <v>268</v>
      </c>
      <c r="Y77">
        <v>91</v>
      </c>
      <c r="Z77">
        <v>36</v>
      </c>
      <c r="AA77">
        <v>2</v>
      </c>
      <c r="AB77">
        <v>7</v>
      </c>
      <c r="AC77">
        <v>167</v>
      </c>
      <c r="AD77">
        <v>1</v>
      </c>
      <c r="AE77">
        <v>3</v>
      </c>
      <c r="AF77">
        <v>12</v>
      </c>
      <c r="AG77">
        <v>1</v>
      </c>
      <c r="AH77">
        <v>1</v>
      </c>
      <c r="AI77" s="5">
        <v>0.25800000000000001</v>
      </c>
      <c r="AJ77" s="5">
        <v>0.309</v>
      </c>
      <c r="AK77" s="5">
        <v>0.47099999999999997</v>
      </c>
      <c r="AL77" s="5">
        <v>0.26500000000000001</v>
      </c>
      <c r="AM77" s="5">
        <v>0.312</v>
      </c>
      <c r="AN77">
        <v>-1.2</v>
      </c>
      <c r="AO77">
        <v>4.25</v>
      </c>
      <c r="AP77">
        <v>16.57</v>
      </c>
      <c r="AQ77">
        <v>3.09</v>
      </c>
      <c r="AR77">
        <v>-1.7</v>
      </c>
      <c r="AS77" t="s">
        <v>1013</v>
      </c>
      <c r="AT77">
        <v>2.1</v>
      </c>
      <c r="AU77">
        <v>22.7</v>
      </c>
      <c r="AV77">
        <v>4</v>
      </c>
      <c r="AW77">
        <v>45</v>
      </c>
      <c r="AX77">
        <v>19</v>
      </c>
      <c r="AY77">
        <v>29</v>
      </c>
      <c r="AZ77" t="s">
        <v>3602</v>
      </c>
      <c r="BA77">
        <v>90</v>
      </c>
      <c r="BB77" t="s">
        <v>35</v>
      </c>
      <c r="BC77" t="s">
        <v>36</v>
      </c>
      <c r="BD77" s="4">
        <f>HYPERLINK("http://mlb.mlb.com/team/player.jsp?player_id=657557",657557)</f>
        <v>657557</v>
      </c>
      <c r="BE77">
        <v>1530</v>
      </c>
      <c r="BF77">
        <v>530</v>
      </c>
      <c r="BG77">
        <v>443</v>
      </c>
      <c r="BH77">
        <v>417</v>
      </c>
    </row>
    <row r="78" spans="1:60" x14ac:dyDescent="0.3">
      <c r="A78" s="4">
        <f>HYPERLINK("http://legacy.baseballprospectus.com/p/67119",67119)</f>
        <v>67119</v>
      </c>
      <c r="B78" t="s">
        <v>634</v>
      </c>
      <c r="C78" t="s">
        <v>635</v>
      </c>
      <c r="D78" s="10">
        <v>32755</v>
      </c>
      <c r="E78" t="s">
        <v>53</v>
      </c>
      <c r="F78" t="s">
        <v>33</v>
      </c>
      <c r="G78" t="s">
        <v>33</v>
      </c>
      <c r="H78">
        <v>74</v>
      </c>
      <c r="I78">
        <v>200</v>
      </c>
      <c r="J78">
        <v>2018</v>
      </c>
      <c r="K78" s="4" t="str">
        <f>HYPERLINK("http://legacy.baseballprospectus.com/fantasy/dc/index.php?tm=ANA","ANA")</f>
        <v>ANA</v>
      </c>
      <c r="L78" t="s">
        <v>95</v>
      </c>
      <c r="M78" t="s">
        <v>34</v>
      </c>
      <c r="N78">
        <v>28</v>
      </c>
      <c r="O78">
        <v>626</v>
      </c>
      <c r="P78">
        <v>154</v>
      </c>
      <c r="Q78">
        <v>579</v>
      </c>
      <c r="R78">
        <v>65</v>
      </c>
      <c r="S78">
        <v>110</v>
      </c>
      <c r="T78">
        <v>27</v>
      </c>
      <c r="U78">
        <v>3</v>
      </c>
      <c r="V78">
        <v>11</v>
      </c>
      <c r="W78">
        <v>151</v>
      </c>
      <c r="X78">
        <v>217</v>
      </c>
      <c r="Y78">
        <v>64</v>
      </c>
      <c r="Z78">
        <v>39</v>
      </c>
      <c r="AA78">
        <v>3</v>
      </c>
      <c r="AB78">
        <v>4</v>
      </c>
      <c r="AC78">
        <v>54</v>
      </c>
      <c r="AD78">
        <v>1</v>
      </c>
      <c r="AE78">
        <v>3</v>
      </c>
      <c r="AF78">
        <v>22</v>
      </c>
      <c r="AG78">
        <v>12</v>
      </c>
      <c r="AH78">
        <v>4</v>
      </c>
      <c r="AI78" s="5">
        <v>0.26100000000000001</v>
      </c>
      <c r="AJ78" s="5">
        <v>0.31</v>
      </c>
      <c r="AK78" s="5">
        <v>0.375</v>
      </c>
      <c r="AL78" s="5">
        <v>0.248</v>
      </c>
      <c r="AM78" s="5">
        <v>0.27</v>
      </c>
      <c r="AN78">
        <v>0.5</v>
      </c>
      <c r="AO78">
        <v>4.3099999999999996</v>
      </c>
      <c r="AP78">
        <v>16.809999999999999</v>
      </c>
      <c r="AQ78">
        <v>-7.75</v>
      </c>
      <c r="AR78">
        <v>6.6</v>
      </c>
      <c r="AS78" t="s">
        <v>2187</v>
      </c>
      <c r="AT78">
        <v>2</v>
      </c>
      <c r="AU78">
        <v>13.9</v>
      </c>
      <c r="AV78">
        <v>1</v>
      </c>
      <c r="AW78">
        <v>38</v>
      </c>
      <c r="AX78">
        <v>7</v>
      </c>
      <c r="AY78">
        <v>8</v>
      </c>
      <c r="AZ78" t="s">
        <v>3603</v>
      </c>
      <c r="BA78">
        <v>98</v>
      </c>
      <c r="BB78" t="s">
        <v>35</v>
      </c>
      <c r="BC78" t="s">
        <v>36</v>
      </c>
      <c r="BD78" s="4">
        <f>HYPERLINK("http://mlb.mlb.com/team/player.jsp?player_id=592743",592743)</f>
        <v>592743</v>
      </c>
      <c r="BE78">
        <v>495</v>
      </c>
      <c r="BF78">
        <v>1495</v>
      </c>
      <c r="BG78">
        <v>647</v>
      </c>
      <c r="BH78">
        <v>589</v>
      </c>
    </row>
    <row r="79" spans="1:60" x14ac:dyDescent="0.3">
      <c r="A79" s="4">
        <f>HYPERLINK("http://legacy.baseballprospectus.com/p/99963",99963)</f>
        <v>99963</v>
      </c>
      <c r="B79" t="s">
        <v>856</v>
      </c>
      <c r="C79" t="s">
        <v>344</v>
      </c>
      <c r="D79" s="10">
        <v>33155</v>
      </c>
      <c r="E79" t="s">
        <v>51</v>
      </c>
      <c r="F79" t="s">
        <v>9</v>
      </c>
      <c r="G79" t="s">
        <v>33</v>
      </c>
      <c r="H79">
        <v>75</v>
      </c>
      <c r="I79">
        <v>215</v>
      </c>
      <c r="J79">
        <v>2018</v>
      </c>
      <c r="K79" s="4" t="str">
        <f>HYPERLINK("http://legacy.baseballprospectus.com/fantasy/dc/index.php?tm=ARI","ARI")</f>
        <v>ARI</v>
      </c>
      <c r="L79" t="s">
        <v>100</v>
      </c>
      <c r="M79" t="s">
        <v>34</v>
      </c>
      <c r="N79">
        <v>27</v>
      </c>
      <c r="O79">
        <v>607</v>
      </c>
      <c r="P79">
        <v>150</v>
      </c>
      <c r="Q79">
        <v>536</v>
      </c>
      <c r="R79">
        <v>74</v>
      </c>
      <c r="S79">
        <v>75</v>
      </c>
      <c r="T79">
        <v>31</v>
      </c>
      <c r="U79">
        <v>5</v>
      </c>
      <c r="V79">
        <v>22</v>
      </c>
      <c r="W79">
        <v>133</v>
      </c>
      <c r="X79">
        <v>240</v>
      </c>
      <c r="Y79">
        <v>80</v>
      </c>
      <c r="Z79">
        <v>64</v>
      </c>
      <c r="AA79">
        <v>6</v>
      </c>
      <c r="AB79">
        <v>4</v>
      </c>
      <c r="AC79">
        <v>156</v>
      </c>
      <c r="AD79">
        <v>0</v>
      </c>
      <c r="AE79">
        <v>3</v>
      </c>
      <c r="AF79">
        <v>14</v>
      </c>
      <c r="AG79">
        <v>5</v>
      </c>
      <c r="AH79">
        <v>2</v>
      </c>
      <c r="AI79" s="5">
        <v>0.248</v>
      </c>
      <c r="AJ79" s="5">
        <v>0.33100000000000002</v>
      </c>
      <c r="AK79" s="5">
        <v>0.44800000000000001</v>
      </c>
      <c r="AL79" s="5">
        <v>0.27</v>
      </c>
      <c r="AM79" s="5">
        <v>0.307</v>
      </c>
      <c r="AN79">
        <v>-0.3</v>
      </c>
      <c r="AO79">
        <v>0.53</v>
      </c>
      <c r="AP79">
        <v>16.3</v>
      </c>
      <c r="AQ79">
        <v>6.17</v>
      </c>
      <c r="AR79">
        <v>-2.8</v>
      </c>
      <c r="AS79" t="s">
        <v>1010</v>
      </c>
      <c r="AT79">
        <v>2</v>
      </c>
      <c r="AU79">
        <v>22.7</v>
      </c>
      <c r="AV79">
        <v>4</v>
      </c>
      <c r="AW79">
        <v>47</v>
      </c>
      <c r="AX79">
        <v>3</v>
      </c>
      <c r="AY79">
        <v>6</v>
      </c>
      <c r="AZ79" t="s">
        <v>3653</v>
      </c>
      <c r="BA79">
        <v>98</v>
      </c>
      <c r="BB79" t="s">
        <v>35</v>
      </c>
      <c r="BC79" t="s">
        <v>36</v>
      </c>
      <c r="BD79" s="4">
        <f>HYPERLINK("http://mlb.mlb.com/team/player.jsp?player_id=571875",571875)</f>
        <v>571875</v>
      </c>
      <c r="BE79">
        <v>1487</v>
      </c>
      <c r="BF79">
        <v>487</v>
      </c>
      <c r="BG79">
        <v>635</v>
      </c>
      <c r="BH79">
        <v>536</v>
      </c>
    </row>
    <row r="80" spans="1:60" x14ac:dyDescent="0.3">
      <c r="A80" s="4">
        <f>HYPERLINK("http://legacy.baseballprospectus.com/p/60007",60007)</f>
        <v>60007</v>
      </c>
      <c r="B80" t="s">
        <v>461</v>
      </c>
      <c r="C80" t="s">
        <v>156</v>
      </c>
      <c r="D80" s="10">
        <v>31870</v>
      </c>
      <c r="E80" t="s">
        <v>58</v>
      </c>
      <c r="F80" t="s">
        <v>9</v>
      </c>
      <c r="G80" t="s">
        <v>33</v>
      </c>
      <c r="H80">
        <v>71</v>
      </c>
      <c r="I80">
        <v>195</v>
      </c>
      <c r="J80">
        <v>2018</v>
      </c>
      <c r="K80" s="4" t="str">
        <f>HYPERLINK("http://legacy.baseballprospectus.com/fantasy/dc/index.php?tm=CLE","CLE")</f>
        <v>CLE</v>
      </c>
      <c r="L80" t="s">
        <v>95</v>
      </c>
      <c r="M80" t="s">
        <v>34</v>
      </c>
      <c r="N80">
        <v>31</v>
      </c>
      <c r="O80">
        <v>640</v>
      </c>
      <c r="P80">
        <v>149</v>
      </c>
      <c r="Q80">
        <v>570</v>
      </c>
      <c r="R80">
        <v>82</v>
      </c>
      <c r="S80">
        <v>95</v>
      </c>
      <c r="T80">
        <v>35</v>
      </c>
      <c r="U80">
        <v>4</v>
      </c>
      <c r="V80">
        <v>14</v>
      </c>
      <c r="W80">
        <v>148</v>
      </c>
      <c r="X80">
        <v>233</v>
      </c>
      <c r="Y80">
        <v>62</v>
      </c>
      <c r="Z80">
        <v>58</v>
      </c>
      <c r="AA80">
        <v>3</v>
      </c>
      <c r="AB80">
        <v>5</v>
      </c>
      <c r="AC80">
        <v>128</v>
      </c>
      <c r="AD80">
        <v>3</v>
      </c>
      <c r="AE80">
        <v>4</v>
      </c>
      <c r="AF80">
        <v>14</v>
      </c>
      <c r="AG80">
        <v>14</v>
      </c>
      <c r="AH80">
        <v>4</v>
      </c>
      <c r="AI80" s="5">
        <v>0.26</v>
      </c>
      <c r="AJ80" s="5">
        <v>0.33100000000000002</v>
      </c>
      <c r="AK80" s="5">
        <v>0.40899999999999997</v>
      </c>
      <c r="AL80" s="5">
        <v>0.25700000000000001</v>
      </c>
      <c r="AM80" s="5">
        <v>0.307</v>
      </c>
      <c r="AN80">
        <v>0.6</v>
      </c>
      <c r="AO80">
        <v>2.19</v>
      </c>
      <c r="AP80">
        <v>17.18</v>
      </c>
      <c r="AQ80">
        <v>-2.06</v>
      </c>
      <c r="AR80">
        <v>1.9</v>
      </c>
      <c r="AS80" t="s">
        <v>1339</v>
      </c>
      <c r="AT80">
        <v>2</v>
      </c>
      <c r="AU80">
        <v>17.899999999999999</v>
      </c>
      <c r="AV80">
        <v>2</v>
      </c>
      <c r="AW80">
        <v>48</v>
      </c>
      <c r="AX80">
        <v>5</v>
      </c>
      <c r="AY80">
        <v>7</v>
      </c>
      <c r="AZ80" t="s">
        <v>3614</v>
      </c>
      <c r="BA80">
        <v>96</v>
      </c>
      <c r="BB80" t="s">
        <v>35</v>
      </c>
      <c r="BC80" t="s">
        <v>36</v>
      </c>
      <c r="BD80" s="4">
        <f>HYPERLINK("http://mlb.mlb.com/team/player.jsp?player_id=543401",543401)</f>
        <v>543401</v>
      </c>
      <c r="BE80">
        <v>450</v>
      </c>
      <c r="BF80">
        <v>1450</v>
      </c>
      <c r="BG80">
        <v>373</v>
      </c>
      <c r="BH80">
        <v>336</v>
      </c>
    </row>
    <row r="81" spans="1:60" x14ac:dyDescent="0.3">
      <c r="A81" s="4">
        <f>HYPERLINK("http://legacy.baseballprospectus.com/p/52804",52804)</f>
        <v>52804</v>
      </c>
      <c r="B81" t="s">
        <v>174</v>
      </c>
      <c r="C81" t="s">
        <v>175</v>
      </c>
      <c r="D81" s="10">
        <v>31594</v>
      </c>
      <c r="E81" t="s">
        <v>65</v>
      </c>
      <c r="F81" t="s">
        <v>9</v>
      </c>
      <c r="G81" t="s">
        <v>9</v>
      </c>
      <c r="H81">
        <v>75</v>
      </c>
      <c r="I81">
        <v>210</v>
      </c>
      <c r="J81">
        <v>2018</v>
      </c>
      <c r="K81" s="4" t="str">
        <f>HYPERLINK("http://legacy.baseballprospectus.com/fantasy/dc/index.php?tm=COL","COL")</f>
        <v>COL</v>
      </c>
      <c r="L81" t="s">
        <v>100</v>
      </c>
      <c r="M81" t="s">
        <v>34</v>
      </c>
      <c r="N81">
        <v>31</v>
      </c>
      <c r="O81">
        <v>629</v>
      </c>
      <c r="P81">
        <v>146</v>
      </c>
      <c r="Q81">
        <v>566</v>
      </c>
      <c r="R81">
        <v>93</v>
      </c>
      <c r="S81">
        <v>107</v>
      </c>
      <c r="T81">
        <v>28</v>
      </c>
      <c r="U81">
        <v>6</v>
      </c>
      <c r="V81">
        <v>21</v>
      </c>
      <c r="W81">
        <v>162</v>
      </c>
      <c r="X81">
        <v>265</v>
      </c>
      <c r="Y81">
        <v>73</v>
      </c>
      <c r="Z81">
        <v>44</v>
      </c>
      <c r="AA81">
        <v>3</v>
      </c>
      <c r="AB81">
        <v>10</v>
      </c>
      <c r="AC81">
        <v>110</v>
      </c>
      <c r="AD81">
        <v>5</v>
      </c>
      <c r="AE81">
        <v>4</v>
      </c>
      <c r="AF81">
        <v>11</v>
      </c>
      <c r="AG81">
        <v>19</v>
      </c>
      <c r="AH81">
        <v>9</v>
      </c>
      <c r="AI81" s="5">
        <v>0.28599999999999998</v>
      </c>
      <c r="AJ81" s="5">
        <v>0.34599999999999997</v>
      </c>
      <c r="AK81" s="5">
        <v>0.46800000000000003</v>
      </c>
      <c r="AL81" s="5">
        <v>0.26900000000000002</v>
      </c>
      <c r="AM81" s="5">
        <v>0.317</v>
      </c>
      <c r="AN81">
        <v>0.7</v>
      </c>
      <c r="AO81">
        <v>0.92</v>
      </c>
      <c r="AP81">
        <v>16.89</v>
      </c>
      <c r="AQ81">
        <v>5.74</v>
      </c>
      <c r="AR81">
        <v>-4.7</v>
      </c>
      <c r="AS81" t="s">
        <v>2166</v>
      </c>
      <c r="AT81">
        <v>2</v>
      </c>
      <c r="AU81">
        <v>24.3</v>
      </c>
      <c r="AV81">
        <v>0</v>
      </c>
      <c r="AW81">
        <v>45</v>
      </c>
      <c r="AX81">
        <v>6</v>
      </c>
      <c r="AY81">
        <v>5</v>
      </c>
      <c r="AZ81" t="s">
        <v>3604</v>
      </c>
      <c r="BA81">
        <v>93</v>
      </c>
      <c r="BB81" t="s">
        <v>35</v>
      </c>
      <c r="BC81" t="s">
        <v>36</v>
      </c>
      <c r="BD81" s="4">
        <f>HYPERLINK("http://mlb.mlb.com/team/player.jsp?player_id=453568",453568)</f>
        <v>453568</v>
      </c>
      <c r="BE81">
        <v>1573</v>
      </c>
      <c r="BF81">
        <v>573</v>
      </c>
      <c r="BG81">
        <v>725</v>
      </c>
      <c r="BH81">
        <v>644</v>
      </c>
    </row>
    <row r="82" spans="1:60" x14ac:dyDescent="0.3">
      <c r="A82" s="4">
        <f>HYPERLINK("http://legacy.baseballprospectus.com/p/69188",69188)</f>
        <v>69188</v>
      </c>
      <c r="B82" t="s">
        <v>944</v>
      </c>
      <c r="C82" t="s">
        <v>207</v>
      </c>
      <c r="D82" s="10">
        <v>32979</v>
      </c>
      <c r="E82" t="s">
        <v>51</v>
      </c>
      <c r="F82" t="s">
        <v>9</v>
      </c>
      <c r="G82" t="s">
        <v>33</v>
      </c>
      <c r="H82">
        <v>76</v>
      </c>
      <c r="I82">
        <v>230</v>
      </c>
      <c r="J82">
        <v>2018</v>
      </c>
      <c r="K82" s="4" t="str">
        <f>HYPERLINK("http://legacy.baseballprospectus.com/fantasy/dc/index.php?tm=MIL","MIL")</f>
        <v>MIL</v>
      </c>
      <c r="L82" t="s">
        <v>100</v>
      </c>
      <c r="M82" t="s">
        <v>34</v>
      </c>
      <c r="N82">
        <v>28</v>
      </c>
      <c r="O82">
        <v>596</v>
      </c>
      <c r="P82">
        <v>154</v>
      </c>
      <c r="Q82">
        <v>538</v>
      </c>
      <c r="R82">
        <v>74</v>
      </c>
      <c r="S82">
        <v>79</v>
      </c>
      <c r="T82">
        <v>29</v>
      </c>
      <c r="U82">
        <v>2</v>
      </c>
      <c r="V82">
        <v>24</v>
      </c>
      <c r="W82">
        <v>134</v>
      </c>
      <c r="X82">
        <v>239</v>
      </c>
      <c r="Y82">
        <v>81</v>
      </c>
      <c r="Z82">
        <v>50</v>
      </c>
      <c r="AA82">
        <v>5</v>
      </c>
      <c r="AB82">
        <v>5</v>
      </c>
      <c r="AC82">
        <v>140</v>
      </c>
      <c r="AD82">
        <v>0</v>
      </c>
      <c r="AE82">
        <v>3</v>
      </c>
      <c r="AF82">
        <v>17</v>
      </c>
      <c r="AG82">
        <v>6</v>
      </c>
      <c r="AH82">
        <v>1</v>
      </c>
      <c r="AI82" s="5">
        <v>0.249</v>
      </c>
      <c r="AJ82" s="5">
        <v>0.317</v>
      </c>
      <c r="AK82" s="5">
        <v>0.44400000000000001</v>
      </c>
      <c r="AL82" s="5">
        <v>0.26</v>
      </c>
      <c r="AM82" s="5">
        <v>0.29199999999999998</v>
      </c>
      <c r="AN82">
        <v>-0.1</v>
      </c>
      <c r="AO82">
        <v>0.09</v>
      </c>
      <c r="AP82">
        <v>16</v>
      </c>
      <c r="AQ82">
        <v>0.12</v>
      </c>
      <c r="AR82">
        <v>4.2</v>
      </c>
      <c r="AS82" t="s">
        <v>4833</v>
      </c>
      <c r="AT82">
        <v>2</v>
      </c>
      <c r="AU82">
        <v>16.100000000000001</v>
      </c>
      <c r="AV82">
        <v>1</v>
      </c>
      <c r="AW82">
        <v>46</v>
      </c>
      <c r="AX82">
        <v>4</v>
      </c>
      <c r="AY82">
        <v>9</v>
      </c>
      <c r="AZ82" t="s">
        <v>3638</v>
      </c>
      <c r="BA82">
        <v>98</v>
      </c>
      <c r="BB82" t="s">
        <v>35</v>
      </c>
      <c r="BC82" t="s">
        <v>36</v>
      </c>
      <c r="BD82" s="4">
        <f>HYPERLINK("http://mlb.mlb.com/team/player.jsp?player_id=543768",543768)</f>
        <v>543768</v>
      </c>
      <c r="BE82">
        <v>1490</v>
      </c>
      <c r="BF82">
        <v>490</v>
      </c>
      <c r="BG82">
        <v>606</v>
      </c>
      <c r="BH82">
        <v>538</v>
      </c>
    </row>
    <row r="83" spans="1:60" x14ac:dyDescent="0.3">
      <c r="A83" s="4">
        <f>HYPERLINK("http://legacy.baseballprospectus.com/p/70327",70327)</f>
        <v>70327</v>
      </c>
      <c r="B83" t="s">
        <v>1112</v>
      </c>
      <c r="C83" t="s">
        <v>477</v>
      </c>
      <c r="D83" s="10">
        <v>33133</v>
      </c>
      <c r="E83" t="s">
        <v>53</v>
      </c>
      <c r="F83" t="s">
        <v>33</v>
      </c>
      <c r="G83" t="s">
        <v>33</v>
      </c>
      <c r="H83">
        <v>72</v>
      </c>
      <c r="I83">
        <v>195</v>
      </c>
      <c r="J83">
        <v>2018</v>
      </c>
      <c r="K83" s="4" t="str">
        <f>HYPERLINK("http://legacy.baseballprospectus.com/fantasy/dc/index.php?tm=OAK","OAK")</f>
        <v>OAK</v>
      </c>
      <c r="L83" t="s">
        <v>95</v>
      </c>
      <c r="M83" t="s">
        <v>34</v>
      </c>
      <c r="N83">
        <v>27</v>
      </c>
      <c r="O83">
        <v>593</v>
      </c>
      <c r="P83">
        <v>151</v>
      </c>
      <c r="Q83">
        <v>531</v>
      </c>
      <c r="R83">
        <v>82</v>
      </c>
      <c r="S83">
        <v>81</v>
      </c>
      <c r="T83">
        <v>27</v>
      </c>
      <c r="U83">
        <v>4</v>
      </c>
      <c r="V83">
        <v>20</v>
      </c>
      <c r="W83">
        <v>132</v>
      </c>
      <c r="X83">
        <v>227</v>
      </c>
      <c r="Y83">
        <v>67</v>
      </c>
      <c r="Z83">
        <v>56</v>
      </c>
      <c r="AA83">
        <v>2</v>
      </c>
      <c r="AB83">
        <v>3</v>
      </c>
      <c r="AC83">
        <v>129</v>
      </c>
      <c r="AD83">
        <v>1</v>
      </c>
      <c r="AE83">
        <v>2</v>
      </c>
      <c r="AF83">
        <v>14</v>
      </c>
      <c r="AG83">
        <v>12</v>
      </c>
      <c r="AH83">
        <v>3</v>
      </c>
      <c r="AI83" s="5">
        <v>0.249</v>
      </c>
      <c r="AJ83" s="5">
        <v>0.32300000000000001</v>
      </c>
      <c r="AK83" s="5">
        <v>0.42699999999999999</v>
      </c>
      <c r="AL83" s="5">
        <v>0.26100000000000001</v>
      </c>
      <c r="AM83" s="5">
        <v>0.29199999999999998</v>
      </c>
      <c r="AN83">
        <v>1.2</v>
      </c>
      <c r="AO83">
        <v>4.09</v>
      </c>
      <c r="AP83">
        <v>15.92</v>
      </c>
      <c r="AQ83">
        <v>0.62</v>
      </c>
      <c r="AR83">
        <v>-1.7</v>
      </c>
      <c r="AS83" t="s">
        <v>1013</v>
      </c>
      <c r="AT83">
        <v>2</v>
      </c>
      <c r="AU83">
        <v>21.8</v>
      </c>
      <c r="AV83">
        <v>1</v>
      </c>
      <c r="AW83">
        <v>40</v>
      </c>
      <c r="AX83">
        <v>8</v>
      </c>
      <c r="AY83">
        <v>11</v>
      </c>
      <c r="AZ83" t="s">
        <v>3608</v>
      </c>
      <c r="BA83">
        <v>97</v>
      </c>
      <c r="BB83" t="s">
        <v>35</v>
      </c>
      <c r="BC83" t="s">
        <v>36</v>
      </c>
      <c r="BD83" s="4">
        <f>HYPERLINK("http://mlb.mlb.com/team/player.jsp?player_id=543760",543760)</f>
        <v>543760</v>
      </c>
      <c r="BE83">
        <v>509</v>
      </c>
      <c r="BF83">
        <v>1509</v>
      </c>
      <c r="BG83">
        <v>386</v>
      </c>
      <c r="BH83">
        <v>342</v>
      </c>
    </row>
    <row r="84" spans="1:60" x14ac:dyDescent="0.3">
      <c r="A84" s="4">
        <f>HYPERLINK("http://legacy.baseballprospectus.com/p/56444",56444)</f>
        <v>56444</v>
      </c>
      <c r="B84" t="s">
        <v>420</v>
      </c>
      <c r="C84" t="s">
        <v>439</v>
      </c>
      <c r="D84" s="10">
        <v>33016</v>
      </c>
      <c r="E84" t="s">
        <v>58</v>
      </c>
      <c r="F84" t="s">
        <v>37</v>
      </c>
      <c r="G84" t="s">
        <v>33</v>
      </c>
      <c r="H84">
        <v>70</v>
      </c>
      <c r="I84">
        <v>160</v>
      </c>
      <c r="J84">
        <v>2018</v>
      </c>
      <c r="K84" s="4" t="str">
        <f>HYPERLINK("http://legacy.baseballprospectus.com/fantasy/dc/index.php?tm=PHI","PHI")</f>
        <v>PHI</v>
      </c>
      <c r="L84" t="s">
        <v>100</v>
      </c>
      <c r="M84" t="s">
        <v>34</v>
      </c>
      <c r="N84">
        <v>28</v>
      </c>
      <c r="O84">
        <v>599</v>
      </c>
      <c r="P84">
        <v>149</v>
      </c>
      <c r="Q84">
        <v>533</v>
      </c>
      <c r="R84">
        <v>75</v>
      </c>
      <c r="S84">
        <v>112</v>
      </c>
      <c r="T84">
        <v>20</v>
      </c>
      <c r="U84">
        <v>6</v>
      </c>
      <c r="V84">
        <v>8</v>
      </c>
      <c r="W84">
        <v>146</v>
      </c>
      <c r="X84">
        <v>202</v>
      </c>
      <c r="Y84">
        <v>50</v>
      </c>
      <c r="Z84">
        <v>56</v>
      </c>
      <c r="AA84">
        <v>2</v>
      </c>
      <c r="AB84">
        <v>3</v>
      </c>
      <c r="AC84">
        <v>116</v>
      </c>
      <c r="AD84">
        <v>4</v>
      </c>
      <c r="AE84">
        <v>3</v>
      </c>
      <c r="AF84">
        <v>13</v>
      </c>
      <c r="AG84">
        <v>16</v>
      </c>
      <c r="AH84">
        <v>8</v>
      </c>
      <c r="AI84" s="5">
        <v>0.27400000000000002</v>
      </c>
      <c r="AJ84" s="5">
        <v>0.34499999999999997</v>
      </c>
      <c r="AK84" s="5">
        <v>0.379</v>
      </c>
      <c r="AL84" s="5">
        <v>0.25800000000000001</v>
      </c>
      <c r="AM84" s="5">
        <v>0.33400000000000002</v>
      </c>
      <c r="AN84">
        <v>0.6</v>
      </c>
      <c r="AO84">
        <v>3.1</v>
      </c>
      <c r="AP84">
        <v>16.079999999999998</v>
      </c>
      <c r="AQ84">
        <v>-0.99</v>
      </c>
      <c r="AR84">
        <v>1.3</v>
      </c>
      <c r="AS84" t="s">
        <v>69</v>
      </c>
      <c r="AT84">
        <v>2</v>
      </c>
      <c r="AU84">
        <v>18.8</v>
      </c>
      <c r="AV84">
        <v>1</v>
      </c>
      <c r="AW84">
        <v>35</v>
      </c>
      <c r="AX84">
        <v>8</v>
      </c>
      <c r="AY84">
        <v>16</v>
      </c>
      <c r="AZ84" t="s">
        <v>3617</v>
      </c>
      <c r="BA84">
        <v>96</v>
      </c>
      <c r="BB84" t="s">
        <v>35</v>
      </c>
      <c r="BC84" t="s">
        <v>36</v>
      </c>
      <c r="BD84" s="4">
        <f>HYPERLINK("http://mlb.mlb.com/team/player.jsp?player_id=514917",514917)</f>
        <v>514917</v>
      </c>
      <c r="BE84">
        <v>1448</v>
      </c>
      <c r="BF84">
        <v>448</v>
      </c>
      <c r="BG84">
        <v>577</v>
      </c>
      <c r="BH84">
        <v>511</v>
      </c>
    </row>
    <row r="85" spans="1:60" x14ac:dyDescent="0.3">
      <c r="A85" s="4">
        <f>HYPERLINK("http://legacy.baseballprospectus.com/p/66013",66013)</f>
        <v>66013</v>
      </c>
      <c r="B85" t="s">
        <v>421</v>
      </c>
      <c r="C85" t="s">
        <v>1401</v>
      </c>
      <c r="D85" s="10">
        <v>33601</v>
      </c>
      <c r="E85" t="s">
        <v>65</v>
      </c>
      <c r="F85" t="s">
        <v>9</v>
      </c>
      <c r="G85" t="s">
        <v>33</v>
      </c>
      <c r="H85">
        <v>71</v>
      </c>
      <c r="I85">
        <v>205</v>
      </c>
      <c r="J85">
        <v>2018</v>
      </c>
      <c r="K85" s="4" t="str">
        <f>HYPERLINK("http://legacy.baseballprospectus.com/fantasy/dc/index.php?tm=PHI","PHI")</f>
        <v>PHI</v>
      </c>
      <c r="L85" t="s">
        <v>100</v>
      </c>
      <c r="M85" t="s">
        <v>34</v>
      </c>
      <c r="N85">
        <v>26</v>
      </c>
      <c r="O85">
        <v>553</v>
      </c>
      <c r="P85">
        <v>138</v>
      </c>
      <c r="Q85">
        <v>504</v>
      </c>
      <c r="R85">
        <v>66</v>
      </c>
      <c r="S85">
        <v>95</v>
      </c>
      <c r="T85">
        <v>28</v>
      </c>
      <c r="U85">
        <v>3</v>
      </c>
      <c r="V85">
        <v>14</v>
      </c>
      <c r="W85">
        <v>140</v>
      </c>
      <c r="X85">
        <v>216</v>
      </c>
      <c r="Y85">
        <v>64</v>
      </c>
      <c r="Z85">
        <v>39</v>
      </c>
      <c r="AA85">
        <v>3</v>
      </c>
      <c r="AB85">
        <v>6</v>
      </c>
      <c r="AC85">
        <v>120</v>
      </c>
      <c r="AD85">
        <v>2</v>
      </c>
      <c r="AE85">
        <v>2</v>
      </c>
      <c r="AF85">
        <v>13</v>
      </c>
      <c r="AG85">
        <v>14</v>
      </c>
      <c r="AH85">
        <v>6</v>
      </c>
      <c r="AI85" s="5">
        <v>0.27800000000000002</v>
      </c>
      <c r="AJ85" s="5">
        <v>0.33600000000000002</v>
      </c>
      <c r="AK85" s="5">
        <v>0.42899999999999999</v>
      </c>
      <c r="AL85" s="5">
        <v>0.26400000000000001</v>
      </c>
      <c r="AM85" s="5">
        <v>0.33700000000000002</v>
      </c>
      <c r="AN85">
        <v>0.4</v>
      </c>
      <c r="AO85">
        <v>0.81</v>
      </c>
      <c r="AP85">
        <v>14.85</v>
      </c>
      <c r="AQ85">
        <v>2.37</v>
      </c>
      <c r="AR85">
        <v>1.9</v>
      </c>
      <c r="AS85" t="s">
        <v>1681</v>
      </c>
      <c r="AT85">
        <v>2</v>
      </c>
      <c r="AU85">
        <v>18.399999999999999</v>
      </c>
      <c r="AV85">
        <v>2</v>
      </c>
      <c r="AW85">
        <v>64</v>
      </c>
      <c r="AX85">
        <v>7</v>
      </c>
      <c r="AY85">
        <v>12</v>
      </c>
      <c r="AZ85" t="s">
        <v>3609</v>
      </c>
      <c r="BA85">
        <v>100</v>
      </c>
      <c r="BB85" t="s">
        <v>35</v>
      </c>
      <c r="BC85" t="s">
        <v>36</v>
      </c>
      <c r="BD85" s="4">
        <f>HYPERLINK("http://mlb.mlb.com/team/player.jsp?player_id=546318",546318)</f>
        <v>546318</v>
      </c>
      <c r="BE85">
        <v>1585</v>
      </c>
      <c r="BF85">
        <v>585</v>
      </c>
      <c r="BG85">
        <v>563</v>
      </c>
      <c r="BH85">
        <v>526</v>
      </c>
    </row>
    <row r="86" spans="1:60" x14ac:dyDescent="0.3">
      <c r="A86" s="4">
        <f>HYPERLINK("http://legacy.baseballprospectus.com/p/52448",52448)</f>
        <v>52448</v>
      </c>
      <c r="B86" t="s">
        <v>481</v>
      </c>
      <c r="C86" t="s">
        <v>245</v>
      </c>
      <c r="D86" s="10">
        <v>31327</v>
      </c>
      <c r="E86" t="s">
        <v>51</v>
      </c>
      <c r="F86" t="s">
        <v>33</v>
      </c>
      <c r="G86" t="s">
        <v>33</v>
      </c>
      <c r="H86">
        <v>74</v>
      </c>
      <c r="I86">
        <v>210</v>
      </c>
      <c r="J86">
        <v>2018</v>
      </c>
      <c r="K86" s="4" t="str">
        <f>HYPERLINK("http://legacy.baseballprospectus.com/fantasy/dc/index.php?tm=SFN","SFN")</f>
        <v>SFN</v>
      </c>
      <c r="L86" t="s">
        <v>100</v>
      </c>
      <c r="M86" t="s">
        <v>34</v>
      </c>
      <c r="N86">
        <v>32</v>
      </c>
      <c r="O86">
        <v>578</v>
      </c>
      <c r="P86">
        <v>138</v>
      </c>
      <c r="Q86">
        <v>528</v>
      </c>
      <c r="R86">
        <v>64</v>
      </c>
      <c r="S86">
        <v>87</v>
      </c>
      <c r="T86">
        <v>30</v>
      </c>
      <c r="U86">
        <v>2</v>
      </c>
      <c r="V86">
        <v>18</v>
      </c>
      <c r="W86">
        <v>137</v>
      </c>
      <c r="X86">
        <v>225</v>
      </c>
      <c r="Y86">
        <v>72</v>
      </c>
      <c r="Z86">
        <v>41</v>
      </c>
      <c r="AA86">
        <v>6</v>
      </c>
      <c r="AB86">
        <v>4</v>
      </c>
      <c r="AC86">
        <v>112</v>
      </c>
      <c r="AD86">
        <v>0</v>
      </c>
      <c r="AE86">
        <v>5</v>
      </c>
      <c r="AF86">
        <v>13</v>
      </c>
      <c r="AG86">
        <v>3</v>
      </c>
      <c r="AH86">
        <v>1</v>
      </c>
      <c r="AI86" s="5">
        <v>0.25900000000000001</v>
      </c>
      <c r="AJ86" s="5">
        <v>0.315</v>
      </c>
      <c r="AK86" s="5">
        <v>0.42599999999999999</v>
      </c>
      <c r="AL86" s="5">
        <v>0.26500000000000001</v>
      </c>
      <c r="AM86" s="5">
        <v>0.29799999999999999</v>
      </c>
      <c r="AN86">
        <v>-0.8</v>
      </c>
      <c r="AO86">
        <v>0.5</v>
      </c>
      <c r="AP86">
        <v>15.52</v>
      </c>
      <c r="AQ86">
        <v>3.22</v>
      </c>
      <c r="AR86">
        <v>1.4</v>
      </c>
      <c r="AS86" t="s">
        <v>52</v>
      </c>
      <c r="AT86">
        <v>2</v>
      </c>
      <c r="AU86">
        <v>18.5</v>
      </c>
      <c r="AV86">
        <v>3</v>
      </c>
      <c r="AW86">
        <v>48</v>
      </c>
      <c r="AX86">
        <v>5</v>
      </c>
      <c r="AY86">
        <v>5</v>
      </c>
      <c r="AZ86" t="s">
        <v>3660</v>
      </c>
      <c r="BA86">
        <v>96</v>
      </c>
      <c r="BB86" t="s">
        <v>35</v>
      </c>
      <c r="BC86" t="s">
        <v>36</v>
      </c>
      <c r="BD86" s="4">
        <f>HYPERLINK("http://mlb.mlb.com/team/player.jsp?player_id=446334",446334)</f>
        <v>446334</v>
      </c>
      <c r="BE86">
        <v>1485</v>
      </c>
      <c r="BF86">
        <v>485</v>
      </c>
      <c r="BG86">
        <v>677</v>
      </c>
      <c r="BH86">
        <v>613</v>
      </c>
    </row>
    <row r="87" spans="1:60" x14ac:dyDescent="0.3">
      <c r="A87" s="4">
        <f>HYPERLINK("http://legacy.baseballprospectus.com/p/69564",69564)</f>
        <v>69564</v>
      </c>
      <c r="B87" t="s">
        <v>550</v>
      </c>
      <c r="C87" t="s">
        <v>169</v>
      </c>
      <c r="D87" s="10">
        <v>33176</v>
      </c>
      <c r="E87" t="s">
        <v>58</v>
      </c>
      <c r="F87" t="s">
        <v>9</v>
      </c>
      <c r="G87" t="s">
        <v>33</v>
      </c>
      <c r="H87">
        <v>73</v>
      </c>
      <c r="I87">
        <v>190</v>
      </c>
      <c r="J87">
        <v>2018</v>
      </c>
      <c r="K87" s="4" t="str">
        <f>HYPERLINK("http://legacy.baseballprospectus.com/fantasy/dc/index.php?tm=SFN","SFN")</f>
        <v>SFN</v>
      </c>
      <c r="L87" t="s">
        <v>100</v>
      </c>
      <c r="M87" t="s">
        <v>34</v>
      </c>
      <c r="N87">
        <v>27</v>
      </c>
      <c r="O87">
        <v>585</v>
      </c>
      <c r="P87">
        <v>143</v>
      </c>
      <c r="Q87">
        <v>528</v>
      </c>
      <c r="R87">
        <v>69</v>
      </c>
      <c r="S87">
        <v>103</v>
      </c>
      <c r="T87">
        <v>27</v>
      </c>
      <c r="U87">
        <v>4</v>
      </c>
      <c r="V87">
        <v>9</v>
      </c>
      <c r="W87">
        <v>143</v>
      </c>
      <c r="X87">
        <v>205</v>
      </c>
      <c r="Y87">
        <v>53</v>
      </c>
      <c r="Z87">
        <v>46</v>
      </c>
      <c r="AA87">
        <v>3</v>
      </c>
      <c r="AB87">
        <v>5</v>
      </c>
      <c r="AC87">
        <v>60</v>
      </c>
      <c r="AD87">
        <v>3</v>
      </c>
      <c r="AE87">
        <v>4</v>
      </c>
      <c r="AF87">
        <v>13</v>
      </c>
      <c r="AG87">
        <v>4</v>
      </c>
      <c r="AH87">
        <v>1</v>
      </c>
      <c r="AI87" s="5">
        <v>0.27100000000000002</v>
      </c>
      <c r="AJ87" s="5">
        <v>0.33300000000000002</v>
      </c>
      <c r="AK87" s="5">
        <v>0.38800000000000001</v>
      </c>
      <c r="AL87" s="5">
        <v>0.26200000000000001</v>
      </c>
      <c r="AM87" s="5">
        <v>0.28799999999999998</v>
      </c>
      <c r="AN87">
        <v>-0.2</v>
      </c>
      <c r="AO87">
        <v>3.03</v>
      </c>
      <c r="AP87">
        <v>15.71</v>
      </c>
      <c r="AQ87">
        <v>1.49</v>
      </c>
      <c r="AR87">
        <v>0.1</v>
      </c>
      <c r="AS87" t="s">
        <v>1032</v>
      </c>
      <c r="AT87">
        <v>2</v>
      </c>
      <c r="AU87">
        <v>20.100000000000001</v>
      </c>
      <c r="AV87">
        <v>4</v>
      </c>
      <c r="AW87">
        <v>54</v>
      </c>
      <c r="AX87">
        <v>4</v>
      </c>
      <c r="AY87">
        <v>12</v>
      </c>
      <c r="AZ87" t="s">
        <v>3618</v>
      </c>
      <c r="BA87">
        <v>98</v>
      </c>
      <c r="BB87" t="s">
        <v>35</v>
      </c>
      <c r="BC87" t="s">
        <v>36</v>
      </c>
      <c r="BD87" s="4">
        <f>HYPERLINK("http://mlb.mlb.com/team/player.jsp?player_id=605412",605412)</f>
        <v>605412</v>
      </c>
      <c r="BE87">
        <v>1450</v>
      </c>
      <c r="BF87">
        <v>450</v>
      </c>
      <c r="BG87">
        <v>573</v>
      </c>
      <c r="BH87">
        <v>511</v>
      </c>
    </row>
    <row r="88" spans="1:60" x14ac:dyDescent="0.3">
      <c r="A88" s="4">
        <f>HYPERLINK("http://legacy.baseballprospectus.com/p/60187",60187)</f>
        <v>60187</v>
      </c>
      <c r="B88" t="s">
        <v>229</v>
      </c>
      <c r="C88" t="s">
        <v>104</v>
      </c>
      <c r="D88" s="10">
        <v>31377</v>
      </c>
      <c r="E88" t="s">
        <v>50</v>
      </c>
      <c r="F88" t="s">
        <v>9</v>
      </c>
      <c r="G88" t="s">
        <v>33</v>
      </c>
      <c r="H88">
        <v>75</v>
      </c>
      <c r="I88">
        <v>205</v>
      </c>
      <c r="J88">
        <v>2018</v>
      </c>
      <c r="K88" s="4" t="str">
        <f>HYPERLINK("http://legacy.baseballprospectus.com/fantasy/dc/index.php?tm=SLN","SLN")</f>
        <v>SLN</v>
      </c>
      <c r="L88" t="s">
        <v>100</v>
      </c>
      <c r="M88" t="s">
        <v>34</v>
      </c>
      <c r="N88">
        <v>32</v>
      </c>
      <c r="O88">
        <v>605</v>
      </c>
      <c r="P88">
        <v>139</v>
      </c>
      <c r="Q88">
        <v>511</v>
      </c>
      <c r="R88">
        <v>82</v>
      </c>
      <c r="S88">
        <v>82</v>
      </c>
      <c r="T88">
        <v>33</v>
      </c>
      <c r="U88">
        <v>3</v>
      </c>
      <c r="V88">
        <v>17</v>
      </c>
      <c r="W88">
        <v>135</v>
      </c>
      <c r="X88">
        <v>225</v>
      </c>
      <c r="Y88">
        <v>67</v>
      </c>
      <c r="Z88">
        <v>79</v>
      </c>
      <c r="AA88">
        <v>3</v>
      </c>
      <c r="AB88">
        <v>7</v>
      </c>
      <c r="AC88">
        <v>114</v>
      </c>
      <c r="AD88">
        <v>2</v>
      </c>
      <c r="AE88">
        <v>5</v>
      </c>
      <c r="AF88">
        <v>9</v>
      </c>
      <c r="AG88">
        <v>2</v>
      </c>
      <c r="AH88">
        <v>2</v>
      </c>
      <c r="AI88" s="5">
        <v>0.26400000000000001</v>
      </c>
      <c r="AJ88" s="5">
        <v>0.36699999999999999</v>
      </c>
      <c r="AK88" s="5">
        <v>0.44</v>
      </c>
      <c r="AL88" s="5">
        <v>0.27900000000000003</v>
      </c>
      <c r="AM88" s="5">
        <v>0.30399999999999999</v>
      </c>
      <c r="AN88">
        <v>-1.4</v>
      </c>
      <c r="AO88">
        <v>-4.28</v>
      </c>
      <c r="AP88">
        <v>16.239999999999998</v>
      </c>
      <c r="AQ88">
        <v>12.03</v>
      </c>
      <c r="AR88">
        <v>-2.2999999999999998</v>
      </c>
      <c r="AS88" t="s">
        <v>3641</v>
      </c>
      <c r="AT88">
        <v>2</v>
      </c>
      <c r="AU88">
        <v>22.6</v>
      </c>
      <c r="AV88">
        <v>2</v>
      </c>
      <c r="AW88">
        <v>29</v>
      </c>
      <c r="AX88">
        <v>5</v>
      </c>
      <c r="AY88">
        <v>6</v>
      </c>
      <c r="AZ88" t="s">
        <v>3642</v>
      </c>
      <c r="BA88">
        <v>88</v>
      </c>
      <c r="BB88" t="s">
        <v>35</v>
      </c>
      <c r="BC88" t="s">
        <v>36</v>
      </c>
      <c r="BD88" s="4">
        <f>HYPERLINK("http://mlb.mlb.com/team/player.jsp?player_id=572761",572761)</f>
        <v>572761</v>
      </c>
      <c r="BE88">
        <v>1426</v>
      </c>
      <c r="BF88">
        <v>426</v>
      </c>
      <c r="BG88">
        <v>622</v>
      </c>
      <c r="BH88">
        <v>497</v>
      </c>
    </row>
    <row r="89" spans="1:60" x14ac:dyDescent="0.3">
      <c r="A89" s="4">
        <f>HYPERLINK("http://legacy.baseballprospectus.com/p/59467",59467)</f>
        <v>59467</v>
      </c>
      <c r="B89" t="s">
        <v>568</v>
      </c>
      <c r="C89" t="s">
        <v>1058</v>
      </c>
      <c r="D89" s="10">
        <v>32500</v>
      </c>
      <c r="E89" t="s">
        <v>54</v>
      </c>
      <c r="F89" t="s">
        <v>33</v>
      </c>
      <c r="G89" t="s">
        <v>33</v>
      </c>
      <c r="H89">
        <v>71</v>
      </c>
      <c r="I89">
        <v>220</v>
      </c>
      <c r="J89">
        <v>2018</v>
      </c>
      <c r="K89" s="4" t="str">
        <f>HYPERLINK("http://legacy.baseballprospectus.com/fantasy/dc/index.php?tm=CLE","CLE")</f>
        <v>CLE</v>
      </c>
      <c r="L89" t="s">
        <v>95</v>
      </c>
      <c r="M89" t="s">
        <v>34</v>
      </c>
      <c r="N89">
        <v>29</v>
      </c>
      <c r="O89">
        <v>290</v>
      </c>
      <c r="P89">
        <v>90</v>
      </c>
      <c r="Q89">
        <v>248</v>
      </c>
      <c r="R89">
        <v>32</v>
      </c>
      <c r="S89">
        <v>35</v>
      </c>
      <c r="T89">
        <v>12</v>
      </c>
      <c r="U89">
        <v>1</v>
      </c>
      <c r="V89">
        <v>8</v>
      </c>
      <c r="W89">
        <v>56</v>
      </c>
      <c r="X89">
        <v>94</v>
      </c>
      <c r="Y89">
        <v>31</v>
      </c>
      <c r="Z89">
        <v>34</v>
      </c>
      <c r="AA89">
        <v>1</v>
      </c>
      <c r="AB89">
        <v>1</v>
      </c>
      <c r="AC89">
        <v>79</v>
      </c>
      <c r="AD89">
        <v>6</v>
      </c>
      <c r="AE89">
        <v>2</v>
      </c>
      <c r="AF89">
        <v>7</v>
      </c>
      <c r="AG89">
        <v>0</v>
      </c>
      <c r="AH89">
        <v>0</v>
      </c>
      <c r="AI89" s="5">
        <v>0.22600000000000001</v>
      </c>
      <c r="AJ89" s="5">
        <v>0.31900000000000001</v>
      </c>
      <c r="AK89" s="5">
        <v>0.379</v>
      </c>
      <c r="AL89" s="5">
        <v>0.24099999999999999</v>
      </c>
      <c r="AM89" s="5">
        <v>0.28699999999999998</v>
      </c>
      <c r="AN89">
        <v>-0.6</v>
      </c>
      <c r="AO89">
        <v>2.21</v>
      </c>
      <c r="AP89">
        <v>7.79</v>
      </c>
      <c r="AQ89">
        <v>-5.67</v>
      </c>
      <c r="AR89">
        <v>14.8</v>
      </c>
      <c r="AS89" t="s">
        <v>4825</v>
      </c>
      <c r="AT89">
        <v>1.9</v>
      </c>
      <c r="AU89">
        <v>3.7</v>
      </c>
      <c r="AV89">
        <v>3</v>
      </c>
      <c r="AW89">
        <v>42</v>
      </c>
      <c r="AX89">
        <v>8</v>
      </c>
      <c r="AY89">
        <v>15</v>
      </c>
      <c r="AZ89" t="s">
        <v>3615</v>
      </c>
      <c r="BA89">
        <v>91</v>
      </c>
      <c r="BB89" t="s">
        <v>35</v>
      </c>
      <c r="BC89" t="s">
        <v>36</v>
      </c>
      <c r="BD89" s="4">
        <f>HYPERLINK("http://mlb.mlb.com/team/player.jsp?player_id=547379",547379)</f>
        <v>547379</v>
      </c>
      <c r="BE89">
        <v>369</v>
      </c>
      <c r="BF89">
        <v>1369</v>
      </c>
      <c r="BG89">
        <v>248</v>
      </c>
      <c r="BH89">
        <v>217</v>
      </c>
    </row>
    <row r="90" spans="1:60" x14ac:dyDescent="0.3">
      <c r="A90" s="4">
        <f>HYPERLINK("http://legacy.baseballprospectus.com/p/70406",70406)</f>
        <v>70406</v>
      </c>
      <c r="B90" t="s">
        <v>1053</v>
      </c>
      <c r="C90" t="s">
        <v>272</v>
      </c>
      <c r="D90" s="10">
        <v>33923</v>
      </c>
      <c r="E90" t="s">
        <v>53</v>
      </c>
      <c r="F90" t="s">
        <v>33</v>
      </c>
      <c r="G90" t="s">
        <v>33</v>
      </c>
      <c r="H90">
        <v>73</v>
      </c>
      <c r="I90">
        <v>210</v>
      </c>
      <c r="J90">
        <v>2018</v>
      </c>
      <c r="K90" s="4" t="str">
        <f>HYPERLINK("http://legacy.baseballprospectus.com/fantasy/dc/index.php?tm=COL","COL")</f>
        <v>COL</v>
      </c>
      <c r="L90" t="s">
        <v>100</v>
      </c>
      <c r="M90" t="s">
        <v>34</v>
      </c>
      <c r="N90">
        <v>25</v>
      </c>
      <c r="O90">
        <v>532</v>
      </c>
      <c r="P90">
        <v>138</v>
      </c>
      <c r="Q90">
        <v>479</v>
      </c>
      <c r="R90">
        <v>71</v>
      </c>
      <c r="S90">
        <v>62</v>
      </c>
      <c r="T90">
        <v>27</v>
      </c>
      <c r="U90">
        <v>4</v>
      </c>
      <c r="V90">
        <v>25</v>
      </c>
      <c r="W90">
        <v>118</v>
      </c>
      <c r="X90">
        <v>228</v>
      </c>
      <c r="Y90">
        <v>78</v>
      </c>
      <c r="Z90">
        <v>45</v>
      </c>
      <c r="AA90">
        <v>3</v>
      </c>
      <c r="AB90">
        <v>4</v>
      </c>
      <c r="AC90">
        <v>167</v>
      </c>
      <c r="AD90">
        <v>1</v>
      </c>
      <c r="AE90">
        <v>2</v>
      </c>
      <c r="AF90">
        <v>10</v>
      </c>
      <c r="AG90">
        <v>9</v>
      </c>
      <c r="AH90">
        <v>3</v>
      </c>
      <c r="AI90" s="5">
        <v>0.246</v>
      </c>
      <c r="AJ90" s="5">
        <v>0.315</v>
      </c>
      <c r="AK90" s="5">
        <v>0.47599999999999998</v>
      </c>
      <c r="AL90" s="5">
        <v>0.26200000000000001</v>
      </c>
      <c r="AM90" s="5">
        <v>0.31900000000000001</v>
      </c>
      <c r="AN90">
        <v>0.6</v>
      </c>
      <c r="AO90">
        <v>3.67</v>
      </c>
      <c r="AP90">
        <v>14.28</v>
      </c>
      <c r="AQ90">
        <v>0.99</v>
      </c>
      <c r="AR90">
        <v>-0.4</v>
      </c>
      <c r="AS90" t="s">
        <v>74</v>
      </c>
      <c r="AT90">
        <v>1.9</v>
      </c>
      <c r="AU90">
        <v>19.5</v>
      </c>
      <c r="AV90">
        <v>0</v>
      </c>
      <c r="AW90">
        <v>55</v>
      </c>
      <c r="AX90">
        <v>7</v>
      </c>
      <c r="AY90">
        <v>10</v>
      </c>
      <c r="AZ90" t="s">
        <v>3616</v>
      </c>
      <c r="BA90">
        <v>97</v>
      </c>
      <c r="BB90" t="s">
        <v>35</v>
      </c>
      <c r="BC90" t="s">
        <v>36</v>
      </c>
      <c r="BD90" s="4">
        <f>HYPERLINK("http://mlb.mlb.com/team/player.jsp?player_id=596115",596115)</f>
        <v>596115</v>
      </c>
      <c r="BE90">
        <v>1523</v>
      </c>
      <c r="BF90">
        <v>523</v>
      </c>
      <c r="BG90">
        <v>555</v>
      </c>
      <c r="BH90">
        <v>503</v>
      </c>
    </row>
    <row r="91" spans="1:60" x14ac:dyDescent="0.3">
      <c r="A91" s="4">
        <f>HYPERLINK("http://legacy.baseballprospectus.com/p/67084",67084)</f>
        <v>67084</v>
      </c>
      <c r="B91" t="s">
        <v>594</v>
      </c>
      <c r="C91" t="s">
        <v>1362</v>
      </c>
      <c r="D91" s="10">
        <v>33315</v>
      </c>
      <c r="E91" t="s">
        <v>54</v>
      </c>
      <c r="F91" t="s">
        <v>33</v>
      </c>
      <c r="G91" t="s">
        <v>33</v>
      </c>
      <c r="H91">
        <v>73</v>
      </c>
      <c r="I91">
        <v>210</v>
      </c>
      <c r="J91">
        <v>2018</v>
      </c>
      <c r="K91" s="4" t="str">
        <f>HYPERLINK("http://legacy.baseballprospectus.com/fantasy/dc/index.php?tm=MIA","MIA")</f>
        <v>MIA</v>
      </c>
      <c r="L91" t="s">
        <v>100</v>
      </c>
      <c r="M91" t="s">
        <v>34</v>
      </c>
      <c r="N91">
        <v>27</v>
      </c>
      <c r="O91">
        <v>581</v>
      </c>
      <c r="P91">
        <v>148</v>
      </c>
      <c r="Q91">
        <v>539</v>
      </c>
      <c r="R91">
        <v>74</v>
      </c>
      <c r="S91">
        <v>101</v>
      </c>
      <c r="T91">
        <v>27</v>
      </c>
      <c r="U91">
        <v>4</v>
      </c>
      <c r="V91">
        <v>15</v>
      </c>
      <c r="W91">
        <v>147</v>
      </c>
      <c r="X91">
        <v>227</v>
      </c>
      <c r="Y91">
        <v>60</v>
      </c>
      <c r="Z91">
        <v>34</v>
      </c>
      <c r="AA91">
        <v>2</v>
      </c>
      <c r="AB91">
        <v>5</v>
      </c>
      <c r="AC91">
        <v>101</v>
      </c>
      <c r="AD91">
        <v>0</v>
      </c>
      <c r="AE91">
        <v>3</v>
      </c>
      <c r="AF91">
        <v>14</v>
      </c>
      <c r="AG91">
        <v>10</v>
      </c>
      <c r="AH91">
        <v>3</v>
      </c>
      <c r="AI91" s="5">
        <v>0.27300000000000002</v>
      </c>
      <c r="AJ91" s="5">
        <v>0.32</v>
      </c>
      <c r="AK91" s="5">
        <v>0.42099999999999999</v>
      </c>
      <c r="AL91" s="5">
        <v>0.26</v>
      </c>
      <c r="AM91" s="5">
        <v>0.31</v>
      </c>
      <c r="AN91">
        <v>0.5</v>
      </c>
      <c r="AO91">
        <v>4.43</v>
      </c>
      <c r="AP91">
        <v>15.6</v>
      </c>
      <c r="AQ91">
        <v>0.23</v>
      </c>
      <c r="AR91">
        <v>-2</v>
      </c>
      <c r="AS91" t="s">
        <v>1222</v>
      </c>
      <c r="AT91">
        <v>1.9</v>
      </c>
      <c r="AU91">
        <v>20.7</v>
      </c>
      <c r="AV91">
        <v>8</v>
      </c>
      <c r="AW91">
        <v>45</v>
      </c>
      <c r="AX91">
        <v>5</v>
      </c>
      <c r="AY91">
        <v>11</v>
      </c>
      <c r="AZ91" t="s">
        <v>3605</v>
      </c>
      <c r="BA91">
        <v>96</v>
      </c>
      <c r="BB91" t="s">
        <v>35</v>
      </c>
      <c r="BC91" t="s">
        <v>36</v>
      </c>
      <c r="BD91" s="4">
        <f>HYPERLINK("http://mlb.mlb.com/team/player.jsp?player_id=592663",592663)</f>
        <v>592663</v>
      </c>
      <c r="BE91">
        <v>1369</v>
      </c>
      <c r="BF91">
        <v>369</v>
      </c>
      <c r="BG91">
        <v>579</v>
      </c>
      <c r="BH91">
        <v>532</v>
      </c>
    </row>
    <row r="92" spans="1:60" x14ac:dyDescent="0.3">
      <c r="A92" s="4">
        <f>HYPERLINK("http://legacy.baseballprospectus.com/p/69600",69600)</f>
        <v>69600</v>
      </c>
      <c r="B92" t="s">
        <v>131</v>
      </c>
      <c r="C92" t="s">
        <v>215</v>
      </c>
      <c r="D92" s="10">
        <v>34550</v>
      </c>
      <c r="E92" t="s">
        <v>53</v>
      </c>
      <c r="F92" t="s">
        <v>33</v>
      </c>
      <c r="G92" t="s">
        <v>33</v>
      </c>
      <c r="H92">
        <v>72</v>
      </c>
      <c r="I92">
        <v>165</v>
      </c>
      <c r="J92">
        <v>2018</v>
      </c>
      <c r="K92" s="4" t="str">
        <f>HYPERLINK("http://legacy.baseballprospectus.com/fantasy/dc/index.php?tm=MIL","MIL")</f>
        <v>MIL</v>
      </c>
      <c r="L92" t="s">
        <v>100</v>
      </c>
      <c r="M92" t="s">
        <v>34</v>
      </c>
      <c r="N92">
        <v>23</v>
      </c>
      <c r="O92">
        <v>526</v>
      </c>
      <c r="P92">
        <v>145</v>
      </c>
      <c r="Q92">
        <v>492</v>
      </c>
      <c r="R92">
        <v>62</v>
      </c>
      <c r="S92">
        <v>86</v>
      </c>
      <c r="T92">
        <v>24</v>
      </c>
      <c r="U92">
        <v>4</v>
      </c>
      <c r="V92">
        <v>14</v>
      </c>
      <c r="W92">
        <v>128</v>
      </c>
      <c r="X92">
        <v>202</v>
      </c>
      <c r="Y92">
        <v>57</v>
      </c>
      <c r="Z92">
        <v>28</v>
      </c>
      <c r="AA92">
        <v>4</v>
      </c>
      <c r="AB92">
        <v>2</v>
      </c>
      <c r="AC92">
        <v>103</v>
      </c>
      <c r="AD92">
        <v>2</v>
      </c>
      <c r="AE92">
        <v>1</v>
      </c>
      <c r="AF92">
        <v>15</v>
      </c>
      <c r="AG92">
        <v>14</v>
      </c>
      <c r="AH92">
        <v>5</v>
      </c>
      <c r="AI92" s="5">
        <v>0.26</v>
      </c>
      <c r="AJ92" s="5">
        <v>0.30199999999999999</v>
      </c>
      <c r="AK92" s="5">
        <v>0.41099999999999998</v>
      </c>
      <c r="AL92" s="5">
        <v>0.247</v>
      </c>
      <c r="AM92" s="5">
        <v>0.29899999999999999</v>
      </c>
      <c r="AN92">
        <v>0.8</v>
      </c>
      <c r="AO92">
        <v>3.62</v>
      </c>
      <c r="AP92">
        <v>14.12</v>
      </c>
      <c r="AQ92">
        <v>-7.41</v>
      </c>
      <c r="AR92">
        <v>7.6</v>
      </c>
      <c r="AS92" t="s">
        <v>3532</v>
      </c>
      <c r="AT92">
        <v>1.9</v>
      </c>
      <c r="AU92">
        <v>11.1</v>
      </c>
      <c r="AV92">
        <v>9</v>
      </c>
      <c r="AW92">
        <v>52</v>
      </c>
      <c r="AX92">
        <v>9</v>
      </c>
      <c r="AY92">
        <v>20</v>
      </c>
      <c r="AZ92" t="s">
        <v>3624</v>
      </c>
      <c r="BA92">
        <v>90</v>
      </c>
      <c r="BB92" t="s">
        <v>35</v>
      </c>
      <c r="BC92" t="s">
        <v>36</v>
      </c>
      <c r="BD92" s="4">
        <f>HYPERLINK("http://mlb.mlb.com/team/player.jsp?player_id=606115",606115)</f>
        <v>606115</v>
      </c>
      <c r="BE92">
        <v>1525</v>
      </c>
      <c r="BF92">
        <v>525</v>
      </c>
      <c r="BG92">
        <v>548</v>
      </c>
      <c r="BH92">
        <v>506</v>
      </c>
    </row>
    <row r="93" spans="1:60" x14ac:dyDescent="0.3">
      <c r="A93" s="4">
        <f>HYPERLINK("http://legacy.baseballprospectus.com/p/59265",59265)</f>
        <v>59265</v>
      </c>
      <c r="B93" t="s">
        <v>284</v>
      </c>
      <c r="C93" t="s">
        <v>287</v>
      </c>
      <c r="D93" s="10">
        <v>32132</v>
      </c>
      <c r="E93" t="s">
        <v>59</v>
      </c>
      <c r="F93" t="s">
        <v>33</v>
      </c>
      <c r="G93" t="s">
        <v>33</v>
      </c>
      <c r="H93">
        <v>70</v>
      </c>
      <c r="I93">
        <v>195</v>
      </c>
      <c r="J93">
        <v>2018</v>
      </c>
      <c r="K93" s="4" t="str">
        <f>HYPERLINK("http://legacy.baseballprospectus.com/fantasy/dc/index.php?tm=OAK","OAK")</f>
        <v>OAK</v>
      </c>
      <c r="L93" t="s">
        <v>95</v>
      </c>
      <c r="M93" t="s">
        <v>34</v>
      </c>
      <c r="N93">
        <v>30</v>
      </c>
      <c r="O93">
        <v>599</v>
      </c>
      <c r="P93">
        <v>150</v>
      </c>
      <c r="Q93">
        <v>537</v>
      </c>
      <c r="R93">
        <v>82</v>
      </c>
      <c r="S93">
        <v>67</v>
      </c>
      <c r="T93">
        <v>27</v>
      </c>
      <c r="U93">
        <v>2</v>
      </c>
      <c r="V93">
        <v>34</v>
      </c>
      <c r="W93">
        <v>130</v>
      </c>
      <c r="X93">
        <v>263</v>
      </c>
      <c r="Y93">
        <v>96</v>
      </c>
      <c r="Z93">
        <v>51</v>
      </c>
      <c r="AA93">
        <v>1</v>
      </c>
      <c r="AB93">
        <v>7</v>
      </c>
      <c r="AC93">
        <v>160</v>
      </c>
      <c r="AD93">
        <v>0</v>
      </c>
      <c r="AE93">
        <v>4</v>
      </c>
      <c r="AF93">
        <v>17</v>
      </c>
      <c r="AG93">
        <v>4</v>
      </c>
      <c r="AH93">
        <v>1</v>
      </c>
      <c r="AI93" s="5">
        <v>0.24199999999999999</v>
      </c>
      <c r="AJ93" s="5">
        <v>0.314</v>
      </c>
      <c r="AK93" s="5">
        <v>0.49</v>
      </c>
      <c r="AL93" s="5">
        <v>0.27500000000000002</v>
      </c>
      <c r="AM93" s="5">
        <v>0.27700000000000002</v>
      </c>
      <c r="AN93">
        <v>-0.7</v>
      </c>
      <c r="AO93">
        <v>-5</v>
      </c>
      <c r="AP93">
        <v>16.079999999999998</v>
      </c>
      <c r="AQ93">
        <v>9.7200000000000006</v>
      </c>
      <c r="AR93">
        <v>-0.8</v>
      </c>
      <c r="AS93" t="s">
        <v>1014</v>
      </c>
      <c r="AT93">
        <v>1.9</v>
      </c>
      <c r="AU93">
        <v>20.100000000000001</v>
      </c>
      <c r="AV93">
        <v>3</v>
      </c>
      <c r="AW93">
        <v>49</v>
      </c>
      <c r="AX93">
        <v>5</v>
      </c>
      <c r="AY93">
        <v>8</v>
      </c>
      <c r="AZ93" t="s">
        <v>3627</v>
      </c>
      <c r="BA93">
        <v>99</v>
      </c>
      <c r="BB93" t="s">
        <v>35</v>
      </c>
      <c r="BC93" t="s">
        <v>36</v>
      </c>
      <c r="BD93" s="4">
        <f>HYPERLINK("http://mlb.mlb.com/team/player.jsp?player_id=501981",501981)</f>
        <v>501981</v>
      </c>
      <c r="BE93">
        <v>560</v>
      </c>
      <c r="BF93">
        <v>1560</v>
      </c>
      <c r="BG93">
        <v>652</v>
      </c>
      <c r="BH93">
        <v>566</v>
      </c>
    </row>
    <row r="94" spans="1:60" x14ac:dyDescent="0.3">
      <c r="A94" s="4">
        <f>HYPERLINK("http://legacy.baseballprospectus.com/p/48929",48929)</f>
        <v>48929</v>
      </c>
      <c r="B94" t="s">
        <v>620</v>
      </c>
      <c r="C94" t="s">
        <v>165</v>
      </c>
      <c r="D94" s="10">
        <v>31510</v>
      </c>
      <c r="E94" t="s">
        <v>50</v>
      </c>
      <c r="F94" t="s">
        <v>37</v>
      </c>
      <c r="G94" t="s">
        <v>33</v>
      </c>
      <c r="H94">
        <v>71</v>
      </c>
      <c r="I94">
        <v>210</v>
      </c>
      <c r="J94">
        <v>2018</v>
      </c>
      <c r="K94" s="4" t="str">
        <f>HYPERLINK("http://legacy.baseballprospectus.com/fantasy/dc/index.php?tm=PHI","PHI")</f>
        <v>PHI</v>
      </c>
      <c r="L94" t="s">
        <v>100</v>
      </c>
      <c r="M94" t="s">
        <v>34</v>
      </c>
      <c r="N94">
        <v>32</v>
      </c>
      <c r="O94">
        <v>607</v>
      </c>
      <c r="P94">
        <v>144</v>
      </c>
      <c r="Q94">
        <v>512</v>
      </c>
      <c r="R94">
        <v>79</v>
      </c>
      <c r="S94">
        <v>74</v>
      </c>
      <c r="T94">
        <v>26</v>
      </c>
      <c r="U94">
        <v>2</v>
      </c>
      <c r="V94">
        <v>23</v>
      </c>
      <c r="W94">
        <v>125</v>
      </c>
      <c r="X94">
        <v>224</v>
      </c>
      <c r="Y94">
        <v>80</v>
      </c>
      <c r="Z94">
        <v>88</v>
      </c>
      <c r="AA94">
        <v>4</v>
      </c>
      <c r="AB94">
        <v>4</v>
      </c>
      <c r="AC94">
        <v>106</v>
      </c>
      <c r="AD94">
        <v>0</v>
      </c>
      <c r="AE94">
        <v>3</v>
      </c>
      <c r="AF94">
        <v>15</v>
      </c>
      <c r="AG94">
        <v>6</v>
      </c>
      <c r="AH94">
        <v>2</v>
      </c>
      <c r="AI94" s="5">
        <v>0.24399999999999999</v>
      </c>
      <c r="AJ94" s="5">
        <v>0.35699999999999998</v>
      </c>
      <c r="AK94" s="5">
        <v>0.438</v>
      </c>
      <c r="AL94" s="5">
        <v>0.27500000000000002</v>
      </c>
      <c r="AM94" s="5">
        <v>0.26200000000000001</v>
      </c>
      <c r="AN94">
        <v>-0.5</v>
      </c>
      <c r="AO94">
        <v>-6.95</v>
      </c>
      <c r="AP94">
        <v>16.3</v>
      </c>
      <c r="AQ94">
        <v>9.81</v>
      </c>
      <c r="AR94">
        <v>0.5</v>
      </c>
      <c r="AS94" t="s">
        <v>77</v>
      </c>
      <c r="AT94">
        <v>1.9</v>
      </c>
      <c r="AU94">
        <v>18.7</v>
      </c>
      <c r="AV94">
        <v>2</v>
      </c>
      <c r="AW94">
        <v>32</v>
      </c>
      <c r="AX94">
        <v>6</v>
      </c>
      <c r="AY94">
        <v>8</v>
      </c>
      <c r="AZ94" t="s">
        <v>3657</v>
      </c>
      <c r="BA94">
        <v>89</v>
      </c>
      <c r="BB94" t="s">
        <v>35</v>
      </c>
      <c r="BC94" t="s">
        <v>36</v>
      </c>
      <c r="BD94" s="4">
        <f>HYPERLINK("http://mlb.mlb.com/team/player.jsp?player_id=467793",467793)</f>
        <v>467793</v>
      </c>
      <c r="BE94">
        <v>1422</v>
      </c>
      <c r="BF94">
        <v>422</v>
      </c>
      <c r="BG94">
        <v>667</v>
      </c>
      <c r="BH94">
        <v>571</v>
      </c>
    </row>
    <row r="95" spans="1:60" x14ac:dyDescent="0.3">
      <c r="A95" s="4">
        <f>HYPERLINK("http://legacy.baseballprospectus.com/p/60635",60635)</f>
        <v>60635</v>
      </c>
      <c r="B95" t="s">
        <v>534</v>
      </c>
      <c r="C95" t="s">
        <v>535</v>
      </c>
      <c r="D95" s="10">
        <v>33217</v>
      </c>
      <c r="E95" t="s">
        <v>57</v>
      </c>
      <c r="F95" t="s">
        <v>33</v>
      </c>
      <c r="G95" t="s">
        <v>33</v>
      </c>
      <c r="H95">
        <v>75</v>
      </c>
      <c r="I95">
        <v>205</v>
      </c>
      <c r="J95">
        <v>2018</v>
      </c>
      <c r="K95" s="4" t="str">
        <f>HYPERLINK("http://legacy.baseballprospectus.com/fantasy/dc/index.php?tm=SDN","SDN")</f>
        <v>SDN</v>
      </c>
      <c r="L95" t="s">
        <v>100</v>
      </c>
      <c r="M95" t="s">
        <v>34</v>
      </c>
      <c r="N95">
        <v>27</v>
      </c>
      <c r="O95">
        <v>577</v>
      </c>
      <c r="P95">
        <v>150</v>
      </c>
      <c r="Q95">
        <v>512</v>
      </c>
      <c r="R95">
        <v>76</v>
      </c>
      <c r="S95">
        <v>77</v>
      </c>
      <c r="T95">
        <v>25</v>
      </c>
      <c r="U95">
        <v>2</v>
      </c>
      <c r="V95">
        <v>22</v>
      </c>
      <c r="W95">
        <v>126</v>
      </c>
      <c r="X95">
        <v>221</v>
      </c>
      <c r="Y95">
        <v>74</v>
      </c>
      <c r="Z95">
        <v>57</v>
      </c>
      <c r="AA95">
        <v>3</v>
      </c>
      <c r="AB95">
        <v>3</v>
      </c>
      <c r="AC95">
        <v>144</v>
      </c>
      <c r="AD95">
        <v>0</v>
      </c>
      <c r="AE95">
        <v>4</v>
      </c>
      <c r="AF95">
        <v>15</v>
      </c>
      <c r="AG95">
        <v>19</v>
      </c>
      <c r="AH95">
        <v>5</v>
      </c>
      <c r="AI95" s="5">
        <v>0.246</v>
      </c>
      <c r="AJ95" s="5">
        <v>0.32300000000000001</v>
      </c>
      <c r="AK95" s="5">
        <v>0.432</v>
      </c>
      <c r="AL95" s="5">
        <v>0.26900000000000002</v>
      </c>
      <c r="AM95" s="5">
        <v>0.29799999999999999</v>
      </c>
      <c r="AN95">
        <v>1.6</v>
      </c>
      <c r="AO95">
        <v>-2.5</v>
      </c>
      <c r="AP95">
        <v>15.49</v>
      </c>
      <c r="AQ95">
        <v>5.75</v>
      </c>
      <c r="AR95">
        <v>-1</v>
      </c>
      <c r="AS95" t="s">
        <v>4614</v>
      </c>
      <c r="AT95">
        <v>1.9</v>
      </c>
      <c r="AU95">
        <v>20.3</v>
      </c>
      <c r="AV95">
        <v>4</v>
      </c>
      <c r="AW95">
        <v>59</v>
      </c>
      <c r="AX95">
        <v>3</v>
      </c>
      <c r="AY95">
        <v>5</v>
      </c>
      <c r="AZ95" t="s">
        <v>3711</v>
      </c>
      <c r="BA95">
        <v>95</v>
      </c>
      <c r="BB95" t="s">
        <v>35</v>
      </c>
      <c r="BC95" t="s">
        <v>36</v>
      </c>
      <c r="BD95" s="4">
        <f>HYPERLINK("http://mlb.mlb.com/team/player.jsp?player_id=571976",571976)</f>
        <v>571976</v>
      </c>
      <c r="BE95">
        <v>1424</v>
      </c>
      <c r="BF95">
        <v>424</v>
      </c>
      <c r="BG95">
        <v>649</v>
      </c>
      <c r="BH95">
        <v>567</v>
      </c>
    </row>
    <row r="96" spans="1:60" x14ac:dyDescent="0.3">
      <c r="A96" s="4">
        <f>HYPERLINK("http://legacy.baseballprospectus.com/p/47493",47493)</f>
        <v>47493</v>
      </c>
      <c r="B96" t="s">
        <v>342</v>
      </c>
      <c r="C96" t="s">
        <v>343</v>
      </c>
      <c r="D96" s="10">
        <v>31493</v>
      </c>
      <c r="E96" t="s">
        <v>57</v>
      </c>
      <c r="F96" t="s">
        <v>37</v>
      </c>
      <c r="G96" t="s">
        <v>33</v>
      </c>
      <c r="H96">
        <v>77</v>
      </c>
      <c r="I96">
        <v>195</v>
      </c>
      <c r="J96">
        <v>2018</v>
      </c>
      <c r="K96" s="4" t="str">
        <f>HYPERLINK("http://legacy.baseballprospectus.com/fantasy/dc/index.php?tm=SLN","SLN")</f>
        <v>SLN</v>
      </c>
      <c r="L96" t="s">
        <v>100</v>
      </c>
      <c r="M96" t="s">
        <v>34</v>
      </c>
      <c r="N96">
        <v>32</v>
      </c>
      <c r="O96">
        <v>620</v>
      </c>
      <c r="P96">
        <v>144</v>
      </c>
      <c r="Q96">
        <v>529</v>
      </c>
      <c r="R96">
        <v>75</v>
      </c>
      <c r="S96">
        <v>89</v>
      </c>
      <c r="T96">
        <v>25</v>
      </c>
      <c r="U96">
        <v>6</v>
      </c>
      <c r="V96">
        <v>15</v>
      </c>
      <c r="W96">
        <v>135</v>
      </c>
      <c r="X96">
        <v>217</v>
      </c>
      <c r="Y96">
        <v>70</v>
      </c>
      <c r="Z96">
        <v>79</v>
      </c>
      <c r="AA96">
        <v>2</v>
      </c>
      <c r="AB96">
        <v>7</v>
      </c>
      <c r="AC96">
        <v>135</v>
      </c>
      <c r="AD96">
        <v>2</v>
      </c>
      <c r="AE96">
        <v>4</v>
      </c>
      <c r="AF96">
        <v>13</v>
      </c>
      <c r="AG96">
        <v>13</v>
      </c>
      <c r="AH96">
        <v>5</v>
      </c>
      <c r="AI96" s="5">
        <v>0.255</v>
      </c>
      <c r="AJ96" s="5">
        <v>0.35699999999999998</v>
      </c>
      <c r="AK96" s="5">
        <v>0.41</v>
      </c>
      <c r="AL96" s="5">
        <v>0.26900000000000002</v>
      </c>
      <c r="AM96" s="5">
        <v>0.311</v>
      </c>
      <c r="AN96">
        <v>0.8</v>
      </c>
      <c r="AO96">
        <v>-1.85</v>
      </c>
      <c r="AP96">
        <v>16.649999999999999</v>
      </c>
      <c r="AQ96">
        <v>5.82</v>
      </c>
      <c r="AR96">
        <v>-2.1</v>
      </c>
      <c r="AS96" t="s">
        <v>4835</v>
      </c>
      <c r="AT96">
        <v>1.9</v>
      </c>
      <c r="AU96">
        <v>21.4</v>
      </c>
      <c r="AV96">
        <v>1</v>
      </c>
      <c r="AW96">
        <v>37</v>
      </c>
      <c r="AX96">
        <v>3</v>
      </c>
      <c r="AY96">
        <v>5</v>
      </c>
      <c r="AZ96" t="s">
        <v>3691</v>
      </c>
      <c r="BA96">
        <v>95</v>
      </c>
      <c r="BB96" t="s">
        <v>35</v>
      </c>
      <c r="BC96" t="s">
        <v>36</v>
      </c>
      <c r="BD96" s="4">
        <f>HYPERLINK("http://mlb.mlb.com/team/player.jsp?player_id=451594",451594)</f>
        <v>451594</v>
      </c>
      <c r="BE96">
        <v>1591</v>
      </c>
      <c r="BF96">
        <v>591</v>
      </c>
      <c r="BG96">
        <v>491</v>
      </c>
      <c r="BH96">
        <v>420</v>
      </c>
    </row>
    <row r="97" spans="1:60" x14ac:dyDescent="0.3">
      <c r="A97" s="4">
        <f>HYPERLINK("http://legacy.baseballprospectus.com/p/70613",70613)</f>
        <v>70613</v>
      </c>
      <c r="B97" t="s">
        <v>1118</v>
      </c>
      <c r="C97" t="s">
        <v>212</v>
      </c>
      <c r="D97" s="10">
        <v>34292</v>
      </c>
      <c r="E97" t="s">
        <v>50</v>
      </c>
      <c r="F97" t="s">
        <v>9</v>
      </c>
      <c r="G97" t="s">
        <v>33</v>
      </c>
      <c r="H97">
        <v>77</v>
      </c>
      <c r="I97">
        <v>235</v>
      </c>
      <c r="J97">
        <v>2018</v>
      </c>
      <c r="K97" s="4" t="str">
        <f>HYPERLINK("http://legacy.baseballprospectus.com/fantasy/dc/index.php?tm=TEX","TEX")</f>
        <v>TEX</v>
      </c>
      <c r="L97" t="s">
        <v>95</v>
      </c>
      <c r="M97" t="s">
        <v>34</v>
      </c>
      <c r="N97">
        <v>24</v>
      </c>
      <c r="O97">
        <v>577</v>
      </c>
      <c r="P97">
        <v>154</v>
      </c>
      <c r="Q97">
        <v>492</v>
      </c>
      <c r="R97">
        <v>86</v>
      </c>
      <c r="S97">
        <v>48</v>
      </c>
      <c r="T97">
        <v>19</v>
      </c>
      <c r="U97">
        <v>3</v>
      </c>
      <c r="V97">
        <v>36</v>
      </c>
      <c r="W97">
        <v>106</v>
      </c>
      <c r="X97">
        <v>239</v>
      </c>
      <c r="Y97">
        <v>95</v>
      </c>
      <c r="Z97">
        <v>78</v>
      </c>
      <c r="AA97">
        <v>4</v>
      </c>
      <c r="AB97">
        <v>6</v>
      </c>
      <c r="AC97">
        <v>220</v>
      </c>
      <c r="AD97">
        <v>0</v>
      </c>
      <c r="AE97">
        <v>1</v>
      </c>
      <c r="AF97">
        <v>10</v>
      </c>
      <c r="AG97">
        <v>6</v>
      </c>
      <c r="AH97">
        <v>1</v>
      </c>
      <c r="AI97" s="5">
        <v>0.215</v>
      </c>
      <c r="AJ97" s="5">
        <v>0.32900000000000001</v>
      </c>
      <c r="AK97" s="5">
        <v>0.48599999999999999</v>
      </c>
      <c r="AL97" s="5">
        <v>0.27400000000000002</v>
      </c>
      <c r="AM97" s="5">
        <v>0.29499999999999998</v>
      </c>
      <c r="AN97">
        <v>0.2</v>
      </c>
      <c r="AO97">
        <v>-5.34</v>
      </c>
      <c r="AP97">
        <v>15.49</v>
      </c>
      <c r="AQ97">
        <v>8.27</v>
      </c>
      <c r="AR97">
        <v>0.5</v>
      </c>
      <c r="AS97" t="s">
        <v>4976</v>
      </c>
      <c r="AT97">
        <v>1.9</v>
      </c>
      <c r="AU97">
        <v>18.600000000000001</v>
      </c>
      <c r="AV97">
        <v>5</v>
      </c>
      <c r="AW97">
        <v>63</v>
      </c>
      <c r="AX97">
        <v>9</v>
      </c>
      <c r="AY97">
        <v>12</v>
      </c>
      <c r="AZ97" t="s">
        <v>3661</v>
      </c>
      <c r="BA97">
        <v>90</v>
      </c>
      <c r="BB97" t="s">
        <v>35</v>
      </c>
      <c r="BC97" t="s">
        <v>36</v>
      </c>
      <c r="BD97" s="4">
        <f>HYPERLINK("http://mlb.mlb.com/team/player.jsp?player_id=608336",608336)</f>
        <v>608336</v>
      </c>
      <c r="BE97">
        <v>467</v>
      </c>
      <c r="BF97">
        <v>1467</v>
      </c>
      <c r="BG97">
        <v>532</v>
      </c>
      <c r="BH97">
        <v>449</v>
      </c>
    </row>
    <row r="98" spans="1:60" x14ac:dyDescent="0.3">
      <c r="A98" s="4">
        <f>HYPERLINK("http://legacy.baseballprospectus.com/p/69270",69270)</f>
        <v>69270</v>
      </c>
      <c r="B98" t="s">
        <v>1049</v>
      </c>
      <c r="C98" t="s">
        <v>1050</v>
      </c>
      <c r="D98" s="10">
        <v>34368</v>
      </c>
      <c r="E98" t="s">
        <v>58</v>
      </c>
      <c r="F98" t="s">
        <v>9</v>
      </c>
      <c r="G98" t="s">
        <v>33</v>
      </c>
      <c r="H98">
        <v>71</v>
      </c>
      <c r="I98">
        <v>195</v>
      </c>
      <c r="J98">
        <v>2018</v>
      </c>
      <c r="K98" s="4" t="str">
        <f>HYPERLINK("http://legacy.baseballprospectus.com/fantasy/dc/index.php?tm=TEX","TEX")</f>
        <v>TEX</v>
      </c>
      <c r="L98" t="s">
        <v>95</v>
      </c>
      <c r="M98" t="s">
        <v>34</v>
      </c>
      <c r="N98">
        <v>24</v>
      </c>
      <c r="O98">
        <v>570</v>
      </c>
      <c r="P98">
        <v>145</v>
      </c>
      <c r="Q98">
        <v>529</v>
      </c>
      <c r="R98">
        <v>76</v>
      </c>
      <c r="S98">
        <v>82</v>
      </c>
      <c r="T98">
        <v>25</v>
      </c>
      <c r="U98">
        <v>5</v>
      </c>
      <c r="V98">
        <v>24</v>
      </c>
      <c r="W98">
        <v>136</v>
      </c>
      <c r="X98">
        <v>243</v>
      </c>
      <c r="Y98">
        <v>75</v>
      </c>
      <c r="Z98">
        <v>28</v>
      </c>
      <c r="AA98">
        <v>3</v>
      </c>
      <c r="AB98">
        <v>8</v>
      </c>
      <c r="AC98">
        <v>111</v>
      </c>
      <c r="AD98">
        <v>2</v>
      </c>
      <c r="AE98">
        <v>3</v>
      </c>
      <c r="AF98">
        <v>12</v>
      </c>
      <c r="AG98">
        <v>13</v>
      </c>
      <c r="AH98">
        <v>7</v>
      </c>
      <c r="AI98" s="5">
        <v>0.25700000000000001</v>
      </c>
      <c r="AJ98" s="5">
        <v>0.30299999999999999</v>
      </c>
      <c r="AK98" s="5">
        <v>0.45900000000000002</v>
      </c>
      <c r="AL98" s="5">
        <v>0.254</v>
      </c>
      <c r="AM98" s="5">
        <v>0.28100000000000003</v>
      </c>
      <c r="AN98">
        <v>0.3</v>
      </c>
      <c r="AO98">
        <v>2.95</v>
      </c>
      <c r="AP98">
        <v>15.3</v>
      </c>
      <c r="AQ98">
        <v>-3.46</v>
      </c>
      <c r="AR98">
        <v>4</v>
      </c>
      <c r="AS98" t="s">
        <v>1419</v>
      </c>
      <c r="AT98">
        <v>1.9</v>
      </c>
      <c r="AU98">
        <v>15.1</v>
      </c>
      <c r="AV98">
        <v>3</v>
      </c>
      <c r="AW98">
        <v>54</v>
      </c>
      <c r="AX98">
        <v>0</v>
      </c>
      <c r="AY98">
        <v>7</v>
      </c>
      <c r="AZ98" t="s">
        <v>3632</v>
      </c>
      <c r="BA98">
        <v>99</v>
      </c>
      <c r="BB98" t="s">
        <v>35</v>
      </c>
      <c r="BC98" t="s">
        <v>36</v>
      </c>
      <c r="BD98" s="4">
        <f>HYPERLINK("http://mlb.mlb.com/team/player.jsp?player_id=596059",596059)</f>
        <v>596059</v>
      </c>
      <c r="BE98">
        <v>441</v>
      </c>
      <c r="BF98">
        <v>1441</v>
      </c>
      <c r="BG98">
        <v>651</v>
      </c>
      <c r="BH98">
        <v>607</v>
      </c>
    </row>
    <row r="99" spans="1:60" x14ac:dyDescent="0.3">
      <c r="A99" s="4">
        <f>HYPERLINK("http://legacy.baseballprospectus.com/p/45447",45447)</f>
        <v>45447</v>
      </c>
      <c r="B99" t="s">
        <v>493</v>
      </c>
      <c r="C99" t="s">
        <v>196</v>
      </c>
      <c r="D99" s="10">
        <v>30362</v>
      </c>
      <c r="E99" t="s">
        <v>54</v>
      </c>
      <c r="F99" t="s">
        <v>33</v>
      </c>
      <c r="G99" t="s">
        <v>33</v>
      </c>
      <c r="H99">
        <v>70</v>
      </c>
      <c r="I99">
        <v>205</v>
      </c>
      <c r="J99">
        <v>2018</v>
      </c>
      <c r="K99" s="4" t="str">
        <f>HYPERLINK("http://legacy.baseballprospectus.com/fantasy/dc/index.php?tm=TOR","TOR")</f>
        <v>TOR</v>
      </c>
      <c r="L99" t="s">
        <v>95</v>
      </c>
      <c r="M99" t="s">
        <v>34</v>
      </c>
      <c r="N99">
        <v>35</v>
      </c>
      <c r="O99">
        <v>461</v>
      </c>
      <c r="P99">
        <v>115</v>
      </c>
      <c r="Q99">
        <v>396</v>
      </c>
      <c r="R99">
        <v>57</v>
      </c>
      <c r="S99">
        <v>60</v>
      </c>
      <c r="T99">
        <v>17</v>
      </c>
      <c r="U99">
        <v>1</v>
      </c>
      <c r="V99">
        <v>15</v>
      </c>
      <c r="W99">
        <v>93</v>
      </c>
      <c r="X99">
        <v>157</v>
      </c>
      <c r="Y99">
        <v>53</v>
      </c>
      <c r="Z99">
        <v>54</v>
      </c>
      <c r="AA99">
        <v>1</v>
      </c>
      <c r="AB99">
        <v>8</v>
      </c>
      <c r="AC99">
        <v>107</v>
      </c>
      <c r="AD99">
        <v>1</v>
      </c>
      <c r="AE99">
        <v>2</v>
      </c>
      <c r="AF99">
        <v>16</v>
      </c>
      <c r="AG99">
        <v>3</v>
      </c>
      <c r="AH99">
        <v>2</v>
      </c>
      <c r="AI99" s="5">
        <v>0.23499999999999999</v>
      </c>
      <c r="AJ99" s="5">
        <v>0.33700000000000002</v>
      </c>
      <c r="AK99" s="5">
        <v>0.39600000000000002</v>
      </c>
      <c r="AL99" s="5">
        <v>0.26</v>
      </c>
      <c r="AM99" s="5">
        <v>0.28100000000000003</v>
      </c>
      <c r="AN99">
        <v>-1.4</v>
      </c>
      <c r="AO99">
        <v>3.51</v>
      </c>
      <c r="AP99">
        <v>12.38</v>
      </c>
      <c r="AQ99">
        <v>-0.2</v>
      </c>
      <c r="AR99">
        <v>4.5999999999999996</v>
      </c>
      <c r="AS99" t="s">
        <v>2195</v>
      </c>
      <c r="AT99">
        <v>1.9</v>
      </c>
      <c r="AU99">
        <v>14.3</v>
      </c>
      <c r="AV99">
        <v>0</v>
      </c>
      <c r="AW99">
        <v>27</v>
      </c>
      <c r="AX99">
        <v>12</v>
      </c>
      <c r="AY99">
        <v>26</v>
      </c>
      <c r="AZ99" t="s">
        <v>3610</v>
      </c>
      <c r="BA99">
        <v>86</v>
      </c>
      <c r="BB99" t="s">
        <v>35</v>
      </c>
      <c r="BC99" t="s">
        <v>36</v>
      </c>
      <c r="BD99" s="4">
        <f>HYPERLINK("http://mlb.mlb.com/team/player.jsp?player_id=431145",431145)</f>
        <v>431145</v>
      </c>
      <c r="BE99">
        <v>358</v>
      </c>
      <c r="BF99">
        <v>1358</v>
      </c>
      <c r="BG99">
        <v>365</v>
      </c>
      <c r="BH99">
        <v>307</v>
      </c>
    </row>
    <row r="100" spans="1:60" x14ac:dyDescent="0.3">
      <c r="A100" s="4">
        <f>HYPERLINK("http://legacy.baseballprospectus.com/p/46724",46724)</f>
        <v>46724</v>
      </c>
      <c r="B100" t="s">
        <v>671</v>
      </c>
      <c r="C100" t="s">
        <v>672</v>
      </c>
      <c r="D100" s="10">
        <v>30965</v>
      </c>
      <c r="E100" t="s">
        <v>53</v>
      </c>
      <c r="F100" t="s">
        <v>33</v>
      </c>
      <c r="G100" t="s">
        <v>33</v>
      </c>
      <c r="H100">
        <v>75</v>
      </c>
      <c r="I100">
        <v>205</v>
      </c>
      <c r="J100">
        <v>2018</v>
      </c>
      <c r="K100" s="4" t="str">
        <f>HYPERLINK("http://legacy.baseballprospectus.com/fantasy/dc/index.php?tm=TOR","TOR")</f>
        <v>TOR</v>
      </c>
      <c r="L100" t="s">
        <v>95</v>
      </c>
      <c r="M100" t="s">
        <v>34</v>
      </c>
      <c r="N100">
        <v>33</v>
      </c>
      <c r="O100">
        <v>443</v>
      </c>
      <c r="P100">
        <v>109</v>
      </c>
      <c r="Q100">
        <v>397</v>
      </c>
      <c r="R100">
        <v>54</v>
      </c>
      <c r="S100">
        <v>70</v>
      </c>
      <c r="T100">
        <v>18</v>
      </c>
      <c r="U100">
        <v>0</v>
      </c>
      <c r="V100">
        <v>17</v>
      </c>
      <c r="W100">
        <v>105</v>
      </c>
      <c r="X100">
        <v>174</v>
      </c>
      <c r="Y100">
        <v>59</v>
      </c>
      <c r="Z100">
        <v>39</v>
      </c>
      <c r="AA100">
        <v>3</v>
      </c>
      <c r="AB100">
        <v>4</v>
      </c>
      <c r="AC100">
        <v>86</v>
      </c>
      <c r="AD100">
        <v>0</v>
      </c>
      <c r="AE100">
        <v>2</v>
      </c>
      <c r="AF100">
        <v>11</v>
      </c>
      <c r="AG100">
        <v>1</v>
      </c>
      <c r="AH100">
        <v>0</v>
      </c>
      <c r="AI100" s="5">
        <v>0.26400000000000001</v>
      </c>
      <c r="AJ100" s="5">
        <v>0.33500000000000002</v>
      </c>
      <c r="AK100" s="5">
        <v>0.438</v>
      </c>
      <c r="AL100" s="5">
        <v>0.26700000000000002</v>
      </c>
      <c r="AM100" s="5">
        <v>0.29699999999999999</v>
      </c>
      <c r="AN100">
        <v>-1.1000000000000001</v>
      </c>
      <c r="AO100">
        <v>2.4900000000000002</v>
      </c>
      <c r="AP100">
        <v>11.89</v>
      </c>
      <c r="AQ100">
        <v>3.28</v>
      </c>
      <c r="AR100">
        <v>2.8</v>
      </c>
      <c r="AS100" t="s">
        <v>84</v>
      </c>
      <c r="AT100">
        <v>1.9</v>
      </c>
      <c r="AU100">
        <v>16.600000000000001</v>
      </c>
      <c r="AV100">
        <v>1</v>
      </c>
      <c r="AW100">
        <v>36</v>
      </c>
      <c r="AX100">
        <v>3</v>
      </c>
      <c r="AY100">
        <v>4</v>
      </c>
      <c r="AZ100" t="s">
        <v>3596</v>
      </c>
      <c r="BA100">
        <v>96</v>
      </c>
      <c r="BB100" t="s">
        <v>35</v>
      </c>
      <c r="BC100" t="s">
        <v>36</v>
      </c>
      <c r="BD100" s="4">
        <f>HYPERLINK("http://mlb.mlb.com/team/player.jsp?player_id=453064",453064)</f>
        <v>453064</v>
      </c>
      <c r="BE100">
        <v>516</v>
      </c>
      <c r="BF100">
        <v>1516</v>
      </c>
      <c r="BG100">
        <v>260</v>
      </c>
      <c r="BH100">
        <v>241</v>
      </c>
    </row>
    <row r="101" spans="1:60" x14ac:dyDescent="0.3">
      <c r="A101" s="4">
        <f>HYPERLINK("http://legacy.baseballprospectus.com/p/104042",104042)</f>
        <v>104042</v>
      </c>
      <c r="B101" t="s">
        <v>1427</v>
      </c>
      <c r="C101" t="s">
        <v>354</v>
      </c>
      <c r="D101" s="10">
        <v>35362</v>
      </c>
      <c r="E101" t="s">
        <v>51</v>
      </c>
      <c r="F101" t="s">
        <v>9</v>
      </c>
      <c r="G101" t="s">
        <v>33</v>
      </c>
      <c r="H101">
        <v>72</v>
      </c>
      <c r="I101">
        <v>195</v>
      </c>
      <c r="J101">
        <v>2018</v>
      </c>
      <c r="K101" s="4" t="str">
        <f>HYPERLINK("http://legacy.baseballprospectus.com/fantasy/dc/index.php?tm=BOS","BOS")</f>
        <v>BOS</v>
      </c>
      <c r="L101" t="s">
        <v>95</v>
      </c>
      <c r="M101" t="s">
        <v>34</v>
      </c>
      <c r="N101">
        <v>21</v>
      </c>
      <c r="O101">
        <v>594</v>
      </c>
      <c r="P101">
        <v>154</v>
      </c>
      <c r="Q101">
        <v>555</v>
      </c>
      <c r="R101">
        <v>68</v>
      </c>
      <c r="S101">
        <v>89</v>
      </c>
      <c r="T101">
        <v>31</v>
      </c>
      <c r="U101">
        <v>3</v>
      </c>
      <c r="V101">
        <v>21</v>
      </c>
      <c r="W101">
        <v>144</v>
      </c>
      <c r="X101">
        <v>244</v>
      </c>
      <c r="Y101">
        <v>78</v>
      </c>
      <c r="Z101">
        <v>34</v>
      </c>
      <c r="AA101">
        <v>5</v>
      </c>
      <c r="AB101">
        <v>2</v>
      </c>
      <c r="AC101">
        <v>141</v>
      </c>
      <c r="AD101">
        <v>1</v>
      </c>
      <c r="AE101">
        <v>2</v>
      </c>
      <c r="AF101">
        <v>14</v>
      </c>
      <c r="AG101">
        <v>4</v>
      </c>
      <c r="AH101">
        <v>2</v>
      </c>
      <c r="AI101" s="5">
        <v>0.25900000000000001</v>
      </c>
      <c r="AJ101" s="5">
        <v>0.30399999999999999</v>
      </c>
      <c r="AK101" s="5">
        <v>0.44</v>
      </c>
      <c r="AL101" s="5">
        <v>0.255</v>
      </c>
      <c r="AM101" s="5">
        <v>0.308</v>
      </c>
      <c r="AN101">
        <v>-0.9</v>
      </c>
      <c r="AO101">
        <v>0.52</v>
      </c>
      <c r="AP101">
        <v>15.95</v>
      </c>
      <c r="AQ101">
        <v>-3.23</v>
      </c>
      <c r="AR101">
        <v>6.4</v>
      </c>
      <c r="AS101" t="s">
        <v>2172</v>
      </c>
      <c r="AT101">
        <v>1.9</v>
      </c>
      <c r="AU101">
        <v>12.4</v>
      </c>
      <c r="AV101">
        <v>6</v>
      </c>
      <c r="AW101">
        <v>19</v>
      </c>
      <c r="AX101">
        <v>7</v>
      </c>
      <c r="AY101">
        <v>21</v>
      </c>
      <c r="AZ101" t="s">
        <v>3680</v>
      </c>
      <c r="BA101">
        <v>42</v>
      </c>
      <c r="BB101" t="s">
        <v>35</v>
      </c>
      <c r="BC101" t="s">
        <v>36</v>
      </c>
      <c r="BD101" s="4">
        <f>HYPERLINK("http://mlb.mlb.com/team/player.jsp?player_id=646240",646240)</f>
        <v>646240</v>
      </c>
      <c r="BE101">
        <v>474</v>
      </c>
      <c r="BF101">
        <v>1474</v>
      </c>
      <c r="BG101">
        <v>240</v>
      </c>
      <c r="BH101">
        <v>222</v>
      </c>
    </row>
    <row r="102" spans="1:60" x14ac:dyDescent="0.3">
      <c r="A102" s="4">
        <f>HYPERLINK("http://legacy.baseballprospectus.com/p/69790",69790)</f>
        <v>69790</v>
      </c>
      <c r="B102" t="s">
        <v>497</v>
      </c>
      <c r="C102" t="s">
        <v>1257</v>
      </c>
      <c r="D102" s="10">
        <v>34254</v>
      </c>
      <c r="E102" t="s">
        <v>58</v>
      </c>
      <c r="F102" t="s">
        <v>37</v>
      </c>
      <c r="G102" t="s">
        <v>33</v>
      </c>
      <c r="H102">
        <v>73</v>
      </c>
      <c r="I102">
        <v>165</v>
      </c>
      <c r="J102">
        <v>2018</v>
      </c>
      <c r="K102" s="4" t="str">
        <f>HYPERLINK("http://legacy.baseballprospectus.com/fantasy/dc/index.php?tm=ARI","ARI")</f>
        <v>ARI</v>
      </c>
      <c r="L102" t="s">
        <v>100</v>
      </c>
      <c r="M102" t="s">
        <v>34</v>
      </c>
      <c r="N102">
        <v>24</v>
      </c>
      <c r="O102">
        <v>547</v>
      </c>
      <c r="P102">
        <v>144</v>
      </c>
      <c r="Q102">
        <v>501</v>
      </c>
      <c r="R102">
        <v>56</v>
      </c>
      <c r="S102">
        <v>96</v>
      </c>
      <c r="T102">
        <v>30</v>
      </c>
      <c r="U102">
        <v>5</v>
      </c>
      <c r="V102">
        <v>6</v>
      </c>
      <c r="W102">
        <v>137</v>
      </c>
      <c r="X102">
        <v>195</v>
      </c>
      <c r="Y102">
        <v>52</v>
      </c>
      <c r="Z102">
        <v>38</v>
      </c>
      <c r="AA102">
        <v>2</v>
      </c>
      <c r="AB102">
        <v>2</v>
      </c>
      <c r="AC102">
        <v>90</v>
      </c>
      <c r="AD102">
        <v>3</v>
      </c>
      <c r="AE102">
        <v>3</v>
      </c>
      <c r="AF102">
        <v>11</v>
      </c>
      <c r="AG102">
        <v>12</v>
      </c>
      <c r="AH102">
        <v>4</v>
      </c>
      <c r="AI102" s="5">
        <v>0.27300000000000002</v>
      </c>
      <c r="AJ102" s="5">
        <v>0.32500000000000001</v>
      </c>
      <c r="AK102" s="5">
        <v>0.38900000000000001</v>
      </c>
      <c r="AL102" s="5">
        <v>0.251</v>
      </c>
      <c r="AM102" s="5">
        <v>0.318</v>
      </c>
      <c r="AN102">
        <v>0.6</v>
      </c>
      <c r="AO102">
        <v>3.2</v>
      </c>
      <c r="AP102">
        <v>14.69</v>
      </c>
      <c r="AQ102">
        <v>-5.03</v>
      </c>
      <c r="AR102">
        <v>4.5</v>
      </c>
      <c r="AS102" t="s">
        <v>5026</v>
      </c>
      <c r="AT102">
        <v>1.8</v>
      </c>
      <c r="AU102">
        <v>13.4</v>
      </c>
      <c r="AV102">
        <v>4</v>
      </c>
      <c r="AW102">
        <v>49</v>
      </c>
      <c r="AX102">
        <v>5</v>
      </c>
      <c r="AY102">
        <v>10</v>
      </c>
      <c r="AZ102" t="s">
        <v>3666</v>
      </c>
      <c r="BA102">
        <v>98</v>
      </c>
      <c r="BB102" t="s">
        <v>35</v>
      </c>
      <c r="BC102" t="s">
        <v>36</v>
      </c>
      <c r="BD102" s="4">
        <f>HYPERLINK("http://mlb.mlb.com/team/player.jsp?player_id=606466",606466)</f>
        <v>606466</v>
      </c>
      <c r="BE102">
        <v>1536</v>
      </c>
      <c r="BF102">
        <v>536</v>
      </c>
      <c r="BG102">
        <v>255</v>
      </c>
      <c r="BH102">
        <v>223</v>
      </c>
    </row>
    <row r="103" spans="1:60" x14ac:dyDescent="0.3">
      <c r="A103" s="4">
        <f>HYPERLINK("http://legacy.baseballprospectus.com/p/59016",59016)</f>
        <v>59016</v>
      </c>
      <c r="B103" t="s">
        <v>359</v>
      </c>
      <c r="C103" t="s">
        <v>360</v>
      </c>
      <c r="D103" s="10">
        <v>33401</v>
      </c>
      <c r="E103" t="s">
        <v>57</v>
      </c>
      <c r="F103" t="s">
        <v>33</v>
      </c>
      <c r="G103" t="s">
        <v>33</v>
      </c>
      <c r="H103">
        <v>76</v>
      </c>
      <c r="I103">
        <v>240</v>
      </c>
      <c r="J103">
        <v>2018</v>
      </c>
      <c r="K103" s="4" t="str">
        <f>HYPERLINK("http://legacy.baseballprospectus.com/fantasy/dc/index.php?tm=CHA","CHA")</f>
        <v>CHA</v>
      </c>
      <c r="L103" t="s">
        <v>95</v>
      </c>
      <c r="M103" t="s">
        <v>34</v>
      </c>
      <c r="N103">
        <v>27</v>
      </c>
      <c r="O103">
        <v>590</v>
      </c>
      <c r="P103">
        <v>151</v>
      </c>
      <c r="Q103">
        <v>542</v>
      </c>
      <c r="R103">
        <v>68</v>
      </c>
      <c r="S103">
        <v>105</v>
      </c>
      <c r="T103">
        <v>22</v>
      </c>
      <c r="U103">
        <v>4</v>
      </c>
      <c r="V103">
        <v>17</v>
      </c>
      <c r="W103">
        <v>148</v>
      </c>
      <c r="X103">
        <v>229</v>
      </c>
      <c r="Y103">
        <v>72</v>
      </c>
      <c r="Z103">
        <v>37</v>
      </c>
      <c r="AA103">
        <v>3</v>
      </c>
      <c r="AB103">
        <v>8</v>
      </c>
      <c r="AC103">
        <v>133</v>
      </c>
      <c r="AD103">
        <v>0</v>
      </c>
      <c r="AE103">
        <v>3</v>
      </c>
      <c r="AF103">
        <v>16</v>
      </c>
      <c r="AG103">
        <v>6</v>
      </c>
      <c r="AH103">
        <v>4</v>
      </c>
      <c r="AI103" s="5">
        <v>0.27300000000000002</v>
      </c>
      <c r="AJ103" s="5">
        <v>0.32700000000000001</v>
      </c>
      <c r="AK103" s="5">
        <v>0.42299999999999999</v>
      </c>
      <c r="AL103" s="5">
        <v>0.26400000000000001</v>
      </c>
      <c r="AM103" s="5">
        <v>0.33300000000000002</v>
      </c>
      <c r="AN103">
        <v>-0.8</v>
      </c>
      <c r="AO103">
        <v>-2.5299999999999998</v>
      </c>
      <c r="AP103">
        <v>15.84</v>
      </c>
      <c r="AQ103">
        <v>2.48</v>
      </c>
      <c r="AR103">
        <v>2.7</v>
      </c>
      <c r="AS103" t="s">
        <v>1018</v>
      </c>
      <c r="AT103">
        <v>1.8</v>
      </c>
      <c r="AU103">
        <v>14.9</v>
      </c>
      <c r="AV103">
        <v>1</v>
      </c>
      <c r="AW103">
        <v>53</v>
      </c>
      <c r="AX103">
        <v>2</v>
      </c>
      <c r="AY103">
        <v>7</v>
      </c>
      <c r="AZ103" t="s">
        <v>3669</v>
      </c>
      <c r="BA103">
        <v>97</v>
      </c>
      <c r="BB103" t="s">
        <v>35</v>
      </c>
      <c r="BC103" t="s">
        <v>36</v>
      </c>
      <c r="BD103" s="4">
        <f>HYPERLINK("http://mlb.mlb.com/team/player.jsp?player_id=541645",541645)</f>
        <v>541645</v>
      </c>
      <c r="BE103">
        <v>574</v>
      </c>
      <c r="BF103">
        <v>1574</v>
      </c>
      <c r="BG103">
        <v>561</v>
      </c>
      <c r="BH103">
        <v>518</v>
      </c>
    </row>
    <row r="104" spans="1:60" x14ac:dyDescent="0.3">
      <c r="A104" s="4">
        <f>HYPERLINK("http://legacy.baseballprospectus.com/p/56609",56609)</f>
        <v>56609</v>
      </c>
      <c r="B104" t="s">
        <v>596</v>
      </c>
      <c r="C104" t="s">
        <v>150</v>
      </c>
      <c r="D104" s="10">
        <v>31827</v>
      </c>
      <c r="E104" t="s">
        <v>57</v>
      </c>
      <c r="F104" t="s">
        <v>9</v>
      </c>
      <c r="G104" t="s">
        <v>33</v>
      </c>
      <c r="H104">
        <v>74</v>
      </c>
      <c r="I104">
        <v>195</v>
      </c>
      <c r="J104">
        <v>2018</v>
      </c>
      <c r="K104" s="4" t="str">
        <f>HYPERLINK("http://legacy.baseballprospectus.com/fantasy/dc/index.php?tm=HOU","HOU")</f>
        <v>HOU</v>
      </c>
      <c r="L104" t="s">
        <v>95</v>
      </c>
      <c r="M104" t="s">
        <v>34</v>
      </c>
      <c r="N104">
        <v>31</v>
      </c>
      <c r="O104">
        <v>563</v>
      </c>
      <c r="P104">
        <v>144</v>
      </c>
      <c r="Q104">
        <v>510</v>
      </c>
      <c r="R104">
        <v>66</v>
      </c>
      <c r="S104">
        <v>90</v>
      </c>
      <c r="T104">
        <v>27</v>
      </c>
      <c r="U104">
        <v>4</v>
      </c>
      <c r="V104">
        <v>16</v>
      </c>
      <c r="W104">
        <v>137</v>
      </c>
      <c r="X104">
        <v>220</v>
      </c>
      <c r="Y104">
        <v>69</v>
      </c>
      <c r="Z104">
        <v>48</v>
      </c>
      <c r="AA104">
        <v>2</v>
      </c>
      <c r="AB104">
        <v>1</v>
      </c>
      <c r="AC104">
        <v>86</v>
      </c>
      <c r="AD104">
        <v>0</v>
      </c>
      <c r="AE104">
        <v>3</v>
      </c>
      <c r="AF104">
        <v>12</v>
      </c>
      <c r="AG104">
        <v>7</v>
      </c>
      <c r="AH104">
        <v>3</v>
      </c>
      <c r="AI104" s="5">
        <v>0.26900000000000002</v>
      </c>
      <c r="AJ104" s="5">
        <v>0.33100000000000002</v>
      </c>
      <c r="AK104" s="5">
        <v>0.43099999999999999</v>
      </c>
      <c r="AL104" s="5">
        <v>0.26800000000000002</v>
      </c>
      <c r="AM104" s="5">
        <v>0.29399999999999998</v>
      </c>
      <c r="AN104">
        <v>0</v>
      </c>
      <c r="AO104">
        <v>-2.11</v>
      </c>
      <c r="AP104">
        <v>15.12</v>
      </c>
      <c r="AQ104">
        <v>4.8499999999999996</v>
      </c>
      <c r="AR104">
        <v>0</v>
      </c>
      <c r="AS104" t="s">
        <v>2174</v>
      </c>
      <c r="AT104">
        <v>1.8</v>
      </c>
      <c r="AU104">
        <v>17.899999999999999</v>
      </c>
      <c r="AV104">
        <v>0</v>
      </c>
      <c r="AW104">
        <v>38</v>
      </c>
      <c r="AX104">
        <v>7</v>
      </c>
      <c r="AY104">
        <v>14</v>
      </c>
      <c r="AZ104" t="s">
        <v>3672</v>
      </c>
      <c r="BA104">
        <v>89</v>
      </c>
      <c r="BB104" t="s">
        <v>35</v>
      </c>
      <c r="BC104" t="s">
        <v>36</v>
      </c>
      <c r="BD104" s="4">
        <f>HYPERLINK("http://mlb.mlb.com/team/player.jsp?player_id=502210",502210)</f>
        <v>502210</v>
      </c>
      <c r="BE104">
        <v>580</v>
      </c>
      <c r="BF104">
        <v>1580</v>
      </c>
      <c r="BG104">
        <v>540</v>
      </c>
      <c r="BH104">
        <v>477</v>
      </c>
    </row>
    <row r="105" spans="1:60" x14ac:dyDescent="0.3">
      <c r="A105" s="4">
        <f>HYPERLINK("http://legacy.baseballprospectus.com/p/70388",70388)</f>
        <v>70388</v>
      </c>
      <c r="B105" t="s">
        <v>1254</v>
      </c>
      <c r="C105" t="s">
        <v>302</v>
      </c>
      <c r="D105" s="10">
        <v>33917</v>
      </c>
      <c r="E105" t="s">
        <v>50</v>
      </c>
      <c r="F105" t="s">
        <v>9</v>
      </c>
      <c r="G105" t="s">
        <v>33</v>
      </c>
      <c r="H105">
        <v>76</v>
      </c>
      <c r="I105">
        <v>220</v>
      </c>
      <c r="J105">
        <v>2018</v>
      </c>
      <c r="K105" s="4" t="str">
        <f>HYPERLINK("http://legacy.baseballprospectus.com/fantasy/dc/index.php?tm=NYA","NYA")</f>
        <v>NYA</v>
      </c>
      <c r="L105" t="s">
        <v>95</v>
      </c>
      <c r="M105" t="s">
        <v>34</v>
      </c>
      <c r="N105">
        <v>25</v>
      </c>
      <c r="O105">
        <v>578</v>
      </c>
      <c r="P105">
        <v>154</v>
      </c>
      <c r="Q105">
        <v>508</v>
      </c>
      <c r="R105">
        <v>76</v>
      </c>
      <c r="S105">
        <v>69</v>
      </c>
      <c r="T105">
        <v>27</v>
      </c>
      <c r="U105">
        <v>1</v>
      </c>
      <c r="V105">
        <v>28</v>
      </c>
      <c r="W105">
        <v>125</v>
      </c>
      <c r="X105">
        <v>238</v>
      </c>
      <c r="Y105">
        <v>86</v>
      </c>
      <c r="Z105">
        <v>61</v>
      </c>
      <c r="AA105">
        <v>2</v>
      </c>
      <c r="AB105">
        <v>6</v>
      </c>
      <c r="AC105">
        <v>139</v>
      </c>
      <c r="AD105">
        <v>1</v>
      </c>
      <c r="AE105">
        <v>3</v>
      </c>
      <c r="AF105">
        <v>10</v>
      </c>
      <c r="AG105">
        <v>0</v>
      </c>
      <c r="AH105">
        <v>0</v>
      </c>
      <c r="AI105" s="5">
        <v>0.246</v>
      </c>
      <c r="AJ105" s="5">
        <v>0.33200000000000002</v>
      </c>
      <c r="AK105" s="5">
        <v>0.46899999999999997</v>
      </c>
      <c r="AL105" s="5">
        <v>0.27600000000000002</v>
      </c>
      <c r="AM105" s="5">
        <v>0.28000000000000003</v>
      </c>
      <c r="AN105">
        <v>-1.3</v>
      </c>
      <c r="AO105">
        <v>-6.56</v>
      </c>
      <c r="AP105">
        <v>15.52</v>
      </c>
      <c r="AQ105">
        <v>9.77</v>
      </c>
      <c r="AR105">
        <v>0.1</v>
      </c>
      <c r="AS105" t="s">
        <v>1005</v>
      </c>
      <c r="AT105">
        <v>1.8</v>
      </c>
      <c r="AU105">
        <v>17.5</v>
      </c>
      <c r="AV105">
        <v>4</v>
      </c>
      <c r="AW105">
        <v>54</v>
      </c>
      <c r="AX105">
        <v>4</v>
      </c>
      <c r="AY105">
        <v>15</v>
      </c>
      <c r="AZ105" t="s">
        <v>3674</v>
      </c>
      <c r="BA105">
        <v>93</v>
      </c>
      <c r="BB105" t="s">
        <v>35</v>
      </c>
      <c r="BC105" t="s">
        <v>36</v>
      </c>
      <c r="BD105" s="4">
        <f>HYPERLINK("http://mlb.mlb.com/team/player.jsp?player_id=595885",595885)</f>
        <v>595885</v>
      </c>
      <c r="BE105">
        <v>418</v>
      </c>
      <c r="BF105">
        <v>1418</v>
      </c>
      <c r="BG105">
        <v>170</v>
      </c>
      <c r="BH105">
        <v>147</v>
      </c>
    </row>
    <row r="106" spans="1:60" x14ac:dyDescent="0.3">
      <c r="A106" s="4">
        <f>HYPERLINK("http://legacy.baseballprospectus.com/p/47454",47454)</f>
        <v>47454</v>
      </c>
      <c r="B106" t="s">
        <v>361</v>
      </c>
      <c r="C106" t="s">
        <v>200</v>
      </c>
      <c r="D106" s="10">
        <v>30552</v>
      </c>
      <c r="E106" t="s">
        <v>59</v>
      </c>
      <c r="F106" t="s">
        <v>9</v>
      </c>
      <c r="G106" t="s">
        <v>9</v>
      </c>
      <c r="H106">
        <v>71</v>
      </c>
      <c r="I106">
        <v>195</v>
      </c>
      <c r="J106">
        <v>2018</v>
      </c>
      <c r="K106" s="4" t="str">
        <f>HYPERLINK("http://legacy.baseballprospectus.com/fantasy/dc/index.php?tm=NYA","NYA")</f>
        <v>NYA</v>
      </c>
      <c r="L106" t="s">
        <v>95</v>
      </c>
      <c r="M106" t="s">
        <v>34</v>
      </c>
      <c r="N106">
        <v>34</v>
      </c>
      <c r="O106">
        <v>650</v>
      </c>
      <c r="P106">
        <v>150</v>
      </c>
      <c r="Q106">
        <v>568</v>
      </c>
      <c r="R106">
        <v>85</v>
      </c>
      <c r="S106">
        <v>100</v>
      </c>
      <c r="T106">
        <v>25</v>
      </c>
      <c r="U106">
        <v>6</v>
      </c>
      <c r="V106">
        <v>13</v>
      </c>
      <c r="W106">
        <v>144</v>
      </c>
      <c r="X106">
        <v>220</v>
      </c>
      <c r="Y106">
        <v>60</v>
      </c>
      <c r="Z106">
        <v>63</v>
      </c>
      <c r="AA106">
        <v>1</v>
      </c>
      <c r="AB106">
        <v>6</v>
      </c>
      <c r="AC106">
        <v>131</v>
      </c>
      <c r="AD106">
        <v>8</v>
      </c>
      <c r="AE106">
        <v>4</v>
      </c>
      <c r="AF106">
        <v>12</v>
      </c>
      <c r="AG106">
        <v>19</v>
      </c>
      <c r="AH106">
        <v>4</v>
      </c>
      <c r="AI106" s="5">
        <v>0.254</v>
      </c>
      <c r="AJ106" s="5">
        <v>0.33200000000000002</v>
      </c>
      <c r="AK106" s="5">
        <v>0.38700000000000001</v>
      </c>
      <c r="AL106" s="5">
        <v>0.251</v>
      </c>
      <c r="AM106" s="5">
        <v>0.29799999999999999</v>
      </c>
      <c r="AN106">
        <v>2.1</v>
      </c>
      <c r="AO106">
        <v>-0.84</v>
      </c>
      <c r="AP106">
        <v>17.45</v>
      </c>
      <c r="AQ106">
        <v>-5.96</v>
      </c>
      <c r="AR106">
        <v>4.9000000000000004</v>
      </c>
      <c r="AS106" t="s">
        <v>4956</v>
      </c>
      <c r="AT106">
        <v>1.8</v>
      </c>
      <c r="AU106">
        <v>12.8</v>
      </c>
      <c r="AV106">
        <v>0</v>
      </c>
      <c r="AW106">
        <v>33</v>
      </c>
      <c r="AX106">
        <v>15</v>
      </c>
      <c r="AY106">
        <v>20</v>
      </c>
      <c r="AZ106" t="s">
        <v>3626</v>
      </c>
      <c r="BA106">
        <v>90</v>
      </c>
      <c r="BB106" t="s">
        <v>35</v>
      </c>
      <c r="BC106" t="s">
        <v>36</v>
      </c>
      <c r="BD106" s="4">
        <f>HYPERLINK("http://mlb.mlb.com/team/player.jsp?player_id=458731",458731)</f>
        <v>458731</v>
      </c>
      <c r="BE106">
        <v>556</v>
      </c>
      <c r="BF106">
        <v>1556</v>
      </c>
      <c r="BG106">
        <v>682</v>
      </c>
      <c r="BH106">
        <v>594</v>
      </c>
    </row>
    <row r="107" spans="1:60" x14ac:dyDescent="0.3">
      <c r="A107" s="4">
        <f>HYPERLINK("http://legacy.baseballprospectus.com/p/57988",57988)</f>
        <v>57988</v>
      </c>
      <c r="B107" t="s">
        <v>428</v>
      </c>
      <c r="C107" t="s">
        <v>247</v>
      </c>
      <c r="D107" s="10">
        <v>32805</v>
      </c>
      <c r="E107" t="s">
        <v>50</v>
      </c>
      <c r="F107" t="s">
        <v>9</v>
      </c>
      <c r="G107" t="s">
        <v>9</v>
      </c>
      <c r="H107">
        <v>76</v>
      </c>
      <c r="I107">
        <v>225</v>
      </c>
      <c r="J107">
        <v>2018</v>
      </c>
      <c r="K107" s="4" t="str">
        <f>HYPERLINK("http://legacy.baseballprospectus.com/fantasy/dc/index.php?tm=SDN","SDN")</f>
        <v>SDN</v>
      </c>
      <c r="L107" t="s">
        <v>100</v>
      </c>
      <c r="M107" t="s">
        <v>34</v>
      </c>
      <c r="N107">
        <v>28</v>
      </c>
      <c r="O107">
        <v>623</v>
      </c>
      <c r="P107">
        <v>151</v>
      </c>
      <c r="Q107">
        <v>564</v>
      </c>
      <c r="R107">
        <v>73</v>
      </c>
      <c r="S107">
        <v>106</v>
      </c>
      <c r="T107">
        <v>29</v>
      </c>
      <c r="U107">
        <v>2</v>
      </c>
      <c r="V107">
        <v>18</v>
      </c>
      <c r="W107">
        <v>155</v>
      </c>
      <c r="X107">
        <v>242</v>
      </c>
      <c r="Y107">
        <v>77</v>
      </c>
      <c r="Z107">
        <v>55</v>
      </c>
      <c r="AA107">
        <v>4</v>
      </c>
      <c r="AB107">
        <v>2</v>
      </c>
      <c r="AC107">
        <v>111</v>
      </c>
      <c r="AD107">
        <v>0</v>
      </c>
      <c r="AE107">
        <v>3</v>
      </c>
      <c r="AF107">
        <v>18</v>
      </c>
      <c r="AG107">
        <v>5</v>
      </c>
      <c r="AH107">
        <v>2</v>
      </c>
      <c r="AI107" s="5">
        <v>0.27500000000000002</v>
      </c>
      <c r="AJ107" s="5">
        <v>0.34</v>
      </c>
      <c r="AK107" s="5">
        <v>0.42899999999999999</v>
      </c>
      <c r="AL107" s="5">
        <v>0.27500000000000002</v>
      </c>
      <c r="AM107" s="5">
        <v>0.313</v>
      </c>
      <c r="AN107">
        <v>-0.7</v>
      </c>
      <c r="AO107">
        <v>-7.13</v>
      </c>
      <c r="AP107">
        <v>16.73</v>
      </c>
      <c r="AQ107">
        <v>9.7899999999999991</v>
      </c>
      <c r="AR107">
        <v>-0.4</v>
      </c>
      <c r="AS107" t="s">
        <v>1004</v>
      </c>
      <c r="AT107">
        <v>1.8</v>
      </c>
      <c r="AU107">
        <v>18.7</v>
      </c>
      <c r="AV107">
        <v>0</v>
      </c>
      <c r="AW107">
        <v>49</v>
      </c>
      <c r="AX107">
        <v>0</v>
      </c>
      <c r="AY107">
        <v>6</v>
      </c>
      <c r="AZ107" t="s">
        <v>3597</v>
      </c>
      <c r="BA107">
        <v>96</v>
      </c>
      <c r="BB107" t="s">
        <v>35</v>
      </c>
      <c r="BC107" t="s">
        <v>36</v>
      </c>
      <c r="BD107" s="4">
        <f>HYPERLINK("http://mlb.mlb.com/team/player.jsp?player_id=543333",543333)</f>
        <v>543333</v>
      </c>
      <c r="BE107">
        <v>693</v>
      </c>
      <c r="BF107">
        <v>1693</v>
      </c>
      <c r="BG107">
        <v>671</v>
      </c>
      <c r="BH107">
        <v>603</v>
      </c>
    </row>
    <row r="108" spans="1:60" x14ac:dyDescent="0.3">
      <c r="A108" s="4">
        <f>HYPERLINK("http://legacy.baseballprospectus.com/p/56761",56761)</f>
        <v>56761</v>
      </c>
      <c r="B108" t="s">
        <v>627</v>
      </c>
      <c r="C108" t="s">
        <v>628</v>
      </c>
      <c r="D108" s="10">
        <v>32949</v>
      </c>
      <c r="E108" t="s">
        <v>53</v>
      </c>
      <c r="F108" t="s">
        <v>33</v>
      </c>
      <c r="G108" t="s">
        <v>33</v>
      </c>
      <c r="H108">
        <v>70</v>
      </c>
      <c r="I108">
        <v>205</v>
      </c>
      <c r="J108">
        <v>2018</v>
      </c>
      <c r="K108" s="4" t="str">
        <f>HYPERLINK("http://legacy.baseballprospectus.com/fantasy/dc/index.php?tm=SEA","SEA")</f>
        <v>SEA</v>
      </c>
      <c r="L108" t="s">
        <v>95</v>
      </c>
      <c r="M108" t="s">
        <v>34</v>
      </c>
      <c r="N108">
        <v>28</v>
      </c>
      <c r="O108">
        <v>637</v>
      </c>
      <c r="P108">
        <v>153</v>
      </c>
      <c r="Q108">
        <v>593</v>
      </c>
      <c r="R108">
        <v>82</v>
      </c>
      <c r="S108">
        <v>119</v>
      </c>
      <c r="T108">
        <v>25</v>
      </c>
      <c r="U108">
        <v>5</v>
      </c>
      <c r="V108">
        <v>11</v>
      </c>
      <c r="W108">
        <v>160</v>
      </c>
      <c r="X108">
        <v>228</v>
      </c>
      <c r="Y108">
        <v>55</v>
      </c>
      <c r="Z108">
        <v>31</v>
      </c>
      <c r="AA108">
        <v>2</v>
      </c>
      <c r="AB108">
        <v>7</v>
      </c>
      <c r="AC108">
        <v>93</v>
      </c>
      <c r="AD108">
        <v>4</v>
      </c>
      <c r="AE108">
        <v>3</v>
      </c>
      <c r="AF108">
        <v>20</v>
      </c>
      <c r="AG108">
        <v>25</v>
      </c>
      <c r="AH108">
        <v>8</v>
      </c>
      <c r="AI108" s="5">
        <v>0.27</v>
      </c>
      <c r="AJ108" s="5">
        <v>0.312</v>
      </c>
      <c r="AK108" s="5">
        <v>0.38400000000000001</v>
      </c>
      <c r="AL108" s="5">
        <v>0.25</v>
      </c>
      <c r="AM108" s="5">
        <v>0.30199999999999999</v>
      </c>
      <c r="AN108">
        <v>2.2999999999999998</v>
      </c>
      <c r="AO108">
        <v>4.3899999999999997</v>
      </c>
      <c r="AP108">
        <v>17.100000000000001</v>
      </c>
      <c r="AQ108">
        <v>-6.7</v>
      </c>
      <c r="AR108">
        <v>0.8</v>
      </c>
      <c r="AS108" t="s">
        <v>75</v>
      </c>
      <c r="AT108">
        <v>1.8</v>
      </c>
      <c r="AU108">
        <v>17.100000000000001</v>
      </c>
      <c r="AV108">
        <v>1</v>
      </c>
      <c r="AW108">
        <v>42</v>
      </c>
      <c r="AX108">
        <v>8</v>
      </c>
      <c r="AY108">
        <v>8</v>
      </c>
      <c r="AZ108" t="s">
        <v>3629</v>
      </c>
      <c r="BA108">
        <v>97</v>
      </c>
      <c r="BB108" t="s">
        <v>35</v>
      </c>
      <c r="BC108" t="s">
        <v>36</v>
      </c>
      <c r="BD108" s="4">
        <f>HYPERLINK("http://mlb.mlb.com/team/player.jsp?player_id=516416",516416)</f>
        <v>516416</v>
      </c>
      <c r="BE108">
        <v>500</v>
      </c>
      <c r="BF108">
        <v>1500</v>
      </c>
      <c r="BG108">
        <v>566</v>
      </c>
      <c r="BH108">
        <v>524</v>
      </c>
    </row>
    <row r="109" spans="1:60" x14ac:dyDescent="0.3">
      <c r="A109" s="4">
        <f>HYPERLINK("http://legacy.baseballprospectus.com/p/70262",70262)</f>
        <v>70262</v>
      </c>
      <c r="B109" t="s">
        <v>997</v>
      </c>
      <c r="C109" t="s">
        <v>998</v>
      </c>
      <c r="D109" s="10">
        <v>33156</v>
      </c>
      <c r="E109" t="s">
        <v>58</v>
      </c>
      <c r="F109" t="s">
        <v>9</v>
      </c>
      <c r="G109" t="s">
        <v>33</v>
      </c>
      <c r="H109">
        <v>69</v>
      </c>
      <c r="I109">
        <v>185</v>
      </c>
      <c r="J109">
        <v>2018</v>
      </c>
      <c r="K109" s="4" t="str">
        <f>HYPERLINK("http://legacy.baseballprospectus.com/fantasy/dc/index.php?tm=SLN","SLN")</f>
        <v>SLN</v>
      </c>
      <c r="L109" t="s">
        <v>100</v>
      </c>
      <c r="M109" t="s">
        <v>34</v>
      </c>
      <c r="N109">
        <v>27</v>
      </c>
      <c r="O109">
        <v>484</v>
      </c>
      <c r="P109">
        <v>127</v>
      </c>
      <c r="Q109">
        <v>436</v>
      </c>
      <c r="R109">
        <v>57</v>
      </c>
      <c r="S109">
        <v>79</v>
      </c>
      <c r="T109">
        <v>20</v>
      </c>
      <c r="U109">
        <v>4</v>
      </c>
      <c r="V109">
        <v>11</v>
      </c>
      <c r="W109">
        <v>114</v>
      </c>
      <c r="X109">
        <v>175</v>
      </c>
      <c r="Y109">
        <v>50</v>
      </c>
      <c r="Z109">
        <v>35</v>
      </c>
      <c r="AA109">
        <v>4</v>
      </c>
      <c r="AB109">
        <v>9</v>
      </c>
      <c r="AC109">
        <v>74</v>
      </c>
      <c r="AD109">
        <v>1</v>
      </c>
      <c r="AE109">
        <v>3</v>
      </c>
      <c r="AF109">
        <v>10</v>
      </c>
      <c r="AG109">
        <v>11</v>
      </c>
      <c r="AH109">
        <v>3</v>
      </c>
      <c r="AI109" s="5">
        <v>0.26100000000000001</v>
      </c>
      <c r="AJ109" s="5">
        <v>0.32700000000000001</v>
      </c>
      <c r="AK109" s="5">
        <v>0.40100000000000002</v>
      </c>
      <c r="AL109" s="5">
        <v>0.253</v>
      </c>
      <c r="AM109" s="5">
        <v>0.28999999999999998</v>
      </c>
      <c r="AN109">
        <v>1</v>
      </c>
      <c r="AO109">
        <v>2.5099999999999998</v>
      </c>
      <c r="AP109">
        <v>12.99</v>
      </c>
      <c r="AQ109">
        <v>-3.37</v>
      </c>
      <c r="AR109">
        <v>5</v>
      </c>
      <c r="AS109" t="s">
        <v>1228</v>
      </c>
      <c r="AT109">
        <v>1.8</v>
      </c>
      <c r="AU109">
        <v>13.2</v>
      </c>
      <c r="AV109">
        <v>9</v>
      </c>
      <c r="AW109">
        <v>45</v>
      </c>
      <c r="AX109">
        <v>7</v>
      </c>
      <c r="AY109">
        <v>16</v>
      </c>
      <c r="AZ109" t="s">
        <v>3643</v>
      </c>
      <c r="BA109">
        <v>96</v>
      </c>
      <c r="BB109" t="s">
        <v>35</v>
      </c>
      <c r="BC109" t="s">
        <v>36</v>
      </c>
      <c r="BD109" s="4">
        <f>HYPERLINK("http://mlb.mlb.com/team/player.jsp?player_id=543939",543939)</f>
        <v>543939</v>
      </c>
      <c r="BE109">
        <v>1459</v>
      </c>
      <c r="BF109">
        <v>459</v>
      </c>
      <c r="BG109">
        <v>411</v>
      </c>
      <c r="BH109">
        <v>354</v>
      </c>
    </row>
    <row r="110" spans="1:60" x14ac:dyDescent="0.3">
      <c r="A110" s="4">
        <f>HYPERLINK("http://legacy.baseballprospectus.com/p/50312",50312)</f>
        <v>50312</v>
      </c>
      <c r="B110" t="s">
        <v>532</v>
      </c>
      <c r="C110" t="s">
        <v>232</v>
      </c>
      <c r="D110" s="10">
        <v>31138</v>
      </c>
      <c r="E110" t="s">
        <v>58</v>
      </c>
      <c r="F110" t="s">
        <v>9</v>
      </c>
      <c r="G110" t="s">
        <v>33</v>
      </c>
      <c r="H110">
        <v>73</v>
      </c>
      <c r="I110">
        <v>220</v>
      </c>
      <c r="J110">
        <v>2018</v>
      </c>
      <c r="K110" s="4" t="str">
        <f>HYPERLINK("http://legacy.baseballprospectus.com/fantasy/dc/index.php?tm=WAS","WAS")</f>
        <v>WAS</v>
      </c>
      <c r="L110" t="s">
        <v>100</v>
      </c>
      <c r="M110" t="s">
        <v>34</v>
      </c>
      <c r="N110">
        <v>33</v>
      </c>
      <c r="O110">
        <v>453</v>
      </c>
      <c r="P110">
        <v>107</v>
      </c>
      <c r="Q110">
        <v>419</v>
      </c>
      <c r="R110">
        <v>53</v>
      </c>
      <c r="S110">
        <v>84</v>
      </c>
      <c r="T110">
        <v>28</v>
      </c>
      <c r="U110">
        <v>2</v>
      </c>
      <c r="V110">
        <v>13</v>
      </c>
      <c r="W110">
        <v>127</v>
      </c>
      <c r="X110">
        <v>198</v>
      </c>
      <c r="Y110">
        <v>58</v>
      </c>
      <c r="Z110">
        <v>27</v>
      </c>
      <c r="AA110">
        <v>5</v>
      </c>
      <c r="AB110">
        <v>3</v>
      </c>
      <c r="AC110">
        <v>53</v>
      </c>
      <c r="AD110">
        <v>0</v>
      </c>
      <c r="AE110">
        <v>3</v>
      </c>
      <c r="AF110">
        <v>11</v>
      </c>
      <c r="AG110">
        <v>3</v>
      </c>
      <c r="AH110">
        <v>1</v>
      </c>
      <c r="AI110" s="5">
        <v>0.30299999999999999</v>
      </c>
      <c r="AJ110" s="5">
        <v>0.34699999999999998</v>
      </c>
      <c r="AK110" s="5">
        <v>0.47299999999999998</v>
      </c>
      <c r="AL110" s="5">
        <v>0.27200000000000002</v>
      </c>
      <c r="AM110" s="5">
        <v>0.317</v>
      </c>
      <c r="AN110">
        <v>-0.7</v>
      </c>
      <c r="AO110">
        <v>2.35</v>
      </c>
      <c r="AP110">
        <v>12.16</v>
      </c>
      <c r="AQ110">
        <v>5.59</v>
      </c>
      <c r="AR110">
        <v>-1.7</v>
      </c>
      <c r="AS110" t="s">
        <v>1027</v>
      </c>
      <c r="AT110">
        <v>1.8</v>
      </c>
      <c r="AU110">
        <v>19.399999999999999</v>
      </c>
      <c r="AV110">
        <v>2</v>
      </c>
      <c r="AW110">
        <v>30</v>
      </c>
      <c r="AX110">
        <v>4</v>
      </c>
      <c r="AY110">
        <v>9</v>
      </c>
      <c r="AZ110" t="s">
        <v>3600</v>
      </c>
      <c r="BA110">
        <v>97</v>
      </c>
      <c r="BB110" t="s">
        <v>35</v>
      </c>
      <c r="BC110" t="s">
        <v>36</v>
      </c>
      <c r="BD110" s="4">
        <f>HYPERLINK("http://mlb.mlb.com/team/player.jsp?player_id=502517",502517)</f>
        <v>502517</v>
      </c>
      <c r="BE110">
        <v>1447</v>
      </c>
      <c r="BF110">
        <v>447</v>
      </c>
      <c r="BG110">
        <v>593</v>
      </c>
      <c r="BH110">
        <v>534</v>
      </c>
    </row>
    <row r="111" spans="1:60" x14ac:dyDescent="0.3">
      <c r="A111" s="4">
        <f>HYPERLINK("http://legacy.baseballprospectus.com/p/102653",102653)</f>
        <v>102653</v>
      </c>
      <c r="B111" t="s">
        <v>1731</v>
      </c>
      <c r="C111" t="s">
        <v>874</v>
      </c>
      <c r="D111" s="10">
        <v>33681</v>
      </c>
      <c r="E111" t="s">
        <v>59</v>
      </c>
      <c r="F111" t="s">
        <v>33</v>
      </c>
      <c r="G111" t="s">
        <v>33</v>
      </c>
      <c r="H111">
        <v>76</v>
      </c>
      <c r="I111">
        <v>215</v>
      </c>
      <c r="J111">
        <v>2018</v>
      </c>
      <c r="K111" s="4" t="str">
        <f>HYPERLINK("http://legacy.baseballprospectus.com/fantasy/dc/index.php?tm=BAL","BAL")</f>
        <v>BAL</v>
      </c>
      <c r="L111" t="s">
        <v>95</v>
      </c>
      <c r="M111" t="s">
        <v>34</v>
      </c>
      <c r="N111">
        <v>26</v>
      </c>
      <c r="O111">
        <v>538</v>
      </c>
      <c r="P111">
        <v>143</v>
      </c>
      <c r="Q111">
        <v>494</v>
      </c>
      <c r="R111">
        <v>67</v>
      </c>
      <c r="S111">
        <v>87</v>
      </c>
      <c r="T111">
        <v>25</v>
      </c>
      <c r="U111">
        <v>3</v>
      </c>
      <c r="V111">
        <v>23</v>
      </c>
      <c r="W111">
        <v>138</v>
      </c>
      <c r="X111">
        <v>238</v>
      </c>
      <c r="Y111">
        <v>78</v>
      </c>
      <c r="Z111">
        <v>36</v>
      </c>
      <c r="AA111">
        <v>2</v>
      </c>
      <c r="AB111">
        <v>5</v>
      </c>
      <c r="AC111">
        <v>131</v>
      </c>
      <c r="AD111">
        <v>0</v>
      </c>
      <c r="AE111">
        <v>2</v>
      </c>
      <c r="AF111">
        <v>14</v>
      </c>
      <c r="AG111">
        <v>1</v>
      </c>
      <c r="AH111">
        <v>0</v>
      </c>
      <c r="AI111" s="5">
        <v>0.27900000000000003</v>
      </c>
      <c r="AJ111" s="5">
        <v>0.33300000000000002</v>
      </c>
      <c r="AK111" s="5">
        <v>0.48199999999999998</v>
      </c>
      <c r="AL111" s="5">
        <v>0.27500000000000002</v>
      </c>
      <c r="AM111" s="5">
        <v>0.33300000000000002</v>
      </c>
      <c r="AN111">
        <v>-0.7</v>
      </c>
      <c r="AO111">
        <v>-3.54</v>
      </c>
      <c r="AP111">
        <v>14.44</v>
      </c>
      <c r="AQ111">
        <v>8.41</v>
      </c>
      <c r="AR111">
        <v>-0.3</v>
      </c>
      <c r="AS111" t="s">
        <v>1703</v>
      </c>
      <c r="AT111">
        <v>1.8</v>
      </c>
      <c r="AU111">
        <v>18.600000000000001</v>
      </c>
      <c r="AV111">
        <v>5</v>
      </c>
      <c r="AW111">
        <v>38</v>
      </c>
      <c r="AX111">
        <v>11</v>
      </c>
      <c r="AY111">
        <v>22</v>
      </c>
      <c r="AZ111" t="s">
        <v>3620</v>
      </c>
      <c r="BA111">
        <v>80</v>
      </c>
      <c r="BB111" t="s">
        <v>35</v>
      </c>
      <c r="BC111" t="s">
        <v>36</v>
      </c>
      <c r="BD111" s="4">
        <f>HYPERLINK("http://mlb.mlb.com/team/player.jsp?player_id=641820",641820)</f>
        <v>641820</v>
      </c>
      <c r="BE111">
        <v>571</v>
      </c>
      <c r="BF111">
        <v>1571</v>
      </c>
      <c r="BG111">
        <v>586</v>
      </c>
      <c r="BH111">
        <v>543</v>
      </c>
    </row>
    <row r="112" spans="1:60" x14ac:dyDescent="0.3">
      <c r="A112" s="4">
        <f>HYPERLINK("http://legacy.baseballprospectus.com/p/102559",102559)</f>
        <v>102559</v>
      </c>
      <c r="B112" t="s">
        <v>268</v>
      </c>
      <c r="C112" t="s">
        <v>135</v>
      </c>
      <c r="D112" s="10">
        <v>34710</v>
      </c>
      <c r="E112" t="s">
        <v>53</v>
      </c>
      <c r="F112" t="s">
        <v>9</v>
      </c>
      <c r="G112" t="s">
        <v>33</v>
      </c>
      <c r="H112">
        <v>74</v>
      </c>
      <c r="I112">
        <v>180</v>
      </c>
      <c r="J112">
        <v>2018</v>
      </c>
      <c r="K112" s="4" t="str">
        <f>HYPERLINK("http://legacy.baseballprospectus.com/fantasy/dc/index.php?tm=PHI","PHI")</f>
        <v>PHI</v>
      </c>
      <c r="L112" t="s">
        <v>100</v>
      </c>
      <c r="M112" t="s">
        <v>34</v>
      </c>
      <c r="N112">
        <v>23</v>
      </c>
      <c r="O112">
        <v>566</v>
      </c>
      <c r="P112">
        <v>154</v>
      </c>
      <c r="Q112">
        <v>489</v>
      </c>
      <c r="R112">
        <v>67</v>
      </c>
      <c r="S112">
        <v>77</v>
      </c>
      <c r="T112">
        <v>21</v>
      </c>
      <c r="U112">
        <v>4</v>
      </c>
      <c r="V112">
        <v>15</v>
      </c>
      <c r="W112">
        <v>117</v>
      </c>
      <c r="X112">
        <v>191</v>
      </c>
      <c r="Y112">
        <v>61</v>
      </c>
      <c r="Z112">
        <v>71</v>
      </c>
      <c r="AA112">
        <v>2</v>
      </c>
      <c r="AB112">
        <v>2</v>
      </c>
      <c r="AC112">
        <v>111</v>
      </c>
      <c r="AD112">
        <v>2</v>
      </c>
      <c r="AE112">
        <v>2</v>
      </c>
      <c r="AF112">
        <v>13</v>
      </c>
      <c r="AG112">
        <v>5</v>
      </c>
      <c r="AH112">
        <v>3</v>
      </c>
      <c r="AI112" s="5">
        <v>0.23899999999999999</v>
      </c>
      <c r="AJ112" s="5">
        <v>0.33700000000000002</v>
      </c>
      <c r="AK112" s="5">
        <v>0.39100000000000001</v>
      </c>
      <c r="AL112" s="5">
        <v>0.25600000000000001</v>
      </c>
      <c r="AM112" s="5">
        <v>0.27800000000000002</v>
      </c>
      <c r="AN112">
        <v>-0.4</v>
      </c>
      <c r="AO112">
        <v>3.9</v>
      </c>
      <c r="AP112">
        <v>15.2</v>
      </c>
      <c r="AQ112">
        <v>-2.4500000000000002</v>
      </c>
      <c r="AR112">
        <v>1.7</v>
      </c>
      <c r="AS112" t="s">
        <v>67</v>
      </c>
      <c r="AT112">
        <v>1.8</v>
      </c>
      <c r="AU112">
        <v>16.2</v>
      </c>
      <c r="AV112">
        <v>2</v>
      </c>
      <c r="AW112">
        <v>29</v>
      </c>
      <c r="AX112">
        <v>6</v>
      </c>
      <c r="AY112">
        <v>17</v>
      </c>
      <c r="AZ112" t="s">
        <v>3633</v>
      </c>
      <c r="BA112">
        <v>51</v>
      </c>
      <c r="BB112" t="s">
        <v>35</v>
      </c>
      <c r="BC112" t="s">
        <v>35</v>
      </c>
      <c r="BD112" s="4">
        <f>HYPERLINK("http://mlb.mlb.com/team/player.jsp?player_id=641487",641487)</f>
        <v>641487</v>
      </c>
      <c r="BE112">
        <v>1545</v>
      </c>
      <c r="BF112">
        <v>545</v>
      </c>
      <c r="BG112">
        <v>87</v>
      </c>
      <c r="BH112">
        <v>70</v>
      </c>
    </row>
    <row r="113" spans="1:60" x14ac:dyDescent="0.3">
      <c r="A113" s="4">
        <f>HYPERLINK("http://legacy.baseballprospectus.com/p/100988",100988)</f>
        <v>100988</v>
      </c>
      <c r="B113" t="s">
        <v>1256</v>
      </c>
      <c r="C113" t="s">
        <v>949</v>
      </c>
      <c r="D113" s="10">
        <v>34605</v>
      </c>
      <c r="E113" t="s">
        <v>65</v>
      </c>
      <c r="F113" t="s">
        <v>33</v>
      </c>
      <c r="G113" t="s">
        <v>33</v>
      </c>
      <c r="H113">
        <v>71</v>
      </c>
      <c r="I113">
        <v>180</v>
      </c>
      <c r="J113">
        <v>2018</v>
      </c>
      <c r="K113" s="4" t="str">
        <f>HYPERLINK("http://legacy.baseballprospectus.com/fantasy/dc/index.php?tm=SDN","SDN")</f>
        <v>SDN</v>
      </c>
      <c r="L113" t="s">
        <v>100</v>
      </c>
      <c r="M113" t="s">
        <v>34</v>
      </c>
      <c r="N113">
        <v>23</v>
      </c>
      <c r="O113">
        <v>629</v>
      </c>
      <c r="P113">
        <v>154</v>
      </c>
      <c r="Q113">
        <v>581</v>
      </c>
      <c r="R113">
        <v>80</v>
      </c>
      <c r="S113">
        <v>100</v>
      </c>
      <c r="T113">
        <v>25</v>
      </c>
      <c r="U113">
        <v>8</v>
      </c>
      <c r="V113">
        <v>12</v>
      </c>
      <c r="W113">
        <v>145</v>
      </c>
      <c r="X113">
        <v>222</v>
      </c>
      <c r="Y113">
        <v>55</v>
      </c>
      <c r="Z113">
        <v>38</v>
      </c>
      <c r="AA113">
        <v>1</v>
      </c>
      <c r="AB113">
        <v>3</v>
      </c>
      <c r="AC113">
        <v>116</v>
      </c>
      <c r="AD113">
        <v>4</v>
      </c>
      <c r="AE113">
        <v>4</v>
      </c>
      <c r="AF113">
        <v>13</v>
      </c>
      <c r="AG113">
        <v>23</v>
      </c>
      <c r="AH113">
        <v>8</v>
      </c>
      <c r="AI113" s="5">
        <v>0.25</v>
      </c>
      <c r="AJ113" s="5">
        <v>0.29699999999999999</v>
      </c>
      <c r="AK113" s="5">
        <v>0.38200000000000001</v>
      </c>
      <c r="AL113" s="5">
        <v>0.247</v>
      </c>
      <c r="AM113" s="5">
        <v>0.28799999999999998</v>
      </c>
      <c r="AN113">
        <v>2.5</v>
      </c>
      <c r="AO113">
        <v>0.92</v>
      </c>
      <c r="AP113">
        <v>16.89</v>
      </c>
      <c r="AQ113">
        <v>-8.84</v>
      </c>
      <c r="AR113">
        <v>6.5</v>
      </c>
      <c r="AS113" t="s">
        <v>4988</v>
      </c>
      <c r="AT113">
        <v>1.8</v>
      </c>
      <c r="AU113">
        <v>11.5</v>
      </c>
      <c r="AV113">
        <v>4</v>
      </c>
      <c r="AW113">
        <v>42</v>
      </c>
      <c r="AX113">
        <v>3</v>
      </c>
      <c r="AY113">
        <v>14</v>
      </c>
      <c r="AZ113" t="s">
        <v>3628</v>
      </c>
      <c r="BA113">
        <v>65</v>
      </c>
      <c r="BB113" t="s">
        <v>35</v>
      </c>
      <c r="BC113" t="s">
        <v>36</v>
      </c>
      <c r="BD113" s="4">
        <f>HYPERLINK("http://mlb.mlb.com/team/player.jsp?player_id=622534",622534)</f>
        <v>622534</v>
      </c>
      <c r="BE113">
        <v>1589</v>
      </c>
      <c r="BF113">
        <v>589</v>
      </c>
      <c r="BG113">
        <v>529</v>
      </c>
      <c r="BH113">
        <v>487</v>
      </c>
    </row>
    <row r="114" spans="1:60" x14ac:dyDescent="0.3">
      <c r="A114" s="4">
        <f>HYPERLINK("http://legacy.baseballprospectus.com/p/100653",100653)</f>
        <v>100653</v>
      </c>
      <c r="B114" t="s">
        <v>1863</v>
      </c>
      <c r="C114" t="s">
        <v>1397</v>
      </c>
      <c r="D114" s="10">
        <v>34436</v>
      </c>
      <c r="E114" t="s">
        <v>54</v>
      </c>
      <c r="F114" t="s">
        <v>33</v>
      </c>
      <c r="G114" t="s">
        <v>33</v>
      </c>
      <c r="H114">
        <v>72</v>
      </c>
      <c r="I114">
        <v>210</v>
      </c>
      <c r="J114">
        <v>2018</v>
      </c>
      <c r="K114" s="4" t="str">
        <f>HYPERLINK("http://legacy.baseballprospectus.com/fantasy/dc/index.php?tm=NYN","NYN")</f>
        <v>NYN</v>
      </c>
      <c r="L114" t="s">
        <v>100</v>
      </c>
      <c r="M114" t="s">
        <v>34</v>
      </c>
      <c r="N114">
        <v>24</v>
      </c>
      <c r="O114">
        <v>250</v>
      </c>
      <c r="P114" t="s">
        <v>1680</v>
      </c>
      <c r="Q114">
        <v>234</v>
      </c>
      <c r="R114">
        <v>24</v>
      </c>
      <c r="S114">
        <v>35</v>
      </c>
      <c r="T114">
        <v>12</v>
      </c>
      <c r="U114">
        <v>0</v>
      </c>
      <c r="V114">
        <v>8</v>
      </c>
      <c r="W114">
        <v>55</v>
      </c>
      <c r="X114">
        <v>91</v>
      </c>
      <c r="Y114">
        <v>30</v>
      </c>
      <c r="Z114">
        <v>13</v>
      </c>
      <c r="AA114">
        <v>1</v>
      </c>
      <c r="AB114">
        <v>1</v>
      </c>
      <c r="AC114">
        <v>59</v>
      </c>
      <c r="AD114">
        <v>1</v>
      </c>
      <c r="AE114">
        <v>2</v>
      </c>
      <c r="AF114">
        <v>9</v>
      </c>
      <c r="AG114">
        <v>0</v>
      </c>
      <c r="AH114">
        <v>0</v>
      </c>
      <c r="AI114" s="5">
        <v>0.23599999999999999</v>
      </c>
      <c r="AJ114" s="5">
        <v>0.27700000000000002</v>
      </c>
      <c r="AK114" s="5">
        <v>0.39</v>
      </c>
      <c r="AL114" s="5">
        <v>0.22500000000000001</v>
      </c>
      <c r="AM114" s="5">
        <v>0.27900000000000003</v>
      </c>
      <c r="AN114">
        <v>-0.5</v>
      </c>
      <c r="AO114">
        <v>5.21</v>
      </c>
      <c r="AP114">
        <v>7</v>
      </c>
      <c r="AQ114">
        <v>-9.1</v>
      </c>
      <c r="AR114">
        <v>14.1</v>
      </c>
      <c r="AS114" t="s">
        <v>2169</v>
      </c>
      <c r="AT114">
        <v>1.8</v>
      </c>
      <c r="AU114">
        <v>2.6</v>
      </c>
      <c r="AV114">
        <v>7</v>
      </c>
      <c r="AW114">
        <v>26</v>
      </c>
      <c r="AX114">
        <v>4</v>
      </c>
      <c r="AY114">
        <v>26</v>
      </c>
      <c r="AZ114" t="s">
        <v>3635</v>
      </c>
      <c r="BA114">
        <v>31</v>
      </c>
      <c r="BB114" t="s">
        <v>36</v>
      </c>
      <c r="BC114" t="s">
        <v>35</v>
      </c>
      <c r="BD114" s="4">
        <f>HYPERLINK("http://mlb.mlb.com/team/player.jsp?player_id=621512",621512)</f>
        <v>621512</v>
      </c>
      <c r="BE114">
        <v>1409</v>
      </c>
      <c r="BF114">
        <v>409</v>
      </c>
      <c r="BG114">
        <v>10</v>
      </c>
      <c r="BH114">
        <v>10</v>
      </c>
    </row>
    <row r="115" spans="1:60" x14ac:dyDescent="0.3">
      <c r="A115" s="4">
        <f>HYPERLINK("http://legacy.baseballprospectus.com/p/102282",102282)</f>
        <v>102282</v>
      </c>
      <c r="B115" t="s">
        <v>1540</v>
      </c>
      <c r="C115" t="s">
        <v>1684</v>
      </c>
      <c r="D115" s="10">
        <v>31872</v>
      </c>
      <c r="E115" t="s">
        <v>51</v>
      </c>
      <c r="F115" t="s">
        <v>33</v>
      </c>
      <c r="G115" t="s">
        <v>33</v>
      </c>
      <c r="H115">
        <v>72</v>
      </c>
      <c r="I115">
        <v>210</v>
      </c>
      <c r="J115">
        <v>2018</v>
      </c>
      <c r="K115" s="4" t="str">
        <f>HYPERLINK("http://legacy.baseballprospectus.com/fantasy/dc/index.php?tm=PIT","PIT")</f>
        <v>PIT</v>
      </c>
      <c r="L115" t="s">
        <v>100</v>
      </c>
      <c r="M115" t="s">
        <v>34</v>
      </c>
      <c r="N115">
        <v>31</v>
      </c>
      <c r="O115">
        <v>250</v>
      </c>
      <c r="P115" t="s">
        <v>1680</v>
      </c>
      <c r="Q115">
        <v>221</v>
      </c>
      <c r="R115">
        <v>32</v>
      </c>
      <c r="S115">
        <v>34</v>
      </c>
      <c r="T115">
        <v>12</v>
      </c>
      <c r="U115">
        <v>1</v>
      </c>
      <c r="V115">
        <v>11</v>
      </c>
      <c r="W115">
        <v>58</v>
      </c>
      <c r="X115">
        <v>105</v>
      </c>
      <c r="Y115">
        <v>36</v>
      </c>
      <c r="Z115">
        <v>21</v>
      </c>
      <c r="AA115">
        <v>0</v>
      </c>
      <c r="AB115">
        <v>7</v>
      </c>
      <c r="AC115">
        <v>55</v>
      </c>
      <c r="AD115">
        <v>0</v>
      </c>
      <c r="AE115">
        <v>1</v>
      </c>
      <c r="AF115">
        <v>6</v>
      </c>
      <c r="AG115">
        <v>2</v>
      </c>
      <c r="AH115">
        <v>1</v>
      </c>
      <c r="AI115" s="5">
        <v>0.26</v>
      </c>
      <c r="AJ115" s="5">
        <v>0.34100000000000003</v>
      </c>
      <c r="AK115" s="5">
        <v>0.46800000000000003</v>
      </c>
      <c r="AL115" s="5">
        <v>0.27400000000000002</v>
      </c>
      <c r="AM115" s="5">
        <v>0.29599999999999999</v>
      </c>
      <c r="AN115">
        <v>-0.4</v>
      </c>
      <c r="AO115">
        <v>1.52</v>
      </c>
      <c r="AP115">
        <v>7</v>
      </c>
      <c r="AQ115">
        <v>3.55</v>
      </c>
      <c r="AR115">
        <v>4.0999999999999996</v>
      </c>
      <c r="AS115" t="s">
        <v>1011</v>
      </c>
      <c r="AT115">
        <v>1.7</v>
      </c>
      <c r="AU115">
        <v>11.6</v>
      </c>
      <c r="AV115">
        <v>0</v>
      </c>
      <c r="AW115">
        <v>36</v>
      </c>
      <c r="AX115">
        <v>8</v>
      </c>
      <c r="AY115">
        <v>7</v>
      </c>
      <c r="AZ115" t="s">
        <v>3652</v>
      </c>
      <c r="BA115">
        <v>97</v>
      </c>
      <c r="BB115" t="s">
        <v>36</v>
      </c>
      <c r="BC115" t="s">
        <v>36</v>
      </c>
      <c r="BD115" s="4">
        <f>HYPERLINK("http://mlb.mlb.com/team/player.jsp?player_id=628356",628356)</f>
        <v>628356</v>
      </c>
      <c r="BE115">
        <v>0</v>
      </c>
      <c r="BF115">
        <v>0</v>
      </c>
      <c r="BG115">
        <v>0</v>
      </c>
      <c r="BH115">
        <v>0</v>
      </c>
    </row>
    <row r="116" spans="1:60" x14ac:dyDescent="0.3">
      <c r="A116" s="4">
        <f>HYPERLINK("http://legacy.baseballprospectus.com/p/57396",57396)</f>
        <v>57396</v>
      </c>
      <c r="B116" t="s">
        <v>422</v>
      </c>
      <c r="C116" t="s">
        <v>156</v>
      </c>
      <c r="D116" s="10">
        <v>32729</v>
      </c>
      <c r="E116" t="s">
        <v>57</v>
      </c>
      <c r="F116" t="s">
        <v>9</v>
      </c>
      <c r="G116" t="s">
        <v>9</v>
      </c>
      <c r="H116">
        <v>77</v>
      </c>
      <c r="I116">
        <v>240</v>
      </c>
      <c r="J116">
        <v>2018</v>
      </c>
      <c r="K116" s="4" t="str">
        <f>HYPERLINK("http://legacy.baseballprospectus.com/fantasy/dc/index.php?tm=CHN","CHN")</f>
        <v>CHN</v>
      </c>
      <c r="L116" t="s">
        <v>100</v>
      </c>
      <c r="M116" t="s">
        <v>34</v>
      </c>
      <c r="N116">
        <v>28</v>
      </c>
      <c r="O116">
        <v>495</v>
      </c>
      <c r="P116">
        <v>121</v>
      </c>
      <c r="Q116">
        <v>439</v>
      </c>
      <c r="R116">
        <v>60</v>
      </c>
      <c r="S116">
        <v>80</v>
      </c>
      <c r="T116">
        <v>22</v>
      </c>
      <c r="U116">
        <v>2</v>
      </c>
      <c r="V116">
        <v>11</v>
      </c>
      <c r="W116">
        <v>115</v>
      </c>
      <c r="X116">
        <v>174</v>
      </c>
      <c r="Y116">
        <v>52</v>
      </c>
      <c r="Z116">
        <v>49</v>
      </c>
      <c r="AA116">
        <v>2</v>
      </c>
      <c r="AB116">
        <v>5</v>
      </c>
      <c r="AC116">
        <v>73</v>
      </c>
      <c r="AD116">
        <v>0</v>
      </c>
      <c r="AE116">
        <v>2</v>
      </c>
      <c r="AF116">
        <v>10</v>
      </c>
      <c r="AG116">
        <v>10</v>
      </c>
      <c r="AH116">
        <v>3</v>
      </c>
      <c r="AI116" s="5">
        <v>0.26200000000000001</v>
      </c>
      <c r="AJ116" s="5">
        <v>0.34100000000000003</v>
      </c>
      <c r="AK116" s="5">
        <v>0.39600000000000002</v>
      </c>
      <c r="AL116" s="5">
        <v>0.25800000000000001</v>
      </c>
      <c r="AM116" s="5">
        <v>0.29099999999999998</v>
      </c>
      <c r="AN116">
        <v>0.3</v>
      </c>
      <c r="AO116">
        <v>-1.76</v>
      </c>
      <c r="AP116">
        <v>13.29</v>
      </c>
      <c r="AQ116">
        <v>-0.91</v>
      </c>
      <c r="AR116">
        <v>5.8</v>
      </c>
      <c r="AS116" t="s">
        <v>4826</v>
      </c>
      <c r="AT116">
        <v>1.7</v>
      </c>
      <c r="AU116">
        <v>10.9</v>
      </c>
      <c r="AV116">
        <v>3</v>
      </c>
      <c r="AW116">
        <v>59</v>
      </c>
      <c r="AX116">
        <v>7</v>
      </c>
      <c r="AY116">
        <v>16</v>
      </c>
      <c r="AZ116" t="s">
        <v>3671</v>
      </c>
      <c r="BA116">
        <v>95</v>
      </c>
      <c r="BB116" t="s">
        <v>35</v>
      </c>
      <c r="BC116" t="s">
        <v>36</v>
      </c>
      <c r="BD116" s="4">
        <f>HYPERLINK("http://mlb.mlb.com/team/player.jsp?player_id=518792",518792)</f>
        <v>518792</v>
      </c>
      <c r="BE116">
        <v>1594</v>
      </c>
      <c r="BF116">
        <v>594</v>
      </c>
      <c r="BG116">
        <v>481</v>
      </c>
      <c r="BH116">
        <v>432</v>
      </c>
    </row>
    <row r="117" spans="1:60" x14ac:dyDescent="0.3">
      <c r="A117" s="4">
        <f>HYPERLINK("http://legacy.baseballprospectus.com/p/70633",70633)</f>
        <v>70633</v>
      </c>
      <c r="B117" t="s">
        <v>196</v>
      </c>
      <c r="C117" t="s">
        <v>916</v>
      </c>
      <c r="D117" s="10">
        <v>34357</v>
      </c>
      <c r="E117" t="s">
        <v>53</v>
      </c>
      <c r="F117" t="s">
        <v>33</v>
      </c>
      <c r="G117" t="s">
        <v>33</v>
      </c>
      <c r="H117">
        <v>72</v>
      </c>
      <c r="I117">
        <v>200</v>
      </c>
      <c r="J117">
        <v>2018</v>
      </c>
      <c r="K117" s="4" t="str">
        <f>HYPERLINK("http://legacy.baseballprospectus.com/fantasy/dc/index.php?tm=CHN","CHN")</f>
        <v>CHN</v>
      </c>
      <c r="L117" t="s">
        <v>100</v>
      </c>
      <c r="M117" t="s">
        <v>34</v>
      </c>
      <c r="N117">
        <v>24</v>
      </c>
      <c r="O117">
        <v>556</v>
      </c>
      <c r="P117">
        <v>148</v>
      </c>
      <c r="Q117">
        <v>501</v>
      </c>
      <c r="R117">
        <v>64</v>
      </c>
      <c r="S117">
        <v>75</v>
      </c>
      <c r="T117">
        <v>28</v>
      </c>
      <c r="U117">
        <v>2</v>
      </c>
      <c r="V117">
        <v>18</v>
      </c>
      <c r="W117">
        <v>123</v>
      </c>
      <c r="X117">
        <v>209</v>
      </c>
      <c r="Y117">
        <v>69</v>
      </c>
      <c r="Z117">
        <v>46</v>
      </c>
      <c r="AA117">
        <v>5</v>
      </c>
      <c r="AB117">
        <v>7</v>
      </c>
      <c r="AC117">
        <v>133</v>
      </c>
      <c r="AD117">
        <v>0</v>
      </c>
      <c r="AE117">
        <v>2</v>
      </c>
      <c r="AF117">
        <v>11</v>
      </c>
      <c r="AG117">
        <v>4</v>
      </c>
      <c r="AH117">
        <v>2</v>
      </c>
      <c r="AI117" s="5">
        <v>0.246</v>
      </c>
      <c r="AJ117" s="5">
        <v>0.317</v>
      </c>
      <c r="AK117" s="5">
        <v>0.41699999999999998</v>
      </c>
      <c r="AL117" s="5">
        <v>0.251</v>
      </c>
      <c r="AM117" s="5">
        <v>0.29799999999999999</v>
      </c>
      <c r="AN117">
        <v>-0.6</v>
      </c>
      <c r="AO117">
        <v>3.83</v>
      </c>
      <c r="AP117">
        <v>14.93</v>
      </c>
      <c r="AQ117">
        <v>-5.01</v>
      </c>
      <c r="AR117">
        <v>4</v>
      </c>
      <c r="AS117" t="s">
        <v>1334</v>
      </c>
      <c r="AT117">
        <v>1.7</v>
      </c>
      <c r="AU117">
        <v>13.2</v>
      </c>
      <c r="AV117">
        <v>4</v>
      </c>
      <c r="AW117">
        <v>55</v>
      </c>
      <c r="AX117">
        <v>1</v>
      </c>
      <c r="AY117">
        <v>9</v>
      </c>
      <c r="AZ117" t="s">
        <v>3622</v>
      </c>
      <c r="BA117">
        <v>98</v>
      </c>
      <c r="BB117" t="s">
        <v>35</v>
      </c>
      <c r="BC117" t="s">
        <v>36</v>
      </c>
      <c r="BD117" s="4">
        <f>HYPERLINK("http://mlb.mlb.com/team/player.jsp?player_id=608365",608365)</f>
        <v>608365</v>
      </c>
      <c r="BE117">
        <v>1531</v>
      </c>
      <c r="BF117">
        <v>531</v>
      </c>
      <c r="BG117">
        <v>385</v>
      </c>
      <c r="BH117">
        <v>352</v>
      </c>
    </row>
    <row r="118" spans="1:60" x14ac:dyDescent="0.3">
      <c r="A118" s="4">
        <f>HYPERLINK("http://legacy.baseballprospectus.com/p/59339",59339)</f>
        <v>59339</v>
      </c>
      <c r="B118" t="s">
        <v>470</v>
      </c>
      <c r="C118" t="s">
        <v>471</v>
      </c>
      <c r="D118" s="10">
        <v>32337</v>
      </c>
      <c r="E118" t="s">
        <v>58</v>
      </c>
      <c r="F118" t="s">
        <v>33</v>
      </c>
      <c r="G118" t="s">
        <v>33</v>
      </c>
      <c r="H118">
        <v>76</v>
      </c>
      <c r="I118">
        <v>215</v>
      </c>
      <c r="J118">
        <v>2018</v>
      </c>
      <c r="K118" s="4" t="str">
        <f>HYPERLINK("http://legacy.baseballprospectus.com/fantasy/dc/index.php?tm=COL","COL")</f>
        <v>COL</v>
      </c>
      <c r="L118" t="s">
        <v>100</v>
      </c>
      <c r="M118" t="s">
        <v>34</v>
      </c>
      <c r="N118">
        <v>29</v>
      </c>
      <c r="O118">
        <v>616</v>
      </c>
      <c r="P118">
        <v>152</v>
      </c>
      <c r="Q118">
        <v>556</v>
      </c>
      <c r="R118">
        <v>74</v>
      </c>
      <c r="S118">
        <v>123</v>
      </c>
      <c r="T118">
        <v>25</v>
      </c>
      <c r="U118">
        <v>5</v>
      </c>
      <c r="V118">
        <v>7</v>
      </c>
      <c r="W118">
        <v>160</v>
      </c>
      <c r="X118">
        <v>216</v>
      </c>
      <c r="Y118">
        <v>52</v>
      </c>
      <c r="Z118">
        <v>49</v>
      </c>
      <c r="AA118">
        <v>2</v>
      </c>
      <c r="AB118">
        <v>3</v>
      </c>
      <c r="AC118">
        <v>96</v>
      </c>
      <c r="AD118">
        <v>5</v>
      </c>
      <c r="AE118">
        <v>3</v>
      </c>
      <c r="AF118">
        <v>22</v>
      </c>
      <c r="AG118">
        <v>10</v>
      </c>
      <c r="AH118">
        <v>5</v>
      </c>
      <c r="AI118" s="5">
        <v>0.28799999999999998</v>
      </c>
      <c r="AJ118" s="5">
        <v>0.34699999999999998</v>
      </c>
      <c r="AK118" s="5">
        <v>0.38800000000000001</v>
      </c>
      <c r="AL118" s="5">
        <v>0.248</v>
      </c>
      <c r="AM118" s="5">
        <v>0.33100000000000002</v>
      </c>
      <c r="AN118">
        <v>-0.2</v>
      </c>
      <c r="AO118">
        <v>3.19</v>
      </c>
      <c r="AP118">
        <v>16.54</v>
      </c>
      <c r="AQ118">
        <v>-7.83</v>
      </c>
      <c r="AR118">
        <v>5.7</v>
      </c>
      <c r="AS118" t="s">
        <v>3573</v>
      </c>
      <c r="AT118">
        <v>1.7</v>
      </c>
      <c r="AU118">
        <v>11.7</v>
      </c>
      <c r="AV118">
        <v>1</v>
      </c>
      <c r="AW118">
        <v>50</v>
      </c>
      <c r="AX118">
        <v>8</v>
      </c>
      <c r="AY118">
        <v>12</v>
      </c>
      <c r="AZ118" t="s">
        <v>3655</v>
      </c>
      <c r="BA118">
        <v>98</v>
      </c>
      <c r="BB118" t="s">
        <v>35</v>
      </c>
      <c r="BC118" t="s">
        <v>36</v>
      </c>
      <c r="BD118" s="4">
        <f>HYPERLINK("http://mlb.mlb.com/team/player.jsp?player_id=518934",518934)</f>
        <v>518934</v>
      </c>
      <c r="BE118">
        <v>1446</v>
      </c>
      <c r="BF118">
        <v>446</v>
      </c>
      <c r="BG118">
        <v>682</v>
      </c>
      <c r="BH118">
        <v>609</v>
      </c>
    </row>
    <row r="119" spans="1:60" x14ac:dyDescent="0.3">
      <c r="A119" s="4">
        <f>HYPERLINK("http://legacy.baseballprospectus.com/p/58809",58809)</f>
        <v>58809</v>
      </c>
      <c r="B119" t="s">
        <v>393</v>
      </c>
      <c r="C119" t="s">
        <v>394</v>
      </c>
      <c r="D119" s="10">
        <v>32922</v>
      </c>
      <c r="E119" t="s">
        <v>53</v>
      </c>
      <c r="F119" t="s">
        <v>9</v>
      </c>
      <c r="G119" t="s">
        <v>33</v>
      </c>
      <c r="H119">
        <v>75</v>
      </c>
      <c r="I119">
        <v>205</v>
      </c>
      <c r="J119">
        <v>2018</v>
      </c>
      <c r="K119" s="4" t="str">
        <f>HYPERLINK("http://legacy.baseballprospectus.com/fantasy/dc/index.php?tm=NYA","NYA")</f>
        <v>NYA</v>
      </c>
      <c r="L119" t="s">
        <v>95</v>
      </c>
      <c r="M119" t="s">
        <v>34</v>
      </c>
      <c r="N119">
        <v>28</v>
      </c>
      <c r="O119">
        <v>637</v>
      </c>
      <c r="P119">
        <v>154</v>
      </c>
      <c r="Q119">
        <v>585</v>
      </c>
      <c r="R119">
        <v>69</v>
      </c>
      <c r="S119">
        <v>105</v>
      </c>
      <c r="T119">
        <v>27</v>
      </c>
      <c r="U119">
        <v>3</v>
      </c>
      <c r="V119">
        <v>18</v>
      </c>
      <c r="W119">
        <v>153</v>
      </c>
      <c r="X119">
        <v>240</v>
      </c>
      <c r="Y119">
        <v>75</v>
      </c>
      <c r="Z119">
        <v>37</v>
      </c>
      <c r="AA119">
        <v>3</v>
      </c>
      <c r="AB119">
        <v>7</v>
      </c>
      <c r="AC119">
        <v>94</v>
      </c>
      <c r="AD119">
        <v>3</v>
      </c>
      <c r="AE119">
        <v>4</v>
      </c>
      <c r="AF119">
        <v>10</v>
      </c>
      <c r="AG119">
        <v>5</v>
      </c>
      <c r="AH119">
        <v>2</v>
      </c>
      <c r="AI119" s="5">
        <v>0.26200000000000001</v>
      </c>
      <c r="AJ119" s="5">
        <v>0.311</v>
      </c>
      <c r="AK119" s="5">
        <v>0.41</v>
      </c>
      <c r="AL119" s="5">
        <v>0.253</v>
      </c>
      <c r="AM119" s="5">
        <v>0.28199999999999997</v>
      </c>
      <c r="AN119">
        <v>-0.3</v>
      </c>
      <c r="AO119">
        <v>4.3899999999999997</v>
      </c>
      <c r="AP119">
        <v>17.100000000000001</v>
      </c>
      <c r="AQ119">
        <v>-4.67</v>
      </c>
      <c r="AR119">
        <v>0.3</v>
      </c>
      <c r="AS119" t="s">
        <v>61</v>
      </c>
      <c r="AT119">
        <v>1.7</v>
      </c>
      <c r="AU119">
        <v>16.5</v>
      </c>
      <c r="AV119">
        <v>0</v>
      </c>
      <c r="AW119">
        <v>45</v>
      </c>
      <c r="AX119">
        <v>6</v>
      </c>
      <c r="AY119">
        <v>7</v>
      </c>
      <c r="AZ119" t="s">
        <v>3639</v>
      </c>
      <c r="BA119">
        <v>98</v>
      </c>
      <c r="BB119" t="s">
        <v>35</v>
      </c>
      <c r="BC119" t="s">
        <v>36</v>
      </c>
      <c r="BD119" s="4">
        <f>HYPERLINK("http://mlb.mlb.com/team/player.jsp?player_id=544369",544369)</f>
        <v>544369</v>
      </c>
      <c r="BE119">
        <v>501</v>
      </c>
      <c r="BF119">
        <v>1501</v>
      </c>
      <c r="BG119">
        <v>570</v>
      </c>
      <c r="BH119">
        <v>534</v>
      </c>
    </row>
    <row r="120" spans="1:60" x14ac:dyDescent="0.3">
      <c r="A120" s="4">
        <f>HYPERLINK("http://legacy.baseballprospectus.com/p/100059",100059)</f>
        <v>100059</v>
      </c>
      <c r="B120" t="s">
        <v>1126</v>
      </c>
      <c r="C120" t="s">
        <v>308</v>
      </c>
      <c r="D120" s="10">
        <v>33252</v>
      </c>
      <c r="E120" t="s">
        <v>57</v>
      </c>
      <c r="F120" t="s">
        <v>33</v>
      </c>
      <c r="G120" t="s">
        <v>33</v>
      </c>
      <c r="H120">
        <v>75</v>
      </c>
      <c r="I120">
        <v>210</v>
      </c>
      <c r="J120">
        <v>2018</v>
      </c>
      <c r="K120" s="4" t="str">
        <f>HYPERLINK("http://legacy.baseballprospectus.com/fantasy/dc/index.php?tm=OAK","OAK")</f>
        <v>OAK</v>
      </c>
      <c r="L120" t="s">
        <v>95</v>
      </c>
      <c r="M120" t="s">
        <v>34</v>
      </c>
      <c r="N120">
        <v>27</v>
      </c>
      <c r="O120">
        <v>503</v>
      </c>
      <c r="P120">
        <v>126</v>
      </c>
      <c r="Q120">
        <v>446</v>
      </c>
      <c r="R120">
        <v>61</v>
      </c>
      <c r="S120">
        <v>68</v>
      </c>
      <c r="T120">
        <v>27</v>
      </c>
      <c r="U120">
        <v>3</v>
      </c>
      <c r="V120">
        <v>17</v>
      </c>
      <c r="W120">
        <v>115</v>
      </c>
      <c r="X120">
        <v>199</v>
      </c>
      <c r="Y120">
        <v>65</v>
      </c>
      <c r="Z120">
        <v>49</v>
      </c>
      <c r="AA120">
        <v>1</v>
      </c>
      <c r="AB120">
        <v>6</v>
      </c>
      <c r="AC120">
        <v>109</v>
      </c>
      <c r="AD120">
        <v>0</v>
      </c>
      <c r="AE120">
        <v>2</v>
      </c>
      <c r="AF120">
        <v>16</v>
      </c>
      <c r="AG120">
        <v>5</v>
      </c>
      <c r="AH120">
        <v>4</v>
      </c>
      <c r="AI120" s="5">
        <v>0.25800000000000001</v>
      </c>
      <c r="AJ120" s="5">
        <v>0.33800000000000002</v>
      </c>
      <c r="AK120" s="5">
        <v>0.44600000000000001</v>
      </c>
      <c r="AL120" s="5">
        <v>0.27200000000000002</v>
      </c>
      <c r="AM120" s="5">
        <v>0.30299999999999999</v>
      </c>
      <c r="AN120">
        <v>-1.3</v>
      </c>
      <c r="AO120">
        <v>-1.79</v>
      </c>
      <c r="AP120">
        <v>13.5</v>
      </c>
      <c r="AQ120">
        <v>6.31</v>
      </c>
      <c r="AR120">
        <v>-0.1</v>
      </c>
      <c r="AS120" t="s">
        <v>1341</v>
      </c>
      <c r="AT120">
        <v>1.7</v>
      </c>
      <c r="AU120">
        <v>16.8</v>
      </c>
      <c r="AV120">
        <v>1</v>
      </c>
      <c r="AW120">
        <v>47</v>
      </c>
      <c r="AX120">
        <v>7</v>
      </c>
      <c r="AY120">
        <v>9</v>
      </c>
      <c r="AZ120" t="s">
        <v>3688</v>
      </c>
      <c r="BA120">
        <v>99</v>
      </c>
      <c r="BB120" t="s">
        <v>35</v>
      </c>
      <c r="BC120" t="s">
        <v>36</v>
      </c>
      <c r="BD120" s="4">
        <f>HYPERLINK("http://mlb.mlb.com/team/player.jsp?player_id=572039",572039)</f>
        <v>572039</v>
      </c>
      <c r="BE120">
        <v>591</v>
      </c>
      <c r="BF120">
        <v>1591</v>
      </c>
      <c r="BG120">
        <v>401</v>
      </c>
      <c r="BH120">
        <v>341</v>
      </c>
    </row>
    <row r="121" spans="1:60" x14ac:dyDescent="0.3">
      <c r="A121" s="4">
        <f>HYPERLINK("http://legacy.baseballprospectus.com/p/99903",99903)</f>
        <v>99903</v>
      </c>
      <c r="B121" t="s">
        <v>1125</v>
      </c>
      <c r="C121" t="s">
        <v>142</v>
      </c>
      <c r="D121" s="10">
        <v>33322</v>
      </c>
      <c r="E121" t="s">
        <v>54</v>
      </c>
      <c r="F121" t="s">
        <v>33</v>
      </c>
      <c r="G121" t="s">
        <v>33</v>
      </c>
      <c r="H121">
        <v>74</v>
      </c>
      <c r="I121">
        <v>220</v>
      </c>
      <c r="J121">
        <v>2018</v>
      </c>
      <c r="K121" s="4" t="str">
        <f>HYPERLINK("http://legacy.baseballprospectus.com/fantasy/dc/index.php?tm=SEA","SEA")</f>
        <v>SEA</v>
      </c>
      <c r="L121" t="s">
        <v>95</v>
      </c>
      <c r="M121" t="s">
        <v>34</v>
      </c>
      <c r="N121">
        <v>27</v>
      </c>
      <c r="O121">
        <v>452</v>
      </c>
      <c r="P121">
        <v>128</v>
      </c>
      <c r="Q121">
        <v>405</v>
      </c>
      <c r="R121">
        <v>56</v>
      </c>
      <c r="S121">
        <v>49</v>
      </c>
      <c r="T121">
        <v>18</v>
      </c>
      <c r="U121">
        <v>1</v>
      </c>
      <c r="V121">
        <v>21</v>
      </c>
      <c r="W121">
        <v>89</v>
      </c>
      <c r="X121">
        <v>172</v>
      </c>
      <c r="Y121">
        <v>61</v>
      </c>
      <c r="Z121">
        <v>34</v>
      </c>
      <c r="AA121">
        <v>1</v>
      </c>
      <c r="AB121">
        <v>10</v>
      </c>
      <c r="AC121">
        <v>141</v>
      </c>
      <c r="AD121">
        <v>1</v>
      </c>
      <c r="AE121">
        <v>2</v>
      </c>
      <c r="AF121">
        <v>11</v>
      </c>
      <c r="AG121">
        <v>1</v>
      </c>
      <c r="AH121">
        <v>0</v>
      </c>
      <c r="AI121" s="5">
        <v>0.22</v>
      </c>
      <c r="AJ121" s="5">
        <v>0.29499999999999998</v>
      </c>
      <c r="AK121" s="5">
        <v>0.42499999999999999</v>
      </c>
      <c r="AL121" s="5">
        <v>0.252</v>
      </c>
      <c r="AM121" s="5">
        <v>0.27700000000000002</v>
      </c>
      <c r="AN121">
        <v>-1</v>
      </c>
      <c r="AO121">
        <v>3.44</v>
      </c>
      <c r="AP121">
        <v>12.14</v>
      </c>
      <c r="AQ121">
        <v>-3.8</v>
      </c>
      <c r="AR121">
        <v>5.8</v>
      </c>
      <c r="AS121" t="s">
        <v>4834</v>
      </c>
      <c r="AT121">
        <v>1.7</v>
      </c>
      <c r="AU121">
        <v>10.8</v>
      </c>
      <c r="AV121">
        <v>6</v>
      </c>
      <c r="AW121">
        <v>44</v>
      </c>
      <c r="AX121">
        <v>8</v>
      </c>
      <c r="AY121">
        <v>13</v>
      </c>
      <c r="AZ121" t="s">
        <v>3640</v>
      </c>
      <c r="BA121">
        <v>91</v>
      </c>
      <c r="BB121" t="s">
        <v>35</v>
      </c>
      <c r="BC121" t="s">
        <v>36</v>
      </c>
      <c r="BD121" s="4">
        <f>HYPERLINK("http://mlb.mlb.com/team/player.jsp?player_id=572287",572287)</f>
        <v>572287</v>
      </c>
      <c r="BE121">
        <v>353</v>
      </c>
      <c r="BF121">
        <v>1353</v>
      </c>
      <c r="BG121">
        <v>435</v>
      </c>
      <c r="BH121">
        <v>387</v>
      </c>
    </row>
    <row r="122" spans="1:60" x14ac:dyDescent="0.3">
      <c r="A122" s="4">
        <f>HYPERLINK("http://legacy.baseballprospectus.com/p/103751",103751)</f>
        <v>103751</v>
      </c>
      <c r="B122" t="s">
        <v>1354</v>
      </c>
      <c r="C122" t="s">
        <v>182</v>
      </c>
      <c r="D122" s="10">
        <v>34033</v>
      </c>
      <c r="E122" t="s">
        <v>59</v>
      </c>
      <c r="F122" t="s">
        <v>9</v>
      </c>
      <c r="G122" t="s">
        <v>33</v>
      </c>
      <c r="H122">
        <v>72</v>
      </c>
      <c r="I122">
        <v>235</v>
      </c>
      <c r="J122">
        <v>2018</v>
      </c>
      <c r="K122" s="4" t="str">
        <f>HYPERLINK("http://legacy.baseballprospectus.com/fantasy/dc/index.php?tm=CHN","CHN")</f>
        <v>CHN</v>
      </c>
      <c r="L122" t="s">
        <v>100</v>
      </c>
      <c r="M122" t="s">
        <v>34</v>
      </c>
      <c r="N122">
        <v>25</v>
      </c>
      <c r="O122">
        <v>568</v>
      </c>
      <c r="P122">
        <v>147</v>
      </c>
      <c r="Q122">
        <v>488</v>
      </c>
      <c r="R122">
        <v>91</v>
      </c>
      <c r="S122">
        <v>64</v>
      </c>
      <c r="T122">
        <v>20</v>
      </c>
      <c r="U122">
        <v>2</v>
      </c>
      <c r="V122">
        <v>33</v>
      </c>
      <c r="W122">
        <v>119</v>
      </c>
      <c r="X122">
        <v>242</v>
      </c>
      <c r="Y122">
        <v>85</v>
      </c>
      <c r="Z122">
        <v>71</v>
      </c>
      <c r="AA122">
        <v>3</v>
      </c>
      <c r="AB122">
        <v>6</v>
      </c>
      <c r="AC122">
        <v>163</v>
      </c>
      <c r="AD122">
        <v>1</v>
      </c>
      <c r="AE122">
        <v>2</v>
      </c>
      <c r="AF122">
        <v>10</v>
      </c>
      <c r="AG122">
        <v>3</v>
      </c>
      <c r="AH122">
        <v>2</v>
      </c>
      <c r="AI122" s="5">
        <v>0.24399999999999999</v>
      </c>
      <c r="AJ122" s="5">
        <v>0.34599999999999997</v>
      </c>
      <c r="AK122" s="5">
        <v>0.496</v>
      </c>
      <c r="AL122" s="5">
        <v>0.28199999999999997</v>
      </c>
      <c r="AM122" s="5">
        <v>0.29099999999999998</v>
      </c>
      <c r="AN122">
        <v>-0.9</v>
      </c>
      <c r="AO122">
        <v>-1.07</v>
      </c>
      <c r="AP122">
        <v>15.25</v>
      </c>
      <c r="AQ122">
        <v>13.36</v>
      </c>
      <c r="AR122">
        <v>-9.1</v>
      </c>
      <c r="AS122" t="s">
        <v>4836</v>
      </c>
      <c r="AT122">
        <v>1.7</v>
      </c>
      <c r="AU122">
        <v>26.6</v>
      </c>
      <c r="AV122">
        <v>1</v>
      </c>
      <c r="AW122">
        <v>58</v>
      </c>
      <c r="AX122">
        <v>5</v>
      </c>
      <c r="AY122">
        <v>6</v>
      </c>
      <c r="AZ122" t="s">
        <v>3645</v>
      </c>
      <c r="BA122">
        <v>99</v>
      </c>
      <c r="BB122" t="s">
        <v>35</v>
      </c>
      <c r="BC122" t="s">
        <v>36</v>
      </c>
      <c r="BD122" s="4">
        <f>HYPERLINK("http://mlb.mlb.com/team/player.jsp?player_id=656941",656941)</f>
        <v>656941</v>
      </c>
      <c r="BE122">
        <v>1592</v>
      </c>
      <c r="BF122">
        <v>592</v>
      </c>
      <c r="BG122">
        <v>486</v>
      </c>
      <c r="BH122">
        <v>422</v>
      </c>
    </row>
    <row r="123" spans="1:60" x14ac:dyDescent="0.3">
      <c r="A123" s="4">
        <f>HYPERLINK("http://legacy.baseballprospectus.com/p/39835",39835)</f>
        <v>39835</v>
      </c>
      <c r="B123" t="s">
        <v>521</v>
      </c>
      <c r="C123" t="s">
        <v>218</v>
      </c>
      <c r="D123" s="10">
        <v>30506</v>
      </c>
      <c r="E123" t="s">
        <v>54</v>
      </c>
      <c r="F123" t="s">
        <v>9</v>
      </c>
      <c r="G123" t="s">
        <v>33</v>
      </c>
      <c r="H123">
        <v>71</v>
      </c>
      <c r="I123">
        <v>210</v>
      </c>
      <c r="J123">
        <v>2018</v>
      </c>
      <c r="K123" s="4" t="str">
        <f>HYPERLINK("http://legacy.baseballprospectus.com/fantasy/dc/index.php?tm=WAS","WAS")</f>
        <v>WAS</v>
      </c>
      <c r="L123" t="s">
        <v>95</v>
      </c>
      <c r="M123" t="s">
        <v>34</v>
      </c>
      <c r="N123">
        <v>34</v>
      </c>
      <c r="O123">
        <v>250</v>
      </c>
      <c r="P123" t="s">
        <v>1680</v>
      </c>
      <c r="Q123">
        <v>217</v>
      </c>
      <c r="R123">
        <v>27</v>
      </c>
      <c r="S123">
        <v>34</v>
      </c>
      <c r="T123">
        <v>9</v>
      </c>
      <c r="U123">
        <v>0</v>
      </c>
      <c r="V123">
        <v>7</v>
      </c>
      <c r="W123">
        <v>50</v>
      </c>
      <c r="X123">
        <v>80</v>
      </c>
      <c r="Y123">
        <v>28</v>
      </c>
      <c r="Z123">
        <v>28</v>
      </c>
      <c r="AA123">
        <v>3</v>
      </c>
      <c r="AB123">
        <v>3</v>
      </c>
      <c r="AC123">
        <v>57</v>
      </c>
      <c r="AD123">
        <v>0</v>
      </c>
      <c r="AE123">
        <v>2</v>
      </c>
      <c r="AF123">
        <v>8</v>
      </c>
      <c r="AG123">
        <v>1</v>
      </c>
      <c r="AH123">
        <v>0</v>
      </c>
      <c r="AI123" s="5">
        <v>0.23</v>
      </c>
      <c r="AJ123" s="5">
        <v>0.32300000000000001</v>
      </c>
      <c r="AK123" s="5">
        <v>0.36899999999999999</v>
      </c>
      <c r="AL123" s="5">
        <v>0.23799999999999999</v>
      </c>
      <c r="AM123" s="5">
        <v>0.27500000000000002</v>
      </c>
      <c r="AN123">
        <v>-0.7</v>
      </c>
      <c r="AO123">
        <v>5.4</v>
      </c>
      <c r="AP123">
        <v>7</v>
      </c>
      <c r="AQ123">
        <v>-5.69</v>
      </c>
      <c r="AR123">
        <v>9</v>
      </c>
      <c r="AS123" t="s">
        <v>3649</v>
      </c>
      <c r="AT123">
        <v>1.6</v>
      </c>
      <c r="AU123">
        <v>6</v>
      </c>
      <c r="AV123">
        <v>1</v>
      </c>
      <c r="AW123">
        <v>36</v>
      </c>
      <c r="AX123">
        <v>15</v>
      </c>
      <c r="AY123">
        <v>17</v>
      </c>
      <c r="AZ123" t="s">
        <v>3650</v>
      </c>
      <c r="BA123">
        <v>89</v>
      </c>
      <c r="BB123" t="s">
        <v>36</v>
      </c>
      <c r="BC123" t="s">
        <v>36</v>
      </c>
      <c r="BD123" s="4">
        <f>HYPERLINK("http://mlb.mlb.com/team/player.jsp?player_id=471083",471083)</f>
        <v>471083</v>
      </c>
      <c r="BE123">
        <v>0</v>
      </c>
      <c r="BF123">
        <v>0</v>
      </c>
      <c r="BG123">
        <v>213</v>
      </c>
      <c r="BH123">
        <v>185</v>
      </c>
    </row>
    <row r="124" spans="1:60" x14ac:dyDescent="0.3">
      <c r="A124" s="4">
        <f>HYPERLINK("http://legacy.baseballprospectus.com/p/66391",66391)</f>
        <v>66391</v>
      </c>
      <c r="B124" t="s">
        <v>624</v>
      </c>
      <c r="C124" t="s">
        <v>355</v>
      </c>
      <c r="D124" s="10">
        <v>33527</v>
      </c>
      <c r="E124" t="s">
        <v>58</v>
      </c>
      <c r="F124" t="s">
        <v>33</v>
      </c>
      <c r="G124" t="s">
        <v>33</v>
      </c>
      <c r="H124">
        <v>73</v>
      </c>
      <c r="I124">
        <v>225</v>
      </c>
      <c r="J124">
        <v>2018</v>
      </c>
      <c r="K124" s="4" t="str">
        <f>HYPERLINK("http://legacy.baseballprospectus.com/fantasy/dc/index.php?tm=BAL","BAL")</f>
        <v>BAL</v>
      </c>
      <c r="L124" t="s">
        <v>95</v>
      </c>
      <c r="M124" t="s">
        <v>34</v>
      </c>
      <c r="N124">
        <v>26</v>
      </c>
      <c r="O124">
        <v>601</v>
      </c>
      <c r="P124">
        <v>154</v>
      </c>
      <c r="Q124">
        <v>565</v>
      </c>
      <c r="R124">
        <v>71</v>
      </c>
      <c r="S124">
        <v>94</v>
      </c>
      <c r="T124">
        <v>29</v>
      </c>
      <c r="U124">
        <v>1</v>
      </c>
      <c r="V124">
        <v>25</v>
      </c>
      <c r="W124">
        <v>149</v>
      </c>
      <c r="X124">
        <v>255</v>
      </c>
      <c r="Y124">
        <v>84</v>
      </c>
      <c r="Z124">
        <v>25</v>
      </c>
      <c r="AA124">
        <v>1</v>
      </c>
      <c r="AB124">
        <v>8</v>
      </c>
      <c r="AC124">
        <v>133</v>
      </c>
      <c r="AD124">
        <v>1</v>
      </c>
      <c r="AE124">
        <v>3</v>
      </c>
      <c r="AF124">
        <v>17</v>
      </c>
      <c r="AG124">
        <v>1</v>
      </c>
      <c r="AH124">
        <v>1</v>
      </c>
      <c r="AI124" s="5">
        <v>0.26400000000000001</v>
      </c>
      <c r="AJ124" s="5">
        <v>0.30299999999999999</v>
      </c>
      <c r="AK124" s="5">
        <v>0.45100000000000001</v>
      </c>
      <c r="AL124" s="5">
        <v>0.25600000000000001</v>
      </c>
      <c r="AM124" s="5">
        <v>0.3</v>
      </c>
      <c r="AN124">
        <v>-1.3</v>
      </c>
      <c r="AO124">
        <v>3.11</v>
      </c>
      <c r="AP124">
        <v>16.14</v>
      </c>
      <c r="AQ124">
        <v>-2.21</v>
      </c>
      <c r="AR124">
        <v>0.4</v>
      </c>
      <c r="AS124" t="s">
        <v>1032</v>
      </c>
      <c r="AT124">
        <v>1.6</v>
      </c>
      <c r="AU124">
        <v>15.8</v>
      </c>
      <c r="AV124">
        <v>6</v>
      </c>
      <c r="AW124">
        <v>54</v>
      </c>
      <c r="AX124">
        <v>3</v>
      </c>
      <c r="AY124">
        <v>12</v>
      </c>
      <c r="AZ124" t="s">
        <v>3668</v>
      </c>
      <c r="BA124">
        <v>97</v>
      </c>
      <c r="BB124" t="s">
        <v>35</v>
      </c>
      <c r="BC124" t="s">
        <v>36</v>
      </c>
      <c r="BD124" s="4">
        <f>HYPERLINK("http://mlb.mlb.com/team/player.jsp?player_id=570731",570731)</f>
        <v>570731</v>
      </c>
      <c r="BE124">
        <v>439</v>
      </c>
      <c r="BF124">
        <v>1439</v>
      </c>
      <c r="BG124">
        <v>675</v>
      </c>
      <c r="BH124">
        <v>622</v>
      </c>
    </row>
    <row r="125" spans="1:60" x14ac:dyDescent="0.3">
      <c r="A125" s="4">
        <f>HYPERLINK("http://legacy.baseballprospectus.com/p/58767",58767)</f>
        <v>58767</v>
      </c>
      <c r="B125" t="s">
        <v>1242</v>
      </c>
      <c r="C125" t="s">
        <v>172</v>
      </c>
      <c r="D125" s="10">
        <v>33106</v>
      </c>
      <c r="E125" t="s">
        <v>54</v>
      </c>
      <c r="F125" t="s">
        <v>33</v>
      </c>
      <c r="G125" t="s">
        <v>33</v>
      </c>
      <c r="H125">
        <v>69</v>
      </c>
      <c r="I125">
        <v>195</v>
      </c>
      <c r="J125">
        <v>2018</v>
      </c>
      <c r="K125" s="4" t="str">
        <f>HYPERLINK("http://legacy.baseballprospectus.com/fantasy/dc/index.php?tm=BOS","BOS")</f>
        <v>BOS</v>
      </c>
      <c r="L125" t="s">
        <v>95</v>
      </c>
      <c r="M125" t="s">
        <v>34</v>
      </c>
      <c r="N125">
        <v>27</v>
      </c>
      <c r="O125">
        <v>382</v>
      </c>
      <c r="P125">
        <v>112</v>
      </c>
      <c r="Q125">
        <v>350</v>
      </c>
      <c r="R125">
        <v>38</v>
      </c>
      <c r="S125">
        <v>66</v>
      </c>
      <c r="T125">
        <v>19</v>
      </c>
      <c r="U125">
        <v>1</v>
      </c>
      <c r="V125">
        <v>5</v>
      </c>
      <c r="W125">
        <v>91</v>
      </c>
      <c r="X125">
        <v>127</v>
      </c>
      <c r="Y125">
        <v>34</v>
      </c>
      <c r="Z125">
        <v>26</v>
      </c>
      <c r="AA125">
        <v>2</v>
      </c>
      <c r="AB125">
        <v>3</v>
      </c>
      <c r="AC125">
        <v>75</v>
      </c>
      <c r="AD125">
        <v>1</v>
      </c>
      <c r="AE125">
        <v>2</v>
      </c>
      <c r="AF125">
        <v>13</v>
      </c>
      <c r="AG125">
        <v>4</v>
      </c>
      <c r="AH125">
        <v>1</v>
      </c>
      <c r="AI125" s="5">
        <v>0.26</v>
      </c>
      <c r="AJ125" s="5">
        <v>0.315</v>
      </c>
      <c r="AK125" s="5">
        <v>0.36299999999999999</v>
      </c>
      <c r="AL125" s="5">
        <v>0.24</v>
      </c>
      <c r="AM125" s="5">
        <v>0.316</v>
      </c>
      <c r="AN125">
        <v>-0.3</v>
      </c>
      <c r="AO125">
        <v>2.91</v>
      </c>
      <c r="AP125">
        <v>10.26</v>
      </c>
      <c r="AQ125">
        <v>-7.91</v>
      </c>
      <c r="AR125">
        <v>10.6</v>
      </c>
      <c r="AS125" t="s">
        <v>4828</v>
      </c>
      <c r="AT125">
        <v>1.6</v>
      </c>
      <c r="AU125">
        <v>5</v>
      </c>
      <c r="AV125">
        <v>3</v>
      </c>
      <c r="AW125">
        <v>42</v>
      </c>
      <c r="AX125">
        <v>9</v>
      </c>
      <c r="AY125">
        <v>18</v>
      </c>
      <c r="AZ125" t="s">
        <v>3654</v>
      </c>
      <c r="BA125">
        <v>91</v>
      </c>
      <c r="BB125" t="s">
        <v>35</v>
      </c>
      <c r="BC125" t="s">
        <v>36</v>
      </c>
      <c r="BD125" s="4">
        <f>HYPERLINK("http://mlb.mlb.com/team/player.jsp?player_id=543877",543877)</f>
        <v>543877</v>
      </c>
      <c r="BE125">
        <v>360</v>
      </c>
      <c r="BF125">
        <v>1360</v>
      </c>
      <c r="BG125">
        <v>345</v>
      </c>
      <c r="BH125">
        <v>324</v>
      </c>
    </row>
    <row r="126" spans="1:60" x14ac:dyDescent="0.3">
      <c r="A126" s="4">
        <f>HYPERLINK("http://legacy.baseballprospectus.com/p/70387",70387)</f>
        <v>70387</v>
      </c>
      <c r="B126" t="s">
        <v>144</v>
      </c>
      <c r="C126" t="s">
        <v>145</v>
      </c>
      <c r="D126" s="10">
        <v>33939</v>
      </c>
      <c r="E126" t="s">
        <v>58</v>
      </c>
      <c r="F126" t="s">
        <v>33</v>
      </c>
      <c r="G126" t="s">
        <v>33</v>
      </c>
      <c r="H126">
        <v>72</v>
      </c>
      <c r="I126">
        <v>190</v>
      </c>
      <c r="J126">
        <v>2018</v>
      </c>
      <c r="K126" s="4" t="str">
        <f>HYPERLINK("http://legacy.baseballprospectus.com/fantasy/dc/index.php?tm=CHN","CHN")</f>
        <v>CHN</v>
      </c>
      <c r="L126" t="s">
        <v>100</v>
      </c>
      <c r="M126" t="s">
        <v>34</v>
      </c>
      <c r="N126">
        <v>25</v>
      </c>
      <c r="O126">
        <v>536</v>
      </c>
      <c r="P126">
        <v>149</v>
      </c>
      <c r="Q126">
        <v>496</v>
      </c>
      <c r="R126">
        <v>69</v>
      </c>
      <c r="S126">
        <v>79</v>
      </c>
      <c r="T126">
        <v>23</v>
      </c>
      <c r="U126">
        <v>1</v>
      </c>
      <c r="V126">
        <v>22</v>
      </c>
      <c r="W126">
        <v>125</v>
      </c>
      <c r="X126">
        <v>216</v>
      </c>
      <c r="Y126">
        <v>72</v>
      </c>
      <c r="Z126">
        <v>29</v>
      </c>
      <c r="AA126">
        <v>6</v>
      </c>
      <c r="AB126">
        <v>7</v>
      </c>
      <c r="AC126">
        <v>154</v>
      </c>
      <c r="AD126">
        <v>2</v>
      </c>
      <c r="AE126">
        <v>2</v>
      </c>
      <c r="AF126">
        <v>11</v>
      </c>
      <c r="AG126">
        <v>13</v>
      </c>
      <c r="AH126">
        <v>4</v>
      </c>
      <c r="AI126" s="5">
        <v>0.252</v>
      </c>
      <c r="AJ126" s="5">
        <v>0.30099999999999999</v>
      </c>
      <c r="AK126" s="5">
        <v>0.435</v>
      </c>
      <c r="AL126" s="5">
        <v>0.253</v>
      </c>
      <c r="AM126" s="5">
        <v>0.32100000000000001</v>
      </c>
      <c r="AN126">
        <v>0.7</v>
      </c>
      <c r="AO126">
        <v>2.44</v>
      </c>
      <c r="AP126">
        <v>14.39</v>
      </c>
      <c r="AQ126">
        <v>-4.1399999999999997</v>
      </c>
      <c r="AR126">
        <v>2.9</v>
      </c>
      <c r="AS126" t="s">
        <v>4837</v>
      </c>
      <c r="AT126">
        <v>1.6</v>
      </c>
      <c r="AU126">
        <v>13.4</v>
      </c>
      <c r="AV126">
        <v>2</v>
      </c>
      <c r="AW126">
        <v>55</v>
      </c>
      <c r="AX126">
        <v>9</v>
      </c>
      <c r="AY126">
        <v>16</v>
      </c>
      <c r="AZ126" t="s">
        <v>3670</v>
      </c>
      <c r="BA126">
        <v>98</v>
      </c>
      <c r="BB126" t="s">
        <v>35</v>
      </c>
      <c r="BC126" t="s">
        <v>36</v>
      </c>
      <c r="BD126" s="4">
        <f>HYPERLINK("http://mlb.mlb.com/team/player.jsp?player_id=595879",595879)</f>
        <v>595879</v>
      </c>
      <c r="BE126">
        <v>1528</v>
      </c>
      <c r="BF126">
        <v>528</v>
      </c>
      <c r="BG126">
        <v>508</v>
      </c>
      <c r="BH126">
        <v>469</v>
      </c>
    </row>
    <row r="127" spans="1:60" x14ac:dyDescent="0.3">
      <c r="A127" s="4">
        <f>HYPERLINK("http://legacy.baseballprospectus.com/p/67744",67744)</f>
        <v>67744</v>
      </c>
      <c r="B127" t="s">
        <v>1094</v>
      </c>
      <c r="C127" t="s">
        <v>313</v>
      </c>
      <c r="D127" s="10">
        <v>32390</v>
      </c>
      <c r="E127" t="s">
        <v>59</v>
      </c>
      <c r="F127" t="s">
        <v>33</v>
      </c>
      <c r="G127" t="s">
        <v>33</v>
      </c>
      <c r="H127">
        <v>73</v>
      </c>
      <c r="I127">
        <v>215</v>
      </c>
      <c r="J127">
        <v>2018</v>
      </c>
      <c r="K127" s="4" t="str">
        <f>HYPERLINK("http://legacy.baseballprospectus.com/fantasy/dc/index.php?tm=CIN","CIN")</f>
        <v>CIN</v>
      </c>
      <c r="L127" t="s">
        <v>100</v>
      </c>
      <c r="M127" t="s">
        <v>34</v>
      </c>
      <c r="N127">
        <v>29</v>
      </c>
      <c r="O127">
        <v>574</v>
      </c>
      <c r="P127">
        <v>154</v>
      </c>
      <c r="Q127">
        <v>525</v>
      </c>
      <c r="R127">
        <v>75</v>
      </c>
      <c r="S127">
        <v>65</v>
      </c>
      <c r="T127">
        <v>26</v>
      </c>
      <c r="U127">
        <v>3</v>
      </c>
      <c r="V127">
        <v>31</v>
      </c>
      <c r="W127">
        <v>125</v>
      </c>
      <c r="X127">
        <v>250</v>
      </c>
      <c r="Y127">
        <v>88</v>
      </c>
      <c r="Z127">
        <v>37</v>
      </c>
      <c r="AA127">
        <v>2</v>
      </c>
      <c r="AB127">
        <v>8</v>
      </c>
      <c r="AC127">
        <v>152</v>
      </c>
      <c r="AD127">
        <v>0</v>
      </c>
      <c r="AE127">
        <v>4</v>
      </c>
      <c r="AF127">
        <v>12</v>
      </c>
      <c r="AG127">
        <v>5</v>
      </c>
      <c r="AH127">
        <v>2</v>
      </c>
      <c r="AI127" s="5">
        <v>0.23799999999999999</v>
      </c>
      <c r="AJ127" s="5">
        <v>0.29599999999999999</v>
      </c>
      <c r="AK127" s="5">
        <v>0.47599999999999998</v>
      </c>
      <c r="AL127" s="5">
        <v>0.26</v>
      </c>
      <c r="AM127" s="5">
        <v>0.27200000000000002</v>
      </c>
      <c r="AN127">
        <v>-0.6</v>
      </c>
      <c r="AO127">
        <v>-1.96</v>
      </c>
      <c r="AP127">
        <v>15.41</v>
      </c>
      <c r="AQ127">
        <v>-0.24</v>
      </c>
      <c r="AR127">
        <v>3.7</v>
      </c>
      <c r="AS127" t="s">
        <v>4839</v>
      </c>
      <c r="AT127">
        <v>1.6</v>
      </c>
      <c r="AU127">
        <v>12.6</v>
      </c>
      <c r="AV127">
        <v>7</v>
      </c>
      <c r="AW127">
        <v>36</v>
      </c>
      <c r="AX127">
        <v>3</v>
      </c>
      <c r="AY127">
        <v>10</v>
      </c>
      <c r="AZ127" t="s">
        <v>3636</v>
      </c>
      <c r="BA127">
        <v>83</v>
      </c>
      <c r="BB127" t="s">
        <v>35</v>
      </c>
      <c r="BC127" t="s">
        <v>36</v>
      </c>
      <c r="BD127" s="4">
        <f>HYPERLINK("http://mlb.mlb.com/team/player.jsp?player_id=594807",594807)</f>
        <v>594807</v>
      </c>
      <c r="BE127">
        <v>1579</v>
      </c>
      <c r="BF127">
        <v>579</v>
      </c>
      <c r="BG127">
        <v>647</v>
      </c>
      <c r="BH127">
        <v>587</v>
      </c>
    </row>
    <row r="128" spans="1:60" x14ac:dyDescent="0.3">
      <c r="A128" s="4">
        <f>HYPERLINK("http://legacy.baseballprospectus.com/p/66105",66105)</f>
        <v>66105</v>
      </c>
      <c r="B128" t="s">
        <v>488</v>
      </c>
      <c r="C128" t="s">
        <v>490</v>
      </c>
      <c r="D128" s="10">
        <v>33656</v>
      </c>
      <c r="E128" t="s">
        <v>58</v>
      </c>
      <c r="F128" t="s">
        <v>33</v>
      </c>
      <c r="G128" t="s">
        <v>33</v>
      </c>
      <c r="H128">
        <v>73</v>
      </c>
      <c r="I128">
        <v>170</v>
      </c>
      <c r="J128">
        <v>2018</v>
      </c>
      <c r="K128" s="4" t="str">
        <f>HYPERLINK("http://legacy.baseballprospectus.com/fantasy/dc/index.php?tm=DET","DET")</f>
        <v>DET</v>
      </c>
      <c r="L128" t="s">
        <v>95</v>
      </c>
      <c r="M128" t="s">
        <v>34</v>
      </c>
      <c r="N128">
        <v>26</v>
      </c>
      <c r="O128">
        <v>532</v>
      </c>
      <c r="P128">
        <v>154</v>
      </c>
      <c r="Q128">
        <v>475</v>
      </c>
      <c r="R128">
        <v>58</v>
      </c>
      <c r="S128">
        <v>89</v>
      </c>
      <c r="T128">
        <v>22</v>
      </c>
      <c r="U128">
        <v>2</v>
      </c>
      <c r="V128">
        <v>9</v>
      </c>
      <c r="W128">
        <v>122</v>
      </c>
      <c r="X128">
        <v>175</v>
      </c>
      <c r="Y128">
        <v>51</v>
      </c>
      <c r="Z128">
        <v>40</v>
      </c>
      <c r="AA128">
        <v>1</v>
      </c>
      <c r="AB128">
        <v>5</v>
      </c>
      <c r="AC128">
        <v>92</v>
      </c>
      <c r="AD128">
        <v>9</v>
      </c>
      <c r="AE128">
        <v>3</v>
      </c>
      <c r="AF128">
        <v>14</v>
      </c>
      <c r="AG128">
        <v>8</v>
      </c>
      <c r="AH128">
        <v>2</v>
      </c>
      <c r="AI128" s="5">
        <v>0.25700000000000001</v>
      </c>
      <c r="AJ128" s="5">
        <v>0.31900000000000001</v>
      </c>
      <c r="AK128" s="5">
        <v>0.36799999999999999</v>
      </c>
      <c r="AL128" s="5">
        <v>0.23400000000000001</v>
      </c>
      <c r="AM128" s="5">
        <v>0.29099999999999998</v>
      </c>
      <c r="AN128">
        <v>0.3</v>
      </c>
      <c r="AO128">
        <v>2.41</v>
      </c>
      <c r="AP128">
        <v>14.28</v>
      </c>
      <c r="AQ128">
        <v>-14.33</v>
      </c>
      <c r="AR128">
        <v>12.9</v>
      </c>
      <c r="AS128" t="s">
        <v>5027</v>
      </c>
      <c r="AT128">
        <v>1.6</v>
      </c>
      <c r="AU128">
        <v>2.6</v>
      </c>
      <c r="AV128">
        <v>5</v>
      </c>
      <c r="AW128">
        <v>39</v>
      </c>
      <c r="AX128">
        <v>9</v>
      </c>
      <c r="AY128">
        <v>28</v>
      </c>
      <c r="AZ128" t="s">
        <v>3695</v>
      </c>
      <c r="BA128">
        <v>69</v>
      </c>
      <c r="BB128" t="s">
        <v>35</v>
      </c>
      <c r="BC128" t="s">
        <v>36</v>
      </c>
      <c r="BD128" s="4">
        <f>HYPERLINK("http://mlb.mlb.com/team/player.jsp?player_id=553988",553988)</f>
        <v>553988</v>
      </c>
      <c r="BE128">
        <v>519</v>
      </c>
      <c r="BF128">
        <v>1519</v>
      </c>
      <c r="BG128">
        <v>181</v>
      </c>
      <c r="BH128">
        <v>166</v>
      </c>
    </row>
    <row r="129" spans="1:60" x14ac:dyDescent="0.3">
      <c r="A129" s="4">
        <f>HYPERLINK("http://legacy.baseballprospectus.com/p/45844",45844)</f>
        <v>45844</v>
      </c>
      <c r="B129" t="s">
        <v>243</v>
      </c>
      <c r="C129" t="s">
        <v>244</v>
      </c>
      <c r="D129" s="10">
        <v>31477</v>
      </c>
      <c r="E129" t="s">
        <v>54</v>
      </c>
      <c r="F129" t="s">
        <v>33</v>
      </c>
      <c r="G129" t="s">
        <v>33</v>
      </c>
      <c r="H129">
        <v>73</v>
      </c>
      <c r="I129">
        <v>210</v>
      </c>
      <c r="J129">
        <v>2018</v>
      </c>
      <c r="K129" s="4" t="str">
        <f>HYPERLINK("http://legacy.baseballprospectus.com/fantasy/dc/index.php?tm=PIT","PIT")</f>
        <v>PIT</v>
      </c>
      <c r="L129" t="s">
        <v>100</v>
      </c>
      <c r="M129" t="s">
        <v>34</v>
      </c>
      <c r="N129">
        <v>32</v>
      </c>
      <c r="O129">
        <v>420</v>
      </c>
      <c r="P129">
        <v>111</v>
      </c>
      <c r="Q129">
        <v>367</v>
      </c>
      <c r="R129">
        <v>45</v>
      </c>
      <c r="S129">
        <v>71</v>
      </c>
      <c r="T129">
        <v>16</v>
      </c>
      <c r="U129">
        <v>2</v>
      </c>
      <c r="V129">
        <v>5</v>
      </c>
      <c r="W129">
        <v>94</v>
      </c>
      <c r="X129">
        <v>129</v>
      </c>
      <c r="Y129">
        <v>37</v>
      </c>
      <c r="Z129">
        <v>44</v>
      </c>
      <c r="AA129">
        <v>0</v>
      </c>
      <c r="AB129">
        <v>7</v>
      </c>
      <c r="AC129">
        <v>83</v>
      </c>
      <c r="AD129">
        <v>1</v>
      </c>
      <c r="AE129">
        <v>2</v>
      </c>
      <c r="AF129">
        <v>13</v>
      </c>
      <c r="AG129">
        <v>3</v>
      </c>
      <c r="AH129">
        <v>2</v>
      </c>
      <c r="AI129" s="5">
        <v>0.25600000000000001</v>
      </c>
      <c r="AJ129" s="5">
        <v>0.34499999999999997</v>
      </c>
      <c r="AK129" s="5">
        <v>0.35099999999999998</v>
      </c>
      <c r="AL129" s="5">
        <v>0.25600000000000001</v>
      </c>
      <c r="AM129" s="5">
        <v>0.318</v>
      </c>
      <c r="AN129">
        <v>-0.6</v>
      </c>
      <c r="AO129">
        <v>3.2</v>
      </c>
      <c r="AP129">
        <v>11.28</v>
      </c>
      <c r="AQ129">
        <v>-1.98</v>
      </c>
      <c r="AR129">
        <v>4</v>
      </c>
      <c r="AS129" t="s">
        <v>1698</v>
      </c>
      <c r="AT129">
        <v>1.6</v>
      </c>
      <c r="AU129">
        <v>11.9</v>
      </c>
      <c r="AV129">
        <v>2</v>
      </c>
      <c r="AW129">
        <v>30</v>
      </c>
      <c r="AX129">
        <v>13</v>
      </c>
      <c r="AY129">
        <v>14</v>
      </c>
      <c r="AZ129" t="s">
        <v>3658</v>
      </c>
      <c r="BA129">
        <v>94</v>
      </c>
      <c r="BB129" t="s">
        <v>35</v>
      </c>
      <c r="BC129" t="s">
        <v>36</v>
      </c>
      <c r="BD129" s="4">
        <f>HYPERLINK("http://mlb.mlb.com/team/player.jsp?player_id=465041",465041)</f>
        <v>465041</v>
      </c>
      <c r="BE129">
        <v>1383</v>
      </c>
      <c r="BF129">
        <v>383</v>
      </c>
      <c r="BG129">
        <v>304</v>
      </c>
      <c r="BH129">
        <v>265</v>
      </c>
    </row>
    <row r="130" spans="1:60" x14ac:dyDescent="0.3">
      <c r="A130" s="4">
        <f>HYPERLINK("http://legacy.baseballprospectus.com/p/57758",57758)</f>
        <v>57758</v>
      </c>
      <c r="B130" t="s">
        <v>268</v>
      </c>
      <c r="C130" t="s">
        <v>113</v>
      </c>
      <c r="D130" s="10">
        <v>31798</v>
      </c>
      <c r="E130" t="s">
        <v>53</v>
      </c>
      <c r="F130" t="s">
        <v>9</v>
      </c>
      <c r="G130" t="s">
        <v>33</v>
      </c>
      <c r="H130">
        <v>74</v>
      </c>
      <c r="I130">
        <v>215</v>
      </c>
      <c r="J130">
        <v>2018</v>
      </c>
      <c r="K130" s="4" t="str">
        <f>HYPERLINK("http://legacy.baseballprospectus.com/fantasy/dc/index.php?tm=SFN","SFN")</f>
        <v>SFN</v>
      </c>
      <c r="L130" t="s">
        <v>100</v>
      </c>
      <c r="M130" t="s">
        <v>34</v>
      </c>
      <c r="N130">
        <v>31</v>
      </c>
      <c r="O130">
        <v>608</v>
      </c>
      <c r="P130">
        <v>154</v>
      </c>
      <c r="Q130">
        <v>550</v>
      </c>
      <c r="R130">
        <v>62</v>
      </c>
      <c r="S130">
        <v>89</v>
      </c>
      <c r="T130">
        <v>28</v>
      </c>
      <c r="U130">
        <v>5</v>
      </c>
      <c r="V130">
        <v>13</v>
      </c>
      <c r="W130">
        <v>135</v>
      </c>
      <c r="X130">
        <v>212</v>
      </c>
      <c r="Y130">
        <v>65</v>
      </c>
      <c r="Z130">
        <v>48</v>
      </c>
      <c r="AA130">
        <v>7</v>
      </c>
      <c r="AB130">
        <v>5</v>
      </c>
      <c r="AC130">
        <v>124</v>
      </c>
      <c r="AD130">
        <v>1</v>
      </c>
      <c r="AE130">
        <v>5</v>
      </c>
      <c r="AF130">
        <v>15</v>
      </c>
      <c r="AG130">
        <v>5</v>
      </c>
      <c r="AH130">
        <v>3</v>
      </c>
      <c r="AI130" s="5">
        <v>0.245</v>
      </c>
      <c r="AJ130" s="5">
        <v>0.309</v>
      </c>
      <c r="AK130" s="5">
        <v>0.38500000000000001</v>
      </c>
      <c r="AL130" s="5">
        <v>0.248</v>
      </c>
      <c r="AM130" s="5">
        <v>0.29099999999999998</v>
      </c>
      <c r="AN130">
        <v>-0.5</v>
      </c>
      <c r="AO130">
        <v>4.1900000000000004</v>
      </c>
      <c r="AP130">
        <v>16.32</v>
      </c>
      <c r="AQ130">
        <v>-7.7</v>
      </c>
      <c r="AR130">
        <v>3.5</v>
      </c>
      <c r="AS130" t="s">
        <v>1334</v>
      </c>
      <c r="AT130">
        <v>1.6</v>
      </c>
      <c r="AU130">
        <v>12.3</v>
      </c>
      <c r="AV130">
        <v>2</v>
      </c>
      <c r="AW130">
        <v>44</v>
      </c>
      <c r="AX130">
        <v>6</v>
      </c>
      <c r="AY130">
        <v>8</v>
      </c>
      <c r="AZ130" t="s">
        <v>3676</v>
      </c>
      <c r="BA130">
        <v>90</v>
      </c>
      <c r="BB130" t="s">
        <v>35</v>
      </c>
      <c r="BC130" t="s">
        <v>36</v>
      </c>
      <c r="BD130" s="4">
        <f>HYPERLINK("http://mlb.mlb.com/team/player.jsp?player_id=543063",543063)</f>
        <v>543063</v>
      </c>
      <c r="BE130">
        <v>1521</v>
      </c>
      <c r="BF130">
        <v>521</v>
      </c>
      <c r="BG130">
        <v>570</v>
      </c>
      <c r="BH130">
        <v>518</v>
      </c>
    </row>
    <row r="131" spans="1:60" x14ac:dyDescent="0.3">
      <c r="A131" s="4">
        <f>HYPERLINK("http://legacy.baseballprospectus.com/p/100736",100736)</f>
        <v>100736</v>
      </c>
      <c r="B131" t="s">
        <v>785</v>
      </c>
      <c r="C131" t="s">
        <v>104</v>
      </c>
      <c r="D131" s="10">
        <v>33253</v>
      </c>
      <c r="E131" t="s">
        <v>58</v>
      </c>
      <c r="F131" t="s">
        <v>33</v>
      </c>
      <c r="G131" t="s">
        <v>33</v>
      </c>
      <c r="H131">
        <v>74</v>
      </c>
      <c r="I131">
        <v>170</v>
      </c>
      <c r="J131">
        <v>2018</v>
      </c>
      <c r="K131" s="4" t="str">
        <f>HYPERLINK("http://legacy.baseballprospectus.com/fantasy/dc/index.php?tm=TBA","TBA")</f>
        <v>TBA</v>
      </c>
      <c r="L131" t="s">
        <v>95</v>
      </c>
      <c r="M131" t="s">
        <v>34</v>
      </c>
      <c r="N131">
        <v>27</v>
      </c>
      <c r="O131">
        <v>545</v>
      </c>
      <c r="P131">
        <v>140</v>
      </c>
      <c r="Q131">
        <v>500</v>
      </c>
      <c r="R131">
        <v>58</v>
      </c>
      <c r="S131">
        <v>97</v>
      </c>
      <c r="T131">
        <v>23</v>
      </c>
      <c r="U131">
        <v>3</v>
      </c>
      <c r="V131">
        <v>10</v>
      </c>
      <c r="W131">
        <v>133</v>
      </c>
      <c r="X131">
        <v>192</v>
      </c>
      <c r="Y131">
        <v>56</v>
      </c>
      <c r="Z131">
        <v>35</v>
      </c>
      <c r="AA131">
        <v>2</v>
      </c>
      <c r="AB131">
        <v>5</v>
      </c>
      <c r="AC131">
        <v>98</v>
      </c>
      <c r="AD131">
        <v>2</v>
      </c>
      <c r="AE131">
        <v>3</v>
      </c>
      <c r="AF131">
        <v>16</v>
      </c>
      <c r="AG131">
        <v>11</v>
      </c>
      <c r="AH131">
        <v>3</v>
      </c>
      <c r="AI131" s="5">
        <v>0.26600000000000001</v>
      </c>
      <c r="AJ131" s="5">
        <v>0.31900000000000001</v>
      </c>
      <c r="AK131" s="5">
        <v>0.38400000000000001</v>
      </c>
      <c r="AL131" s="5">
        <v>0.25700000000000001</v>
      </c>
      <c r="AM131" s="5">
        <v>0.311</v>
      </c>
      <c r="AN131">
        <v>0.5</v>
      </c>
      <c r="AO131">
        <v>2.17</v>
      </c>
      <c r="AP131">
        <v>14.63</v>
      </c>
      <c r="AQ131">
        <v>-1.47</v>
      </c>
      <c r="AR131">
        <v>-0.2</v>
      </c>
      <c r="AS131" t="s">
        <v>3692</v>
      </c>
      <c r="AT131">
        <v>1.6</v>
      </c>
      <c r="AU131">
        <v>15.8</v>
      </c>
      <c r="AV131">
        <v>6</v>
      </c>
      <c r="AW131">
        <v>48</v>
      </c>
      <c r="AX131">
        <v>3</v>
      </c>
      <c r="AY131">
        <v>11</v>
      </c>
      <c r="AZ131" t="s">
        <v>3693</v>
      </c>
      <c r="BA131">
        <v>98</v>
      </c>
      <c r="BB131" t="s">
        <v>35</v>
      </c>
      <c r="BC131" t="s">
        <v>36</v>
      </c>
      <c r="BD131" s="4">
        <f>HYPERLINK("http://mlb.mlb.com/team/player.jsp?player_id=622110",622110)</f>
        <v>622110</v>
      </c>
      <c r="BE131">
        <v>528</v>
      </c>
      <c r="BF131">
        <v>1528</v>
      </c>
      <c r="BG131">
        <v>0</v>
      </c>
      <c r="BH131">
        <v>0</v>
      </c>
    </row>
    <row r="132" spans="1:60" x14ac:dyDescent="0.3">
      <c r="A132" s="4">
        <f>HYPERLINK("http://legacy.baseballprospectus.com/p/45438",45438)</f>
        <v>45438</v>
      </c>
      <c r="B132" t="s">
        <v>460</v>
      </c>
      <c r="C132" t="s">
        <v>297</v>
      </c>
      <c r="D132" s="10">
        <v>30124</v>
      </c>
      <c r="E132" t="s">
        <v>58</v>
      </c>
      <c r="F132" t="s">
        <v>33</v>
      </c>
      <c r="G132" t="s">
        <v>33</v>
      </c>
      <c r="H132">
        <v>72</v>
      </c>
      <c r="I132">
        <v>200</v>
      </c>
      <c r="J132">
        <v>2018</v>
      </c>
      <c r="K132" s="4" t="str">
        <f>HYPERLINK("http://legacy.baseballprospectus.com/fantasy/dc/index.php?tm=ANA","ANA")</f>
        <v>ANA</v>
      </c>
      <c r="L132" t="s">
        <v>95</v>
      </c>
      <c r="M132" t="s">
        <v>34</v>
      </c>
      <c r="N132">
        <v>36</v>
      </c>
      <c r="O132">
        <v>647</v>
      </c>
      <c r="P132">
        <v>149</v>
      </c>
      <c r="Q132">
        <v>595</v>
      </c>
      <c r="R132">
        <v>82</v>
      </c>
      <c r="S132">
        <v>105</v>
      </c>
      <c r="T132">
        <v>28</v>
      </c>
      <c r="U132">
        <v>3</v>
      </c>
      <c r="V132">
        <v>16</v>
      </c>
      <c r="W132">
        <v>152</v>
      </c>
      <c r="X132">
        <v>234</v>
      </c>
      <c r="Y132">
        <v>64</v>
      </c>
      <c r="Z132">
        <v>41</v>
      </c>
      <c r="AA132">
        <v>1</v>
      </c>
      <c r="AB132">
        <v>7</v>
      </c>
      <c r="AC132">
        <v>90</v>
      </c>
      <c r="AD132">
        <v>1</v>
      </c>
      <c r="AE132">
        <v>3</v>
      </c>
      <c r="AF132">
        <v>15</v>
      </c>
      <c r="AG132">
        <v>13</v>
      </c>
      <c r="AH132">
        <v>5</v>
      </c>
      <c r="AI132" s="5">
        <v>0.255</v>
      </c>
      <c r="AJ132" s="5">
        <v>0.31</v>
      </c>
      <c r="AK132" s="5">
        <v>0.39300000000000002</v>
      </c>
      <c r="AL132" s="5">
        <v>0.249</v>
      </c>
      <c r="AM132" s="5">
        <v>0.27500000000000002</v>
      </c>
      <c r="AN132">
        <v>0.1</v>
      </c>
      <c r="AO132">
        <v>3.35</v>
      </c>
      <c r="AP132">
        <v>17.37</v>
      </c>
      <c r="AQ132">
        <v>-7.23</v>
      </c>
      <c r="AR132">
        <v>1.2</v>
      </c>
      <c r="AS132" t="s">
        <v>69</v>
      </c>
      <c r="AT132">
        <v>1.5</v>
      </c>
      <c r="AU132">
        <v>13.6</v>
      </c>
      <c r="AV132">
        <v>0</v>
      </c>
      <c r="AW132">
        <v>34</v>
      </c>
      <c r="AX132">
        <v>9</v>
      </c>
      <c r="AY132">
        <v>17</v>
      </c>
      <c r="AZ132" t="s">
        <v>3681</v>
      </c>
      <c r="BA132">
        <v>77</v>
      </c>
      <c r="BB132" t="s">
        <v>35</v>
      </c>
      <c r="BC132" t="s">
        <v>36</v>
      </c>
      <c r="BD132" s="4">
        <f>HYPERLINK("http://mlb.mlb.com/team/player.jsp?player_id=435079",435079)</f>
        <v>435079</v>
      </c>
      <c r="BE132">
        <v>446</v>
      </c>
      <c r="BF132">
        <v>1446</v>
      </c>
      <c r="BG132">
        <v>613</v>
      </c>
      <c r="BH132">
        <v>551</v>
      </c>
    </row>
    <row r="133" spans="1:60" x14ac:dyDescent="0.3">
      <c r="A133" s="4">
        <f>HYPERLINK("http://legacy.baseballprospectus.com/p/52253",52253)</f>
        <v>52253</v>
      </c>
      <c r="B133" t="s">
        <v>284</v>
      </c>
      <c r="C133" t="s">
        <v>234</v>
      </c>
      <c r="D133" s="10">
        <v>31488</v>
      </c>
      <c r="E133" t="s">
        <v>50</v>
      </c>
      <c r="F133" t="s">
        <v>9</v>
      </c>
      <c r="G133" t="s">
        <v>33</v>
      </c>
      <c r="H133">
        <v>75</v>
      </c>
      <c r="I133">
        <v>230</v>
      </c>
      <c r="J133">
        <v>2018</v>
      </c>
      <c r="K133" s="4" t="str">
        <f>HYPERLINK("http://legacy.baseballprospectus.com/fantasy/dc/index.php?tm=BAL","BAL")</f>
        <v>BAL</v>
      </c>
      <c r="L133" t="s">
        <v>95</v>
      </c>
      <c r="M133" t="s">
        <v>34</v>
      </c>
      <c r="N133">
        <v>32</v>
      </c>
      <c r="O133">
        <v>543</v>
      </c>
      <c r="P133">
        <v>133</v>
      </c>
      <c r="Q133">
        <v>470</v>
      </c>
      <c r="R133">
        <v>76</v>
      </c>
      <c r="S133">
        <v>57</v>
      </c>
      <c r="T133">
        <v>20</v>
      </c>
      <c r="U133">
        <v>1</v>
      </c>
      <c r="V133">
        <v>31</v>
      </c>
      <c r="W133">
        <v>109</v>
      </c>
      <c r="X133">
        <v>224</v>
      </c>
      <c r="Y133">
        <v>87</v>
      </c>
      <c r="Z133">
        <v>64</v>
      </c>
      <c r="AA133">
        <v>6</v>
      </c>
      <c r="AB133">
        <v>6</v>
      </c>
      <c r="AC133">
        <v>179</v>
      </c>
      <c r="AD133">
        <v>0</v>
      </c>
      <c r="AE133">
        <v>3</v>
      </c>
      <c r="AF133">
        <v>7</v>
      </c>
      <c r="AG133">
        <v>1</v>
      </c>
      <c r="AH133">
        <v>1</v>
      </c>
      <c r="AI133" s="5">
        <v>0.23200000000000001</v>
      </c>
      <c r="AJ133" s="5">
        <v>0.33</v>
      </c>
      <c r="AK133" s="5">
        <v>0.47699999999999998</v>
      </c>
      <c r="AL133" s="5">
        <v>0.27400000000000002</v>
      </c>
      <c r="AM133" s="5">
        <v>0.29499999999999998</v>
      </c>
      <c r="AN133">
        <v>-1.3</v>
      </c>
      <c r="AO133">
        <v>-6.22</v>
      </c>
      <c r="AP133">
        <v>14.58</v>
      </c>
      <c r="AQ133">
        <v>8.2100000000000009</v>
      </c>
      <c r="AR133">
        <v>-0.2</v>
      </c>
      <c r="AS133" t="s">
        <v>1004</v>
      </c>
      <c r="AT133">
        <v>1.5</v>
      </c>
      <c r="AU133">
        <v>15.3</v>
      </c>
      <c r="AV133">
        <v>1</v>
      </c>
      <c r="AW133">
        <v>28</v>
      </c>
      <c r="AX133">
        <v>4</v>
      </c>
      <c r="AY133">
        <v>10</v>
      </c>
      <c r="AZ133" t="s">
        <v>3694</v>
      </c>
      <c r="BA133">
        <v>99</v>
      </c>
      <c r="BB133" t="s">
        <v>35</v>
      </c>
      <c r="BC133" t="s">
        <v>36</v>
      </c>
      <c r="BD133" s="4">
        <f>HYPERLINK("http://mlb.mlb.com/team/player.jsp?player_id=448801",448801)</f>
        <v>448801</v>
      </c>
      <c r="BE133">
        <v>413</v>
      </c>
      <c r="BF133">
        <v>1413</v>
      </c>
      <c r="BG133">
        <v>524</v>
      </c>
      <c r="BH133">
        <v>456</v>
      </c>
    </row>
    <row r="134" spans="1:60" x14ac:dyDescent="0.3">
      <c r="A134" s="4">
        <f>HYPERLINK("http://legacy.baseballprospectus.com/p/66110",66110)</f>
        <v>66110</v>
      </c>
      <c r="B134" t="s">
        <v>654</v>
      </c>
      <c r="C134" t="s">
        <v>655</v>
      </c>
      <c r="D134" s="10">
        <v>33437</v>
      </c>
      <c r="E134" t="s">
        <v>51</v>
      </c>
      <c r="F134" t="s">
        <v>33</v>
      </c>
      <c r="G134" t="s">
        <v>33</v>
      </c>
      <c r="H134">
        <v>71</v>
      </c>
      <c r="I134">
        <v>213</v>
      </c>
      <c r="J134">
        <v>2018</v>
      </c>
      <c r="K134" s="4" t="str">
        <f>HYPERLINK("http://legacy.baseballprospectus.com/fantasy/dc/index.php?tm=CIN","CIN")</f>
        <v>CIN</v>
      </c>
      <c r="L134" t="s">
        <v>100</v>
      </c>
      <c r="M134" t="s">
        <v>34</v>
      </c>
      <c r="N134">
        <v>26</v>
      </c>
      <c r="O134">
        <v>587</v>
      </c>
      <c r="P134">
        <v>151</v>
      </c>
      <c r="Q134">
        <v>519</v>
      </c>
      <c r="R134">
        <v>73</v>
      </c>
      <c r="S134">
        <v>83</v>
      </c>
      <c r="T134">
        <v>24</v>
      </c>
      <c r="U134">
        <v>2</v>
      </c>
      <c r="V134">
        <v>21</v>
      </c>
      <c r="W134">
        <v>130</v>
      </c>
      <c r="X134">
        <v>221</v>
      </c>
      <c r="Y134">
        <v>75</v>
      </c>
      <c r="Z134">
        <v>55</v>
      </c>
      <c r="AA134">
        <v>1</v>
      </c>
      <c r="AB134">
        <v>8</v>
      </c>
      <c r="AC134">
        <v>139</v>
      </c>
      <c r="AD134">
        <v>3</v>
      </c>
      <c r="AE134">
        <v>3</v>
      </c>
      <c r="AF134">
        <v>15</v>
      </c>
      <c r="AG134">
        <v>7</v>
      </c>
      <c r="AH134">
        <v>4</v>
      </c>
      <c r="AI134" s="5">
        <v>0.25</v>
      </c>
      <c r="AJ134" s="5">
        <v>0.33</v>
      </c>
      <c r="AK134" s="5">
        <v>0.42599999999999999</v>
      </c>
      <c r="AL134" s="5">
        <v>0.26200000000000001</v>
      </c>
      <c r="AM134" s="5">
        <v>0.3</v>
      </c>
      <c r="AN134">
        <v>-0.9</v>
      </c>
      <c r="AO134">
        <v>0.51</v>
      </c>
      <c r="AP134">
        <v>15.76</v>
      </c>
      <c r="AQ134">
        <v>1</v>
      </c>
      <c r="AR134">
        <v>-1.8</v>
      </c>
      <c r="AS134" t="s">
        <v>1024</v>
      </c>
      <c r="AT134">
        <v>1.5</v>
      </c>
      <c r="AU134">
        <v>16.3</v>
      </c>
      <c r="AV134">
        <v>1</v>
      </c>
      <c r="AW134">
        <v>52</v>
      </c>
      <c r="AX134">
        <v>2</v>
      </c>
      <c r="AY134">
        <v>11</v>
      </c>
      <c r="AZ134" t="s">
        <v>3732</v>
      </c>
      <c r="BA134">
        <v>98</v>
      </c>
      <c r="BB134" t="s">
        <v>35</v>
      </c>
      <c r="BC134" t="s">
        <v>36</v>
      </c>
      <c r="BD134" s="4">
        <f>HYPERLINK("http://mlb.mlb.com/team/player.jsp?player_id=553993",553993)</f>
        <v>553993</v>
      </c>
      <c r="BE134">
        <v>1488</v>
      </c>
      <c r="BF134">
        <v>488</v>
      </c>
      <c r="BG134">
        <v>632</v>
      </c>
      <c r="BH134">
        <v>534</v>
      </c>
    </row>
    <row r="135" spans="1:60" x14ac:dyDescent="0.3">
      <c r="A135" s="4">
        <f>HYPERLINK("http://legacy.baseballprospectus.com/p/70804",70804)</f>
        <v>70804</v>
      </c>
      <c r="B135" t="s">
        <v>1369</v>
      </c>
      <c r="C135" t="s">
        <v>301</v>
      </c>
      <c r="D135" s="10">
        <v>34202</v>
      </c>
      <c r="E135" t="s">
        <v>59</v>
      </c>
      <c r="F135" t="s">
        <v>9</v>
      </c>
      <c r="G135" t="s">
        <v>33</v>
      </c>
      <c r="H135">
        <v>75</v>
      </c>
      <c r="I135">
        <v>205</v>
      </c>
      <c r="J135">
        <v>2018</v>
      </c>
      <c r="K135" s="4" t="str">
        <f>HYPERLINK("http://legacy.baseballprospectus.com/fantasy/dc/index.php?tm=HOU","HOU")</f>
        <v>HOU</v>
      </c>
      <c r="L135" t="s">
        <v>95</v>
      </c>
      <c r="M135" t="s">
        <v>34</v>
      </c>
      <c r="N135">
        <v>24</v>
      </c>
      <c r="O135">
        <v>399</v>
      </c>
      <c r="P135">
        <v>123</v>
      </c>
      <c r="Q135">
        <v>351</v>
      </c>
      <c r="R135">
        <v>56</v>
      </c>
      <c r="S135">
        <v>49</v>
      </c>
      <c r="T135">
        <v>16</v>
      </c>
      <c r="U135">
        <v>2</v>
      </c>
      <c r="V135">
        <v>16</v>
      </c>
      <c r="W135">
        <v>83</v>
      </c>
      <c r="X135">
        <v>151</v>
      </c>
      <c r="Y135">
        <v>50</v>
      </c>
      <c r="Z135">
        <v>43</v>
      </c>
      <c r="AA135">
        <v>3</v>
      </c>
      <c r="AB135">
        <v>3</v>
      </c>
      <c r="AC135">
        <v>116</v>
      </c>
      <c r="AD135">
        <v>1</v>
      </c>
      <c r="AE135">
        <v>1</v>
      </c>
      <c r="AF135">
        <v>9</v>
      </c>
      <c r="AG135">
        <v>12</v>
      </c>
      <c r="AH135">
        <v>5</v>
      </c>
      <c r="AI135" s="5">
        <v>0.23599999999999999</v>
      </c>
      <c r="AJ135" s="5">
        <v>0.32400000000000001</v>
      </c>
      <c r="AK135" s="5">
        <v>0.43</v>
      </c>
      <c r="AL135" s="5">
        <v>0.26300000000000001</v>
      </c>
      <c r="AM135" s="5">
        <v>0.30199999999999999</v>
      </c>
      <c r="AN135">
        <v>0.4</v>
      </c>
      <c r="AO135">
        <v>-0.8</v>
      </c>
      <c r="AP135">
        <v>10.71</v>
      </c>
      <c r="AQ135">
        <v>1.36</v>
      </c>
      <c r="AR135">
        <v>3.5</v>
      </c>
      <c r="AS135" t="s">
        <v>3706</v>
      </c>
      <c r="AT135">
        <v>1.5</v>
      </c>
      <c r="AU135">
        <v>11.6</v>
      </c>
      <c r="AV135">
        <v>5</v>
      </c>
      <c r="AW135">
        <v>30</v>
      </c>
      <c r="AX135">
        <v>15</v>
      </c>
      <c r="AY135">
        <v>22</v>
      </c>
      <c r="AZ135" t="s">
        <v>3707</v>
      </c>
      <c r="BA135">
        <v>60</v>
      </c>
      <c r="BB135" t="s">
        <v>35</v>
      </c>
      <c r="BC135" t="s">
        <v>36</v>
      </c>
      <c r="BD135" s="4">
        <f>HYPERLINK("http://mlb.mlb.com/team/player.jsp?player_id=605233",605233)</f>
        <v>605233</v>
      </c>
      <c r="BE135">
        <v>608</v>
      </c>
      <c r="BF135">
        <v>1608</v>
      </c>
      <c r="BG135">
        <v>166</v>
      </c>
      <c r="BH135">
        <v>146</v>
      </c>
    </row>
    <row r="136" spans="1:60" x14ac:dyDescent="0.3">
      <c r="A136" s="4">
        <f>HYPERLINK("http://legacy.baseballprospectus.com/p/45449",45449)</f>
        <v>45449</v>
      </c>
      <c r="B136" t="s">
        <v>507</v>
      </c>
      <c r="C136" t="s">
        <v>173</v>
      </c>
      <c r="D136" s="10">
        <v>30732</v>
      </c>
      <c r="E136" t="s">
        <v>54</v>
      </c>
      <c r="F136" t="s">
        <v>9</v>
      </c>
      <c r="G136" t="s">
        <v>33</v>
      </c>
      <c r="H136">
        <v>75</v>
      </c>
      <c r="I136">
        <v>225</v>
      </c>
      <c r="J136">
        <v>2018</v>
      </c>
      <c r="K136" s="4" t="str">
        <f>HYPERLINK("http://legacy.baseballprospectus.com/fantasy/dc/index.php?tm=HOU","HOU")</f>
        <v>HOU</v>
      </c>
      <c r="L136" t="s">
        <v>95</v>
      </c>
      <c r="M136" t="s">
        <v>34</v>
      </c>
      <c r="N136">
        <v>34</v>
      </c>
      <c r="O136">
        <v>512</v>
      </c>
      <c r="P136">
        <v>127</v>
      </c>
      <c r="Q136">
        <v>456</v>
      </c>
      <c r="R136">
        <v>64</v>
      </c>
      <c r="S136">
        <v>70</v>
      </c>
      <c r="T136">
        <v>17</v>
      </c>
      <c r="U136">
        <v>1</v>
      </c>
      <c r="V136">
        <v>21</v>
      </c>
      <c r="W136">
        <v>109</v>
      </c>
      <c r="X136">
        <v>191</v>
      </c>
      <c r="Y136">
        <v>66</v>
      </c>
      <c r="Z136">
        <v>45</v>
      </c>
      <c r="AA136">
        <v>2</v>
      </c>
      <c r="AB136">
        <v>7</v>
      </c>
      <c r="AC136">
        <v>91</v>
      </c>
      <c r="AD136">
        <v>0</v>
      </c>
      <c r="AE136">
        <v>3</v>
      </c>
      <c r="AF136">
        <v>15</v>
      </c>
      <c r="AG136">
        <v>1</v>
      </c>
      <c r="AH136">
        <v>0</v>
      </c>
      <c r="AI136" s="5">
        <v>0.23899999999999999</v>
      </c>
      <c r="AJ136" s="5">
        <v>0.315</v>
      </c>
      <c r="AK136" s="5">
        <v>0.41899999999999998</v>
      </c>
      <c r="AL136" s="5">
        <v>0.25600000000000001</v>
      </c>
      <c r="AM136" s="5">
        <v>0.25</v>
      </c>
      <c r="AN136">
        <v>-0.9</v>
      </c>
      <c r="AO136">
        <v>3.29</v>
      </c>
      <c r="AP136">
        <v>13.75</v>
      </c>
      <c r="AQ136">
        <v>-2.15</v>
      </c>
      <c r="AR136">
        <v>1.2</v>
      </c>
      <c r="AS136" t="s">
        <v>62</v>
      </c>
      <c r="AT136">
        <v>1.5</v>
      </c>
      <c r="AU136">
        <v>14</v>
      </c>
      <c r="AV136">
        <v>0</v>
      </c>
      <c r="AW136">
        <v>37</v>
      </c>
      <c r="AX136">
        <v>9</v>
      </c>
      <c r="AY136">
        <v>13</v>
      </c>
      <c r="AZ136" t="s">
        <v>3656</v>
      </c>
      <c r="BA136">
        <v>89</v>
      </c>
      <c r="BB136" t="s">
        <v>35</v>
      </c>
      <c r="BC136" t="s">
        <v>36</v>
      </c>
      <c r="BD136" s="4">
        <f>HYPERLINK("http://mlb.mlb.com/team/player.jsp?player_id=435263",435263)</f>
        <v>435263</v>
      </c>
      <c r="BE136">
        <v>355</v>
      </c>
      <c r="BF136">
        <v>1355</v>
      </c>
      <c r="BG136">
        <v>399</v>
      </c>
      <c r="BH136">
        <v>349</v>
      </c>
    </row>
    <row r="137" spans="1:60" x14ac:dyDescent="0.3">
      <c r="A137" s="4">
        <f>HYPERLINK("http://legacy.baseballprospectus.com/p/59346",59346)</f>
        <v>59346</v>
      </c>
      <c r="B137" t="s">
        <v>1941</v>
      </c>
      <c r="C137" t="s">
        <v>247</v>
      </c>
      <c r="D137" s="10">
        <v>31726</v>
      </c>
      <c r="E137" t="s">
        <v>50</v>
      </c>
      <c r="F137" t="s">
        <v>9</v>
      </c>
      <c r="G137" t="s">
        <v>33</v>
      </c>
      <c r="H137">
        <v>72</v>
      </c>
      <c r="I137">
        <v>210</v>
      </c>
      <c r="J137">
        <v>2018</v>
      </c>
      <c r="K137" s="4" t="str">
        <f>HYPERLINK("http://legacy.baseballprospectus.com/fantasy/dc/index.php?tm=MIL","MIL")</f>
        <v>MIL</v>
      </c>
      <c r="L137" t="s">
        <v>100</v>
      </c>
      <c r="M137" t="s">
        <v>34</v>
      </c>
      <c r="N137">
        <v>31</v>
      </c>
      <c r="O137">
        <v>475</v>
      </c>
      <c r="P137">
        <v>154</v>
      </c>
      <c r="Q137">
        <v>408</v>
      </c>
      <c r="R137">
        <v>66</v>
      </c>
      <c r="S137">
        <v>52</v>
      </c>
      <c r="T137">
        <v>19</v>
      </c>
      <c r="U137">
        <v>2</v>
      </c>
      <c r="V137">
        <v>24</v>
      </c>
      <c r="W137">
        <v>97</v>
      </c>
      <c r="X137">
        <v>192</v>
      </c>
      <c r="Y137">
        <v>71</v>
      </c>
      <c r="Z137">
        <v>59</v>
      </c>
      <c r="AA137">
        <v>3</v>
      </c>
      <c r="AB137">
        <v>6</v>
      </c>
      <c r="AC137">
        <v>139</v>
      </c>
      <c r="AD137">
        <v>0</v>
      </c>
      <c r="AE137">
        <v>2</v>
      </c>
      <c r="AF137">
        <v>10</v>
      </c>
      <c r="AG137">
        <v>4</v>
      </c>
      <c r="AH137">
        <v>2</v>
      </c>
      <c r="AI137" s="5">
        <v>0.23799999999999999</v>
      </c>
      <c r="AJ137" s="5">
        <v>0.34100000000000003</v>
      </c>
      <c r="AK137" s="5">
        <v>0.47099999999999997</v>
      </c>
      <c r="AL137" s="5">
        <v>0.27800000000000002</v>
      </c>
      <c r="AM137" s="5">
        <v>0.29499999999999998</v>
      </c>
      <c r="AN137">
        <v>-0.4</v>
      </c>
      <c r="AO137">
        <v>-5.78</v>
      </c>
      <c r="AP137">
        <v>12.75</v>
      </c>
      <c r="AQ137">
        <v>8.99</v>
      </c>
      <c r="AR137">
        <v>-0.5</v>
      </c>
      <c r="AS137" t="s">
        <v>1004</v>
      </c>
      <c r="AT137">
        <v>1.5</v>
      </c>
      <c r="AU137">
        <v>15.6</v>
      </c>
      <c r="AV137">
        <v>6</v>
      </c>
      <c r="AW137">
        <v>37</v>
      </c>
      <c r="AX137">
        <v>8</v>
      </c>
      <c r="AY137">
        <v>10</v>
      </c>
      <c r="AZ137" t="s">
        <v>3687</v>
      </c>
      <c r="BA137">
        <v>97</v>
      </c>
      <c r="BB137" t="s">
        <v>35</v>
      </c>
      <c r="BC137" t="s">
        <v>36</v>
      </c>
      <c r="BD137" s="4">
        <f>HYPERLINK("http://mlb.mlb.com/team/player.jsp?player_id=519346",519346)</f>
        <v>519346</v>
      </c>
      <c r="BE137">
        <v>1428</v>
      </c>
      <c r="BF137">
        <v>428</v>
      </c>
      <c r="BG137">
        <v>551</v>
      </c>
      <c r="BH137">
        <v>469</v>
      </c>
    </row>
    <row r="138" spans="1:60" x14ac:dyDescent="0.3">
      <c r="A138" s="4">
        <f>HYPERLINK("http://legacy.baseballprospectus.com/p/70775",70775)</f>
        <v>70775</v>
      </c>
      <c r="B138" t="s">
        <v>161</v>
      </c>
      <c r="C138" t="s">
        <v>150</v>
      </c>
      <c r="D138" s="10">
        <v>33830</v>
      </c>
      <c r="E138" t="s">
        <v>50</v>
      </c>
      <c r="F138" t="s">
        <v>37</v>
      </c>
      <c r="G138" t="s">
        <v>33</v>
      </c>
      <c r="H138">
        <v>74</v>
      </c>
      <c r="I138">
        <v>230</v>
      </c>
      <c r="J138">
        <v>2018</v>
      </c>
      <c r="K138" s="4" t="str">
        <f>HYPERLINK("http://legacy.baseballprospectus.com/fantasy/dc/index.php?tm=PIT","PIT")</f>
        <v>PIT</v>
      </c>
      <c r="L138" t="s">
        <v>100</v>
      </c>
      <c r="M138" t="s">
        <v>34</v>
      </c>
      <c r="N138">
        <v>25</v>
      </c>
      <c r="O138">
        <v>631</v>
      </c>
      <c r="P138">
        <v>154</v>
      </c>
      <c r="Q138">
        <v>557</v>
      </c>
      <c r="R138">
        <v>76</v>
      </c>
      <c r="S138">
        <v>97</v>
      </c>
      <c r="T138">
        <v>27</v>
      </c>
      <c r="U138">
        <v>5</v>
      </c>
      <c r="V138">
        <v>21</v>
      </c>
      <c r="W138">
        <v>150</v>
      </c>
      <c r="X138">
        <v>250</v>
      </c>
      <c r="Y138">
        <v>82</v>
      </c>
      <c r="Z138">
        <v>67</v>
      </c>
      <c r="AA138">
        <v>6</v>
      </c>
      <c r="AB138">
        <v>3</v>
      </c>
      <c r="AC138">
        <v>106</v>
      </c>
      <c r="AD138">
        <v>1</v>
      </c>
      <c r="AE138">
        <v>3</v>
      </c>
      <c r="AF138">
        <v>16</v>
      </c>
      <c r="AG138">
        <v>3</v>
      </c>
      <c r="AH138">
        <v>3</v>
      </c>
      <c r="AI138" s="5">
        <v>0.26900000000000002</v>
      </c>
      <c r="AJ138" s="5">
        <v>0.34899999999999998</v>
      </c>
      <c r="AK138" s="5">
        <v>0.44900000000000001</v>
      </c>
      <c r="AL138" s="5">
        <v>0.27800000000000002</v>
      </c>
      <c r="AM138" s="5">
        <v>0.29799999999999999</v>
      </c>
      <c r="AN138">
        <v>-1.3</v>
      </c>
      <c r="AO138">
        <v>-7.22</v>
      </c>
      <c r="AP138">
        <v>16.940000000000001</v>
      </c>
      <c r="AQ138">
        <v>12.23</v>
      </c>
      <c r="AR138">
        <v>-5.6</v>
      </c>
      <c r="AS138" t="s">
        <v>2196</v>
      </c>
      <c r="AT138">
        <v>1.5</v>
      </c>
      <c r="AU138">
        <v>20.7</v>
      </c>
      <c r="AV138">
        <v>4</v>
      </c>
      <c r="AW138">
        <v>52</v>
      </c>
      <c r="AX138">
        <v>3</v>
      </c>
      <c r="AY138">
        <v>15</v>
      </c>
      <c r="AZ138" t="s">
        <v>3710</v>
      </c>
      <c r="BA138">
        <v>91</v>
      </c>
      <c r="BB138" t="s">
        <v>35</v>
      </c>
      <c r="BC138" t="s">
        <v>36</v>
      </c>
      <c r="BD138" s="4">
        <f>HYPERLINK("http://mlb.mlb.com/team/player.jsp?player_id=605137",605137)</f>
        <v>605137</v>
      </c>
      <c r="BE138">
        <v>1425</v>
      </c>
      <c r="BF138">
        <v>425</v>
      </c>
      <c r="BG138">
        <v>620</v>
      </c>
      <c r="BH138">
        <v>549</v>
      </c>
    </row>
    <row r="139" spans="1:60" x14ac:dyDescent="0.3">
      <c r="A139" s="4">
        <f>HYPERLINK("http://legacy.baseballprospectus.com/p/57951",57951)</f>
        <v>57951</v>
      </c>
      <c r="B139" t="s">
        <v>412</v>
      </c>
      <c r="C139" t="s">
        <v>150</v>
      </c>
      <c r="D139" s="10">
        <v>31966</v>
      </c>
      <c r="E139" t="s">
        <v>58</v>
      </c>
      <c r="F139" t="s">
        <v>33</v>
      </c>
      <c r="G139" t="s">
        <v>33</v>
      </c>
      <c r="H139">
        <v>68</v>
      </c>
      <c r="I139">
        <v>180</v>
      </c>
      <c r="J139">
        <v>2018</v>
      </c>
      <c r="K139" s="4" t="str">
        <f>HYPERLINK("http://legacy.baseballprospectus.com/fantasy/dc/index.php?tm=PIT","PIT")</f>
        <v>PIT</v>
      </c>
      <c r="L139" t="s">
        <v>100</v>
      </c>
      <c r="M139" t="s">
        <v>34</v>
      </c>
      <c r="N139">
        <v>30</v>
      </c>
      <c r="O139">
        <v>636</v>
      </c>
      <c r="P139">
        <v>154</v>
      </c>
      <c r="Q139">
        <v>591</v>
      </c>
      <c r="R139">
        <v>80</v>
      </c>
      <c r="S139">
        <v>112</v>
      </c>
      <c r="T139">
        <v>35</v>
      </c>
      <c r="U139">
        <v>5</v>
      </c>
      <c r="V139">
        <v>12</v>
      </c>
      <c r="W139">
        <v>164</v>
      </c>
      <c r="X139">
        <v>245</v>
      </c>
      <c r="Y139">
        <v>60</v>
      </c>
      <c r="Z139">
        <v>27</v>
      </c>
      <c r="AA139">
        <v>1</v>
      </c>
      <c r="AB139">
        <v>11</v>
      </c>
      <c r="AC139">
        <v>97</v>
      </c>
      <c r="AD139">
        <v>4</v>
      </c>
      <c r="AE139">
        <v>4</v>
      </c>
      <c r="AF139">
        <v>13</v>
      </c>
      <c r="AG139">
        <v>16</v>
      </c>
      <c r="AH139">
        <v>6</v>
      </c>
      <c r="AI139" s="5">
        <v>0.27700000000000002</v>
      </c>
      <c r="AJ139" s="5">
        <v>0.31900000000000001</v>
      </c>
      <c r="AK139" s="5">
        <v>0.41499999999999998</v>
      </c>
      <c r="AL139" s="5">
        <v>0.254</v>
      </c>
      <c r="AM139" s="5">
        <v>0.308</v>
      </c>
      <c r="AN139">
        <v>0.9</v>
      </c>
      <c r="AO139">
        <v>2.97</v>
      </c>
      <c r="AP139">
        <v>17.079999999999998</v>
      </c>
      <c r="AQ139">
        <v>-4.05</v>
      </c>
      <c r="AR139">
        <v>-1.6</v>
      </c>
      <c r="AS139" t="s">
        <v>3689</v>
      </c>
      <c r="AT139">
        <v>1.5</v>
      </c>
      <c r="AU139">
        <v>16.899999999999999</v>
      </c>
      <c r="AV139">
        <v>1</v>
      </c>
      <c r="AW139">
        <v>46</v>
      </c>
      <c r="AX139">
        <v>7</v>
      </c>
      <c r="AY139">
        <v>9</v>
      </c>
      <c r="AZ139" t="s">
        <v>3690</v>
      </c>
      <c r="BA139">
        <v>99</v>
      </c>
      <c r="BB139" t="s">
        <v>35</v>
      </c>
      <c r="BC139" t="s">
        <v>36</v>
      </c>
      <c r="BD139" s="4">
        <f>HYPERLINK("http://mlb.mlb.com/team/player.jsp?player_id=543281",543281)</f>
        <v>543281</v>
      </c>
      <c r="BE139">
        <v>1451</v>
      </c>
      <c r="BF139">
        <v>451</v>
      </c>
      <c r="BG139">
        <v>542</v>
      </c>
      <c r="BH139">
        <v>486</v>
      </c>
    </row>
    <row r="140" spans="1:60" x14ac:dyDescent="0.3">
      <c r="A140" s="4">
        <f>HYPERLINK("http://legacy.baseballprospectus.com/p/31391",31391)</f>
        <v>31391</v>
      </c>
      <c r="B140" t="s">
        <v>519</v>
      </c>
      <c r="C140" t="s">
        <v>520</v>
      </c>
      <c r="D140" s="10">
        <v>30145</v>
      </c>
      <c r="E140" t="s">
        <v>54</v>
      </c>
      <c r="F140" t="s">
        <v>33</v>
      </c>
      <c r="G140" t="s">
        <v>33</v>
      </c>
      <c r="H140">
        <v>71</v>
      </c>
      <c r="I140">
        <v>205</v>
      </c>
      <c r="J140">
        <v>2018</v>
      </c>
      <c r="K140" s="4" t="str">
        <f>HYPERLINK("http://legacy.baseballprospectus.com/fantasy/dc/index.php?tm=SLN","SLN")</f>
        <v>SLN</v>
      </c>
      <c r="L140" t="s">
        <v>100</v>
      </c>
      <c r="M140" t="s">
        <v>34</v>
      </c>
      <c r="N140">
        <v>35</v>
      </c>
      <c r="O140">
        <v>495</v>
      </c>
      <c r="P140">
        <v>126</v>
      </c>
      <c r="Q140">
        <v>458</v>
      </c>
      <c r="R140">
        <v>52</v>
      </c>
      <c r="S140">
        <v>90</v>
      </c>
      <c r="T140">
        <v>26</v>
      </c>
      <c r="U140">
        <v>1</v>
      </c>
      <c r="V140">
        <v>9</v>
      </c>
      <c r="W140">
        <v>126</v>
      </c>
      <c r="X140">
        <v>181</v>
      </c>
      <c r="Y140">
        <v>49</v>
      </c>
      <c r="Z140">
        <v>28</v>
      </c>
      <c r="AA140">
        <v>2</v>
      </c>
      <c r="AB140">
        <v>4</v>
      </c>
      <c r="AC140">
        <v>62</v>
      </c>
      <c r="AD140">
        <v>1</v>
      </c>
      <c r="AE140">
        <v>4</v>
      </c>
      <c r="AF140">
        <v>17</v>
      </c>
      <c r="AG140">
        <v>5</v>
      </c>
      <c r="AH140">
        <v>2</v>
      </c>
      <c r="AI140" s="5">
        <v>0.27500000000000002</v>
      </c>
      <c r="AJ140" s="5">
        <v>0.32</v>
      </c>
      <c r="AK140" s="5">
        <v>0.39500000000000002</v>
      </c>
      <c r="AL140" s="5">
        <v>0.246</v>
      </c>
      <c r="AM140" s="5">
        <v>0.29899999999999999</v>
      </c>
      <c r="AN140">
        <v>-0.8</v>
      </c>
      <c r="AO140">
        <v>3.77</v>
      </c>
      <c r="AP140">
        <v>13.29</v>
      </c>
      <c r="AQ140">
        <v>-7.05</v>
      </c>
      <c r="AR140">
        <v>5.3</v>
      </c>
      <c r="AS140" t="s">
        <v>2195</v>
      </c>
      <c r="AT140">
        <v>1.5</v>
      </c>
      <c r="AU140">
        <v>9.1999999999999993</v>
      </c>
      <c r="AV140">
        <v>1</v>
      </c>
      <c r="AW140">
        <v>35</v>
      </c>
      <c r="AX140">
        <v>14</v>
      </c>
      <c r="AY140">
        <v>25</v>
      </c>
      <c r="AZ140" t="s">
        <v>3678</v>
      </c>
      <c r="BA140">
        <v>86</v>
      </c>
      <c r="BB140" t="s">
        <v>35</v>
      </c>
      <c r="BC140" t="s">
        <v>36</v>
      </c>
      <c r="BD140" s="4">
        <f>HYPERLINK("http://mlb.mlb.com/team/player.jsp?player_id=425877",425877)</f>
        <v>425877</v>
      </c>
      <c r="BE140">
        <v>1371</v>
      </c>
      <c r="BF140">
        <v>371</v>
      </c>
      <c r="BG140">
        <v>543</v>
      </c>
      <c r="BH140">
        <v>501</v>
      </c>
    </row>
    <row r="141" spans="1:60" x14ac:dyDescent="0.3">
      <c r="A141" s="4">
        <f>HYPERLINK("http://legacy.baseballprospectus.com/p/50106",50106)</f>
        <v>50106</v>
      </c>
      <c r="B141" t="s">
        <v>1248</v>
      </c>
      <c r="C141" t="s">
        <v>332</v>
      </c>
      <c r="D141" s="10">
        <v>32210</v>
      </c>
      <c r="E141" t="s">
        <v>65</v>
      </c>
      <c r="F141" t="s">
        <v>33</v>
      </c>
      <c r="G141" t="s">
        <v>33</v>
      </c>
      <c r="H141">
        <v>73</v>
      </c>
      <c r="I141">
        <v>210</v>
      </c>
      <c r="J141">
        <v>2018</v>
      </c>
      <c r="K141" s="4" t="str">
        <f>HYPERLINK("http://legacy.baseballprospectus.com/fantasy/dc/index.php?tm=SLN","SLN")</f>
        <v>SLN</v>
      </c>
      <c r="L141" t="s">
        <v>100</v>
      </c>
      <c r="M141" t="s">
        <v>34</v>
      </c>
      <c r="N141">
        <v>30</v>
      </c>
      <c r="O141">
        <v>628</v>
      </c>
      <c r="P141">
        <v>154</v>
      </c>
      <c r="Q141">
        <v>546</v>
      </c>
      <c r="R141">
        <v>96</v>
      </c>
      <c r="S141">
        <v>94</v>
      </c>
      <c r="T141">
        <v>25</v>
      </c>
      <c r="U141">
        <v>4</v>
      </c>
      <c r="V141">
        <v>22</v>
      </c>
      <c r="W141">
        <v>145</v>
      </c>
      <c r="X141">
        <v>244</v>
      </c>
      <c r="Y141">
        <v>72</v>
      </c>
      <c r="Z141">
        <v>70</v>
      </c>
      <c r="AA141">
        <v>2</v>
      </c>
      <c r="AB141">
        <v>7</v>
      </c>
      <c r="AC141">
        <v>156</v>
      </c>
      <c r="AD141">
        <v>2</v>
      </c>
      <c r="AE141">
        <v>3</v>
      </c>
      <c r="AF141">
        <v>17</v>
      </c>
      <c r="AG141">
        <v>22</v>
      </c>
      <c r="AH141">
        <v>7</v>
      </c>
      <c r="AI141" s="5">
        <v>0.26600000000000001</v>
      </c>
      <c r="AJ141" s="5">
        <v>0.35499999999999998</v>
      </c>
      <c r="AK141" s="5">
        <v>0.44700000000000001</v>
      </c>
      <c r="AL141" s="5">
        <v>0.27900000000000003</v>
      </c>
      <c r="AM141" s="5">
        <v>0.33</v>
      </c>
      <c r="AN141">
        <v>1.9</v>
      </c>
      <c r="AO141">
        <v>0.92</v>
      </c>
      <c r="AP141">
        <v>16.86</v>
      </c>
      <c r="AQ141">
        <v>12.38</v>
      </c>
      <c r="AR141">
        <v>-16.899999999999999</v>
      </c>
      <c r="AS141" t="s">
        <v>4838</v>
      </c>
      <c r="AT141">
        <v>1.5</v>
      </c>
      <c r="AU141">
        <v>32</v>
      </c>
      <c r="AV141">
        <v>2</v>
      </c>
      <c r="AW141">
        <v>35</v>
      </c>
      <c r="AX141">
        <v>17</v>
      </c>
      <c r="AY141">
        <v>22</v>
      </c>
      <c r="AZ141" t="s">
        <v>3599</v>
      </c>
      <c r="BA141">
        <v>89</v>
      </c>
      <c r="BB141" t="s">
        <v>35</v>
      </c>
      <c r="BC141" t="s">
        <v>36</v>
      </c>
      <c r="BD141" s="4">
        <f>HYPERLINK("http://mlb.mlb.com/team/player.jsp?player_id=502054",502054)</f>
        <v>502054</v>
      </c>
      <c r="BE141">
        <v>1588</v>
      </c>
      <c r="BF141">
        <v>588</v>
      </c>
      <c r="BG141">
        <v>530</v>
      </c>
      <c r="BH141">
        <v>444</v>
      </c>
    </row>
    <row r="142" spans="1:60" x14ac:dyDescent="0.3">
      <c r="A142" s="4">
        <f>HYPERLINK("http://legacy.baseballprospectus.com/p/100634",100634)</f>
        <v>100634</v>
      </c>
      <c r="B142" t="s">
        <v>1235</v>
      </c>
      <c r="C142" t="s">
        <v>472</v>
      </c>
      <c r="D142" s="10">
        <v>34462</v>
      </c>
      <c r="E142" t="s">
        <v>57</v>
      </c>
      <c r="F142" t="s">
        <v>33</v>
      </c>
      <c r="G142" t="s">
        <v>33</v>
      </c>
      <c r="H142">
        <v>75</v>
      </c>
      <c r="I142">
        <v>195</v>
      </c>
      <c r="J142">
        <v>2018</v>
      </c>
      <c r="K142" s="4" t="str">
        <f>HYPERLINK("http://legacy.baseballprospectus.com/fantasy/dc/index.php?tm=MIA","MIA")</f>
        <v>MIA</v>
      </c>
      <c r="L142" t="s">
        <v>100</v>
      </c>
      <c r="M142" t="s">
        <v>34</v>
      </c>
      <c r="N142">
        <v>24</v>
      </c>
      <c r="O142">
        <v>576</v>
      </c>
      <c r="P142">
        <v>154</v>
      </c>
      <c r="Q142">
        <v>523</v>
      </c>
      <c r="R142">
        <v>82</v>
      </c>
      <c r="S142">
        <v>81</v>
      </c>
      <c r="T142">
        <v>24</v>
      </c>
      <c r="U142">
        <v>5</v>
      </c>
      <c r="V142">
        <v>22</v>
      </c>
      <c r="W142">
        <v>132</v>
      </c>
      <c r="X142">
        <v>232</v>
      </c>
      <c r="Y142">
        <v>68</v>
      </c>
      <c r="Z142">
        <v>42</v>
      </c>
      <c r="AA142">
        <v>3</v>
      </c>
      <c r="AB142">
        <v>6</v>
      </c>
      <c r="AC142">
        <v>141</v>
      </c>
      <c r="AD142">
        <v>1</v>
      </c>
      <c r="AE142">
        <v>4</v>
      </c>
      <c r="AF142">
        <v>15</v>
      </c>
      <c r="AG142">
        <v>14</v>
      </c>
      <c r="AH142">
        <v>5</v>
      </c>
      <c r="AI142" s="5">
        <v>0.252</v>
      </c>
      <c r="AJ142" s="5">
        <v>0.313</v>
      </c>
      <c r="AK142" s="5">
        <v>0.44400000000000001</v>
      </c>
      <c r="AL142" s="5">
        <v>0.26200000000000001</v>
      </c>
      <c r="AM142" s="5">
        <v>0.30099999999999999</v>
      </c>
      <c r="AN142">
        <v>0.9</v>
      </c>
      <c r="AO142">
        <v>-1.51</v>
      </c>
      <c r="AP142">
        <v>15.46</v>
      </c>
      <c r="AQ142">
        <v>1.1599999999999999</v>
      </c>
      <c r="AR142">
        <v>-0.5</v>
      </c>
      <c r="AS142" t="s">
        <v>4930</v>
      </c>
      <c r="AT142">
        <v>1.5</v>
      </c>
      <c r="AU142">
        <v>16</v>
      </c>
      <c r="AV142">
        <v>9</v>
      </c>
      <c r="AW142">
        <v>28</v>
      </c>
      <c r="AX142">
        <v>11</v>
      </c>
      <c r="AY142">
        <v>21</v>
      </c>
      <c r="AZ142" t="s">
        <v>3589</v>
      </c>
      <c r="BA142">
        <v>55</v>
      </c>
      <c r="BB142" t="s">
        <v>35</v>
      </c>
      <c r="BC142" t="s">
        <v>35</v>
      </c>
      <c r="BD142" s="4">
        <f>HYPERLINK("http://mlb.mlb.com/team/player.jsp?player_id=621446",621446)</f>
        <v>621446</v>
      </c>
      <c r="BE142">
        <v>1640</v>
      </c>
      <c r="BF142">
        <v>640</v>
      </c>
      <c r="BG142">
        <v>55</v>
      </c>
      <c r="BH142">
        <v>47</v>
      </c>
    </row>
    <row r="143" spans="1:60" x14ac:dyDescent="0.3">
      <c r="A143" s="4">
        <f>HYPERLINK("http://legacy.baseballprospectus.com/p/108571",108571)</f>
        <v>108571</v>
      </c>
      <c r="B143" t="s">
        <v>1844</v>
      </c>
      <c r="C143" t="s">
        <v>108</v>
      </c>
      <c r="D143" s="10">
        <v>34879</v>
      </c>
      <c r="E143" t="s">
        <v>51</v>
      </c>
      <c r="F143" t="s">
        <v>33</v>
      </c>
      <c r="G143" t="s">
        <v>33</v>
      </c>
      <c r="H143">
        <v>73</v>
      </c>
      <c r="I143">
        <v>205</v>
      </c>
      <c r="J143">
        <v>2018</v>
      </c>
      <c r="K143" s="4" t="str">
        <f>HYPERLINK("http://legacy.baseballprospectus.com/fantasy/dc/index.php?tm=CIN","CIN")</f>
        <v>CIN</v>
      </c>
      <c r="L143" t="s">
        <v>100</v>
      </c>
      <c r="M143" t="s">
        <v>34</v>
      </c>
      <c r="N143">
        <v>23</v>
      </c>
      <c r="O143">
        <v>250</v>
      </c>
      <c r="P143" t="s">
        <v>1680</v>
      </c>
      <c r="Q143">
        <v>223</v>
      </c>
      <c r="R143">
        <v>32</v>
      </c>
      <c r="S143">
        <v>34</v>
      </c>
      <c r="T143">
        <v>14</v>
      </c>
      <c r="U143">
        <v>1</v>
      </c>
      <c r="V143">
        <v>10</v>
      </c>
      <c r="W143">
        <v>59</v>
      </c>
      <c r="X143">
        <v>105</v>
      </c>
      <c r="Y143">
        <v>35</v>
      </c>
      <c r="Z143">
        <v>24</v>
      </c>
      <c r="AA143">
        <v>1</v>
      </c>
      <c r="AB143">
        <v>2</v>
      </c>
      <c r="AC143">
        <v>61</v>
      </c>
      <c r="AD143">
        <v>0</v>
      </c>
      <c r="AE143">
        <v>1</v>
      </c>
      <c r="AF143">
        <v>5</v>
      </c>
      <c r="AG143">
        <v>4</v>
      </c>
      <c r="AH143">
        <v>2</v>
      </c>
      <c r="AI143" s="5">
        <v>0.26400000000000001</v>
      </c>
      <c r="AJ143" s="5">
        <v>0.33800000000000002</v>
      </c>
      <c r="AK143" s="5">
        <v>0.46899999999999997</v>
      </c>
      <c r="AL143" s="5">
        <v>0.26700000000000002</v>
      </c>
      <c r="AM143" s="5">
        <v>0.318</v>
      </c>
      <c r="AN143">
        <v>-0.2</v>
      </c>
      <c r="AO143">
        <v>1.57</v>
      </c>
      <c r="AP143">
        <v>7</v>
      </c>
      <c r="AQ143">
        <v>1.94</v>
      </c>
      <c r="AR143">
        <v>3.1</v>
      </c>
      <c r="AS143" t="s">
        <v>1009</v>
      </c>
      <c r="AT143">
        <v>1.5</v>
      </c>
      <c r="AU143">
        <v>10.3</v>
      </c>
      <c r="AV143">
        <v>9</v>
      </c>
      <c r="AW143">
        <v>24</v>
      </c>
      <c r="AX143">
        <v>8</v>
      </c>
      <c r="AY143">
        <v>21</v>
      </c>
      <c r="AZ143" t="s">
        <v>3703</v>
      </c>
      <c r="BA143">
        <v>58</v>
      </c>
      <c r="BB143" t="s">
        <v>36</v>
      </c>
      <c r="BC143" t="s">
        <v>35</v>
      </c>
      <c r="BD143" s="4">
        <f>HYPERLINK("http://mlb.mlb.com/team/player.jsp?player_id=669222",669222)</f>
        <v>669222</v>
      </c>
      <c r="BE143">
        <v>1513</v>
      </c>
      <c r="BF143">
        <v>513</v>
      </c>
      <c r="BG143">
        <v>0</v>
      </c>
      <c r="BH143">
        <v>0</v>
      </c>
    </row>
    <row r="144" spans="1:60" x14ac:dyDescent="0.3">
      <c r="A144" s="4">
        <f>HYPERLINK("http://legacy.baseballprospectus.com/p/45435",45435)</f>
        <v>45435</v>
      </c>
      <c r="B144" t="s">
        <v>450</v>
      </c>
      <c r="C144" t="s">
        <v>313</v>
      </c>
      <c r="D144" s="10">
        <v>31260</v>
      </c>
      <c r="E144" t="s">
        <v>65</v>
      </c>
      <c r="F144" t="s">
        <v>33</v>
      </c>
      <c r="G144" t="s">
        <v>33</v>
      </c>
      <c r="H144">
        <v>74</v>
      </c>
      <c r="I144">
        <v>215</v>
      </c>
      <c r="J144">
        <v>2018</v>
      </c>
      <c r="K144" s="4" t="str">
        <f>HYPERLINK("http://legacy.baseballprospectus.com/fantasy/dc/index.php?tm=BAL","BAL")</f>
        <v>BAL</v>
      </c>
      <c r="L144" t="s">
        <v>95</v>
      </c>
      <c r="M144" t="s">
        <v>34</v>
      </c>
      <c r="N144">
        <v>32</v>
      </c>
      <c r="O144">
        <v>639</v>
      </c>
      <c r="P144">
        <v>152</v>
      </c>
      <c r="Q144">
        <v>601</v>
      </c>
      <c r="R144">
        <v>76</v>
      </c>
      <c r="S144">
        <v>110</v>
      </c>
      <c r="T144">
        <v>25</v>
      </c>
      <c r="U144">
        <v>2</v>
      </c>
      <c r="V144">
        <v>26</v>
      </c>
      <c r="W144">
        <v>163</v>
      </c>
      <c r="X144">
        <v>270</v>
      </c>
      <c r="Y144">
        <v>88</v>
      </c>
      <c r="Z144">
        <v>27</v>
      </c>
      <c r="AA144">
        <v>2</v>
      </c>
      <c r="AB144">
        <v>7</v>
      </c>
      <c r="AC144">
        <v>120</v>
      </c>
      <c r="AD144">
        <v>0</v>
      </c>
      <c r="AE144">
        <v>4</v>
      </c>
      <c r="AF144">
        <v>17</v>
      </c>
      <c r="AG144">
        <v>3</v>
      </c>
      <c r="AH144">
        <v>1</v>
      </c>
      <c r="AI144" s="5">
        <v>0.27100000000000002</v>
      </c>
      <c r="AJ144" s="5">
        <v>0.308</v>
      </c>
      <c r="AK144" s="5">
        <v>0.44900000000000001</v>
      </c>
      <c r="AL144" s="5">
        <v>0.25900000000000001</v>
      </c>
      <c r="AM144" s="5">
        <v>0.29799999999999999</v>
      </c>
      <c r="AN144">
        <v>-0.9</v>
      </c>
      <c r="AO144">
        <v>0.93</v>
      </c>
      <c r="AP144">
        <v>17.16</v>
      </c>
      <c r="AQ144">
        <v>-0.98</v>
      </c>
      <c r="AR144">
        <v>-2.2000000000000002</v>
      </c>
      <c r="AS144" t="s">
        <v>81</v>
      </c>
      <c r="AT144">
        <v>1.4</v>
      </c>
      <c r="AU144">
        <v>16.2</v>
      </c>
      <c r="AV144">
        <v>1</v>
      </c>
      <c r="AW144">
        <v>44</v>
      </c>
      <c r="AX144">
        <v>2</v>
      </c>
      <c r="AY144">
        <v>12</v>
      </c>
      <c r="AZ144" t="s">
        <v>3682</v>
      </c>
      <c r="BA144">
        <v>99</v>
      </c>
      <c r="BB144" t="s">
        <v>35</v>
      </c>
      <c r="BC144" t="s">
        <v>36</v>
      </c>
      <c r="BD144" s="4">
        <f>HYPERLINK("http://mlb.mlb.com/team/player.jsp?player_id=430945",430945)</f>
        <v>430945</v>
      </c>
      <c r="BE144">
        <v>563</v>
      </c>
      <c r="BF144">
        <v>1563</v>
      </c>
      <c r="BG144">
        <v>635</v>
      </c>
      <c r="BH144">
        <v>597</v>
      </c>
    </row>
    <row r="145" spans="1:60" x14ac:dyDescent="0.3">
      <c r="A145" s="4">
        <f>HYPERLINK("http://legacy.baseballprospectus.com/p/67248",67248)</f>
        <v>67248</v>
      </c>
      <c r="B145" t="s">
        <v>184</v>
      </c>
      <c r="C145" t="s">
        <v>185</v>
      </c>
      <c r="D145" s="10">
        <v>33878</v>
      </c>
      <c r="E145" t="s">
        <v>53</v>
      </c>
      <c r="F145" t="s">
        <v>33</v>
      </c>
      <c r="G145" t="s">
        <v>33</v>
      </c>
      <c r="H145">
        <v>73</v>
      </c>
      <c r="I145">
        <v>210</v>
      </c>
      <c r="J145">
        <v>2018</v>
      </c>
      <c r="K145" s="4" t="str">
        <f>HYPERLINK("http://legacy.baseballprospectus.com/fantasy/dc/index.php?tm=BOS","BOS")</f>
        <v>BOS</v>
      </c>
      <c r="L145" t="s">
        <v>95</v>
      </c>
      <c r="M145" t="s">
        <v>34</v>
      </c>
      <c r="N145">
        <v>25</v>
      </c>
      <c r="O145">
        <v>618</v>
      </c>
      <c r="P145">
        <v>149</v>
      </c>
      <c r="Q145">
        <v>564</v>
      </c>
      <c r="R145">
        <v>68</v>
      </c>
      <c r="S145">
        <v>113</v>
      </c>
      <c r="T145">
        <v>29</v>
      </c>
      <c r="U145">
        <v>3</v>
      </c>
      <c r="V145">
        <v>12</v>
      </c>
      <c r="W145">
        <v>157</v>
      </c>
      <c r="X145">
        <v>228</v>
      </c>
      <c r="Y145">
        <v>67</v>
      </c>
      <c r="Z145">
        <v>46</v>
      </c>
      <c r="AA145">
        <v>3</v>
      </c>
      <c r="AB145">
        <v>5</v>
      </c>
      <c r="AC145">
        <v>115</v>
      </c>
      <c r="AD145">
        <v>1</v>
      </c>
      <c r="AE145">
        <v>2</v>
      </c>
      <c r="AF145">
        <v>15</v>
      </c>
      <c r="AG145">
        <v>11</v>
      </c>
      <c r="AH145">
        <v>2</v>
      </c>
      <c r="AI145" s="5">
        <v>0.27800000000000002</v>
      </c>
      <c r="AJ145" s="5">
        <v>0.33700000000000002</v>
      </c>
      <c r="AK145" s="5">
        <v>0.40400000000000003</v>
      </c>
      <c r="AL145" s="5">
        <v>0.26300000000000001</v>
      </c>
      <c r="AM145" s="5">
        <v>0.33</v>
      </c>
      <c r="AN145">
        <v>0.6</v>
      </c>
      <c r="AO145">
        <v>4.26</v>
      </c>
      <c r="AP145">
        <v>16.59</v>
      </c>
      <c r="AQ145">
        <v>1.81</v>
      </c>
      <c r="AR145">
        <v>-9.8000000000000007</v>
      </c>
      <c r="AS145" t="s">
        <v>3683</v>
      </c>
      <c r="AT145">
        <v>1.4</v>
      </c>
      <c r="AU145">
        <v>23.3</v>
      </c>
      <c r="AV145">
        <v>1</v>
      </c>
      <c r="AW145">
        <v>60</v>
      </c>
      <c r="AX145">
        <v>2</v>
      </c>
      <c r="AY145">
        <v>2</v>
      </c>
      <c r="AZ145" t="s">
        <v>3684</v>
      </c>
      <c r="BA145">
        <v>100</v>
      </c>
      <c r="BB145" t="s">
        <v>35</v>
      </c>
      <c r="BC145" t="s">
        <v>36</v>
      </c>
      <c r="BD145" s="4">
        <f>HYPERLINK("http://mlb.mlb.com/team/player.jsp?player_id=593428",593428)</f>
        <v>593428</v>
      </c>
      <c r="BE145">
        <v>496</v>
      </c>
      <c r="BF145">
        <v>1496</v>
      </c>
      <c r="BG145">
        <v>635</v>
      </c>
      <c r="BH145">
        <v>571</v>
      </c>
    </row>
    <row r="146" spans="1:60" x14ac:dyDescent="0.3">
      <c r="A146" s="4">
        <f>HYPERLINK("http://legacy.baseballprospectus.com/p/65867",65867)</f>
        <v>65867</v>
      </c>
      <c r="B146" t="s">
        <v>300</v>
      </c>
      <c r="C146" t="s">
        <v>301</v>
      </c>
      <c r="D146" s="10">
        <v>32707</v>
      </c>
      <c r="E146" t="s">
        <v>59</v>
      </c>
      <c r="F146" t="s">
        <v>9</v>
      </c>
      <c r="G146" t="s">
        <v>33</v>
      </c>
      <c r="H146">
        <v>72</v>
      </c>
      <c r="I146">
        <v>205</v>
      </c>
      <c r="J146">
        <v>2018</v>
      </c>
      <c r="K146" s="4" t="str">
        <f>HYPERLINK("http://legacy.baseballprospectus.com/fantasy/dc/index.php?tm=MIA","MIA")</f>
        <v>MIA</v>
      </c>
      <c r="L146" t="s">
        <v>100</v>
      </c>
      <c r="M146" t="s">
        <v>34</v>
      </c>
      <c r="N146">
        <v>28</v>
      </c>
      <c r="O146">
        <v>484</v>
      </c>
      <c r="P146">
        <v>129</v>
      </c>
      <c r="Q146">
        <v>424</v>
      </c>
      <c r="R146">
        <v>56</v>
      </c>
      <c r="S146">
        <v>65</v>
      </c>
      <c r="T146">
        <v>20</v>
      </c>
      <c r="U146">
        <v>4</v>
      </c>
      <c r="V146">
        <v>16</v>
      </c>
      <c r="W146">
        <v>105</v>
      </c>
      <c r="X146">
        <v>181</v>
      </c>
      <c r="Y146">
        <v>61</v>
      </c>
      <c r="Z146">
        <v>35</v>
      </c>
      <c r="AA146">
        <v>3</v>
      </c>
      <c r="AB146">
        <v>21</v>
      </c>
      <c r="AC146">
        <v>107</v>
      </c>
      <c r="AD146">
        <v>0</v>
      </c>
      <c r="AE146">
        <v>3</v>
      </c>
      <c r="AF146">
        <v>8</v>
      </c>
      <c r="AG146">
        <v>1</v>
      </c>
      <c r="AH146">
        <v>1</v>
      </c>
      <c r="AI146" s="5">
        <v>0.248</v>
      </c>
      <c r="AJ146" s="5">
        <v>0.33300000000000002</v>
      </c>
      <c r="AK146" s="5">
        <v>0.42699999999999999</v>
      </c>
      <c r="AL146" s="5">
        <v>0.26700000000000002</v>
      </c>
      <c r="AM146" s="5">
        <v>0.29199999999999998</v>
      </c>
      <c r="AN146">
        <v>-0.7</v>
      </c>
      <c r="AO146">
        <v>-0.47</v>
      </c>
      <c r="AP146">
        <v>12.99</v>
      </c>
      <c r="AQ146">
        <v>3.37</v>
      </c>
      <c r="AR146">
        <v>-1.2</v>
      </c>
      <c r="AS146" t="s">
        <v>4968</v>
      </c>
      <c r="AT146">
        <v>1.4</v>
      </c>
      <c r="AU146">
        <v>15.2</v>
      </c>
      <c r="AV146">
        <v>1</v>
      </c>
      <c r="AW146">
        <v>54</v>
      </c>
      <c r="AX146">
        <v>4</v>
      </c>
      <c r="AY146">
        <v>14</v>
      </c>
      <c r="AZ146" t="s">
        <v>3788</v>
      </c>
      <c r="BA146">
        <v>95</v>
      </c>
      <c r="BB146" t="s">
        <v>35</v>
      </c>
      <c r="BC146" t="s">
        <v>36</v>
      </c>
      <c r="BD146" s="4">
        <f>HYPERLINK("http://mlb.mlb.com/team/player.jsp?player_id=518618",518618)</f>
        <v>518618</v>
      </c>
      <c r="BE146">
        <v>1497</v>
      </c>
      <c r="BF146">
        <v>497</v>
      </c>
      <c r="BG146">
        <v>464</v>
      </c>
      <c r="BH146">
        <v>406</v>
      </c>
    </row>
    <row r="147" spans="1:60" x14ac:dyDescent="0.3">
      <c r="A147" s="4">
        <f>HYPERLINK("http://legacy.baseballprospectus.com/p/58831",58831)</f>
        <v>58831</v>
      </c>
      <c r="B147" t="s">
        <v>239</v>
      </c>
      <c r="C147" t="s">
        <v>156</v>
      </c>
      <c r="D147" s="10">
        <v>31946</v>
      </c>
      <c r="E147" t="s">
        <v>54</v>
      </c>
      <c r="F147" t="s">
        <v>9</v>
      </c>
      <c r="G147" t="s">
        <v>33</v>
      </c>
      <c r="H147">
        <v>75</v>
      </c>
      <c r="I147">
        <v>215</v>
      </c>
      <c r="J147">
        <v>2018</v>
      </c>
      <c r="K147" s="4" t="str">
        <f>HYPERLINK("http://legacy.baseballprospectus.com/fantasy/dc/index.php?tm=MIN","MIN")</f>
        <v>MIN</v>
      </c>
      <c r="L147" t="s">
        <v>95</v>
      </c>
      <c r="M147" t="s">
        <v>34</v>
      </c>
      <c r="N147">
        <v>31</v>
      </c>
      <c r="O147">
        <v>453</v>
      </c>
      <c r="P147">
        <v>121</v>
      </c>
      <c r="Q147">
        <v>402</v>
      </c>
      <c r="R147">
        <v>51</v>
      </c>
      <c r="S147">
        <v>58</v>
      </c>
      <c r="T147">
        <v>22</v>
      </c>
      <c r="U147">
        <v>1</v>
      </c>
      <c r="V147">
        <v>13</v>
      </c>
      <c r="W147">
        <v>94</v>
      </c>
      <c r="X147">
        <v>157</v>
      </c>
      <c r="Y147">
        <v>51</v>
      </c>
      <c r="Z147">
        <v>44</v>
      </c>
      <c r="AA147">
        <v>2</v>
      </c>
      <c r="AB147">
        <v>4</v>
      </c>
      <c r="AC147">
        <v>127</v>
      </c>
      <c r="AD147">
        <v>0</v>
      </c>
      <c r="AE147">
        <v>2</v>
      </c>
      <c r="AF147">
        <v>10</v>
      </c>
      <c r="AG147">
        <v>1</v>
      </c>
      <c r="AH147">
        <v>0</v>
      </c>
      <c r="AI147" s="5">
        <v>0.23400000000000001</v>
      </c>
      <c r="AJ147" s="5">
        <v>0.314</v>
      </c>
      <c r="AK147" s="5">
        <v>0.39100000000000001</v>
      </c>
      <c r="AL147" s="5">
        <v>0.24199999999999999</v>
      </c>
      <c r="AM147" s="5">
        <v>0.30599999999999999</v>
      </c>
      <c r="AN147">
        <v>-0.8</v>
      </c>
      <c r="AO147">
        <v>3.45</v>
      </c>
      <c r="AP147">
        <v>12.16</v>
      </c>
      <c r="AQ147">
        <v>-8.6300000000000008</v>
      </c>
      <c r="AR147">
        <v>7.8</v>
      </c>
      <c r="AS147" t="s">
        <v>4840</v>
      </c>
      <c r="AT147">
        <v>1.4</v>
      </c>
      <c r="AU147">
        <v>6.2</v>
      </c>
      <c r="AV147">
        <v>5</v>
      </c>
      <c r="AW147">
        <v>36</v>
      </c>
      <c r="AX147">
        <v>16</v>
      </c>
      <c r="AY147">
        <v>20</v>
      </c>
      <c r="AZ147" t="s">
        <v>3673</v>
      </c>
      <c r="BA147">
        <v>96</v>
      </c>
      <c r="BB147" t="s">
        <v>35</v>
      </c>
      <c r="BC147" t="s">
        <v>36</v>
      </c>
      <c r="BD147" s="4">
        <f>HYPERLINK("http://mlb.mlb.com/team/player.jsp?player_id=488771",488771)</f>
        <v>488771</v>
      </c>
      <c r="BE147">
        <v>354</v>
      </c>
      <c r="BF147">
        <v>1354</v>
      </c>
      <c r="BG147">
        <v>407</v>
      </c>
      <c r="BH147">
        <v>356</v>
      </c>
    </row>
    <row r="148" spans="1:60" x14ac:dyDescent="0.3">
      <c r="A148" s="4">
        <f>HYPERLINK("http://legacy.baseballprospectus.com/p/53395",53395)</f>
        <v>53395</v>
      </c>
      <c r="B148" t="s">
        <v>349</v>
      </c>
      <c r="C148" t="s">
        <v>276</v>
      </c>
      <c r="D148" s="10">
        <v>31455</v>
      </c>
      <c r="E148" t="s">
        <v>51</v>
      </c>
      <c r="F148" t="s">
        <v>33</v>
      </c>
      <c r="G148" t="s">
        <v>33</v>
      </c>
      <c r="H148">
        <v>75</v>
      </c>
      <c r="I148">
        <v>220</v>
      </c>
      <c r="J148">
        <v>2018</v>
      </c>
      <c r="K148" s="4" t="str">
        <f>HYPERLINK("http://legacy.baseballprospectus.com/fantasy/dc/index.php?tm=NYN","NYN")</f>
        <v>NYN</v>
      </c>
      <c r="L148" t="s">
        <v>100</v>
      </c>
      <c r="M148" t="s">
        <v>34</v>
      </c>
      <c r="N148">
        <v>32</v>
      </c>
      <c r="O148">
        <v>494</v>
      </c>
      <c r="P148">
        <v>121</v>
      </c>
      <c r="Q148">
        <v>439</v>
      </c>
      <c r="R148">
        <v>65</v>
      </c>
      <c r="S148">
        <v>61</v>
      </c>
      <c r="T148">
        <v>19</v>
      </c>
      <c r="U148">
        <v>1</v>
      </c>
      <c r="V148">
        <v>22</v>
      </c>
      <c r="W148">
        <v>103</v>
      </c>
      <c r="X148">
        <v>190</v>
      </c>
      <c r="Y148">
        <v>68</v>
      </c>
      <c r="Z148">
        <v>45</v>
      </c>
      <c r="AA148">
        <v>1</v>
      </c>
      <c r="AB148">
        <v>7</v>
      </c>
      <c r="AC148">
        <v>108</v>
      </c>
      <c r="AD148">
        <v>0</v>
      </c>
      <c r="AE148">
        <v>3</v>
      </c>
      <c r="AF148">
        <v>11</v>
      </c>
      <c r="AG148">
        <v>8</v>
      </c>
      <c r="AH148">
        <v>4</v>
      </c>
      <c r="AI148" s="5">
        <v>0.23499999999999999</v>
      </c>
      <c r="AJ148" s="5">
        <v>0.314</v>
      </c>
      <c r="AK148" s="5">
        <v>0.433</v>
      </c>
      <c r="AL148" s="5">
        <v>0.26300000000000001</v>
      </c>
      <c r="AM148" s="5">
        <v>0.26100000000000001</v>
      </c>
      <c r="AN148">
        <v>-0.5</v>
      </c>
      <c r="AO148">
        <v>0.43</v>
      </c>
      <c r="AP148">
        <v>13.26</v>
      </c>
      <c r="AQ148">
        <v>1.76</v>
      </c>
      <c r="AR148">
        <v>-1</v>
      </c>
      <c r="AS148" t="s">
        <v>56</v>
      </c>
      <c r="AT148">
        <v>1.4</v>
      </c>
      <c r="AU148">
        <v>15</v>
      </c>
      <c r="AV148">
        <v>3</v>
      </c>
      <c r="AW148">
        <v>45</v>
      </c>
      <c r="AX148">
        <v>7</v>
      </c>
      <c r="AY148">
        <v>8</v>
      </c>
      <c r="AZ148" t="s">
        <v>3613</v>
      </c>
      <c r="BA148">
        <v>98</v>
      </c>
      <c r="BB148" t="s">
        <v>35</v>
      </c>
      <c r="BC148" t="s">
        <v>36</v>
      </c>
      <c r="BD148" s="4">
        <f>HYPERLINK("http://mlb.mlb.com/team/player.jsp?player_id=453943",453943)</f>
        <v>453943</v>
      </c>
      <c r="BE148">
        <v>1726</v>
      </c>
      <c r="BF148">
        <v>726</v>
      </c>
      <c r="BG148">
        <v>576</v>
      </c>
      <c r="BH148">
        <v>474</v>
      </c>
    </row>
    <row r="149" spans="1:60" x14ac:dyDescent="0.3">
      <c r="A149" s="4">
        <f>HYPERLINK("http://legacy.baseballprospectus.com/p/58880",58880)</f>
        <v>58880</v>
      </c>
      <c r="B149" t="s">
        <v>160</v>
      </c>
      <c r="C149" t="s">
        <v>383</v>
      </c>
      <c r="D149" s="10">
        <v>32255</v>
      </c>
      <c r="E149" t="s">
        <v>65</v>
      </c>
      <c r="F149" t="s">
        <v>9</v>
      </c>
      <c r="G149" t="s">
        <v>33</v>
      </c>
      <c r="H149">
        <v>71</v>
      </c>
      <c r="I149">
        <v>170</v>
      </c>
      <c r="J149">
        <v>2018</v>
      </c>
      <c r="K149" s="4" t="str">
        <f>HYPERLINK("http://legacy.baseballprospectus.com/fantasy/dc/index.php?tm=SEA","SEA")</f>
        <v>SEA</v>
      </c>
      <c r="L149" t="s">
        <v>95</v>
      </c>
      <c r="M149" t="s">
        <v>34</v>
      </c>
      <c r="N149">
        <v>30</v>
      </c>
      <c r="O149">
        <v>649</v>
      </c>
      <c r="P149">
        <v>152</v>
      </c>
      <c r="Q149">
        <v>603</v>
      </c>
      <c r="R149">
        <v>88</v>
      </c>
      <c r="S149">
        <v>137</v>
      </c>
      <c r="T149">
        <v>21</v>
      </c>
      <c r="U149">
        <v>8</v>
      </c>
      <c r="V149">
        <v>4</v>
      </c>
      <c r="W149">
        <v>170</v>
      </c>
      <c r="X149">
        <v>219</v>
      </c>
      <c r="Y149">
        <v>43</v>
      </c>
      <c r="Z149">
        <v>33</v>
      </c>
      <c r="AA149">
        <v>1</v>
      </c>
      <c r="AB149">
        <v>5</v>
      </c>
      <c r="AC149">
        <v>102</v>
      </c>
      <c r="AD149">
        <v>5</v>
      </c>
      <c r="AE149">
        <v>3</v>
      </c>
      <c r="AF149">
        <v>12</v>
      </c>
      <c r="AG149">
        <v>54</v>
      </c>
      <c r="AH149">
        <v>15</v>
      </c>
      <c r="AI149" s="5">
        <v>0.28199999999999997</v>
      </c>
      <c r="AJ149" s="5">
        <v>0.32300000000000001</v>
      </c>
      <c r="AK149" s="5">
        <v>0.36299999999999999</v>
      </c>
      <c r="AL149" s="5">
        <v>0.245</v>
      </c>
      <c r="AM149" s="5">
        <v>0.32800000000000001</v>
      </c>
      <c r="AN149">
        <v>6.7</v>
      </c>
      <c r="AO149">
        <v>1.23</v>
      </c>
      <c r="AP149">
        <v>17.420000000000002</v>
      </c>
      <c r="AQ149">
        <v>-10.11</v>
      </c>
      <c r="AR149">
        <v>-1.4</v>
      </c>
      <c r="AS149" t="s">
        <v>4841</v>
      </c>
      <c r="AT149">
        <v>1.4</v>
      </c>
      <c r="AU149">
        <v>15.3</v>
      </c>
      <c r="AV149">
        <v>2</v>
      </c>
      <c r="AW149">
        <v>35</v>
      </c>
      <c r="AX149">
        <v>14</v>
      </c>
      <c r="AY149">
        <v>18</v>
      </c>
      <c r="AZ149" t="s">
        <v>3699</v>
      </c>
      <c r="BA149">
        <v>95</v>
      </c>
      <c r="BB149" t="s">
        <v>35</v>
      </c>
      <c r="BC149" t="s">
        <v>36</v>
      </c>
      <c r="BD149" s="4">
        <f>HYPERLINK("http://mlb.mlb.com/team/player.jsp?player_id=543829",543829)</f>
        <v>543829</v>
      </c>
      <c r="BE149">
        <v>438</v>
      </c>
      <c r="BF149">
        <v>1438</v>
      </c>
      <c r="BG149">
        <v>695</v>
      </c>
      <c r="BH149">
        <v>653</v>
      </c>
    </row>
    <row r="150" spans="1:60" x14ac:dyDescent="0.3">
      <c r="A150" s="4">
        <f>HYPERLINK("http://legacy.baseballprospectus.com/p/45465",45465)</f>
        <v>45465</v>
      </c>
      <c r="B150" t="s">
        <v>563</v>
      </c>
      <c r="C150" t="s">
        <v>434</v>
      </c>
      <c r="D150" s="10">
        <v>30419</v>
      </c>
      <c r="E150" t="s">
        <v>59</v>
      </c>
      <c r="F150" t="s">
        <v>33</v>
      </c>
      <c r="G150" t="s">
        <v>33</v>
      </c>
      <c r="H150">
        <v>76</v>
      </c>
      <c r="I150">
        <v>220</v>
      </c>
      <c r="J150">
        <v>2018</v>
      </c>
      <c r="K150" s="4" t="str">
        <f>HYPERLINK("http://legacy.baseballprospectus.com/fantasy/dc/index.php?tm=SFN","SFN")</f>
        <v>SFN</v>
      </c>
      <c r="L150" t="s">
        <v>100</v>
      </c>
      <c r="M150" t="s">
        <v>34</v>
      </c>
      <c r="N150">
        <v>35</v>
      </c>
      <c r="O150">
        <v>544</v>
      </c>
      <c r="P150">
        <v>131</v>
      </c>
      <c r="Q150">
        <v>500</v>
      </c>
      <c r="R150">
        <v>62</v>
      </c>
      <c r="S150">
        <v>89</v>
      </c>
      <c r="T150">
        <v>22</v>
      </c>
      <c r="U150">
        <v>3</v>
      </c>
      <c r="V150">
        <v>15</v>
      </c>
      <c r="W150">
        <v>129</v>
      </c>
      <c r="X150">
        <v>202</v>
      </c>
      <c r="Y150">
        <v>61</v>
      </c>
      <c r="Z150">
        <v>39</v>
      </c>
      <c r="AA150">
        <v>1</v>
      </c>
      <c r="AB150">
        <v>2</v>
      </c>
      <c r="AC150">
        <v>107</v>
      </c>
      <c r="AD150">
        <v>0</v>
      </c>
      <c r="AE150">
        <v>3</v>
      </c>
      <c r="AF150">
        <v>12</v>
      </c>
      <c r="AG150">
        <v>4</v>
      </c>
      <c r="AH150">
        <v>2</v>
      </c>
      <c r="AI150" s="5">
        <v>0.25800000000000001</v>
      </c>
      <c r="AJ150" s="5">
        <v>0.312</v>
      </c>
      <c r="AK150" s="5">
        <v>0.40400000000000003</v>
      </c>
      <c r="AL150" s="5">
        <v>0.26400000000000001</v>
      </c>
      <c r="AM150" s="5">
        <v>0.30199999999999999</v>
      </c>
      <c r="AN150">
        <v>-0.7</v>
      </c>
      <c r="AO150">
        <v>-1.0900000000000001</v>
      </c>
      <c r="AP150">
        <v>14.61</v>
      </c>
      <c r="AQ150">
        <v>2</v>
      </c>
      <c r="AR150">
        <v>-0.9</v>
      </c>
      <c r="AS150" t="s">
        <v>70</v>
      </c>
      <c r="AT150">
        <v>1.4</v>
      </c>
      <c r="AU150">
        <v>14.8</v>
      </c>
      <c r="AV150">
        <v>1</v>
      </c>
      <c r="AW150">
        <v>24</v>
      </c>
      <c r="AX150">
        <v>8</v>
      </c>
      <c r="AY150">
        <v>18</v>
      </c>
      <c r="AZ150" t="s">
        <v>3677</v>
      </c>
      <c r="BA150">
        <v>77</v>
      </c>
      <c r="BB150" t="s">
        <v>35</v>
      </c>
      <c r="BC150" t="s">
        <v>36</v>
      </c>
      <c r="BD150" s="4">
        <f>HYPERLINK("http://mlb.mlb.com/team/player.jsp?player_id=452254",452254)</f>
        <v>452254</v>
      </c>
      <c r="BE150">
        <v>1586</v>
      </c>
      <c r="BF150">
        <v>586</v>
      </c>
      <c r="BG150">
        <v>539</v>
      </c>
      <c r="BH150">
        <v>493</v>
      </c>
    </row>
    <row r="151" spans="1:60" x14ac:dyDescent="0.3">
      <c r="A151" s="4">
        <f>HYPERLINK("http://legacy.baseballprospectus.com/p/66729",66729)</f>
        <v>66729</v>
      </c>
      <c r="B151" t="s">
        <v>401</v>
      </c>
      <c r="C151" t="s">
        <v>402</v>
      </c>
      <c r="D151" s="10">
        <v>32409</v>
      </c>
      <c r="E151" t="s">
        <v>51</v>
      </c>
      <c r="F151" t="s">
        <v>33</v>
      </c>
      <c r="G151" t="s">
        <v>33</v>
      </c>
      <c r="H151">
        <v>70</v>
      </c>
      <c r="I151">
        <v>215</v>
      </c>
      <c r="J151">
        <v>2018</v>
      </c>
      <c r="K151" s="4" t="str">
        <f>HYPERLINK("http://legacy.baseballprospectus.com/fantasy/dc/index.php?tm=SLN","SLN")</f>
        <v>SLN</v>
      </c>
      <c r="L151" t="s">
        <v>100</v>
      </c>
      <c r="M151" t="s">
        <v>34</v>
      </c>
      <c r="N151">
        <v>29</v>
      </c>
      <c r="O151">
        <v>517</v>
      </c>
      <c r="P151">
        <v>151</v>
      </c>
      <c r="Q151">
        <v>469</v>
      </c>
      <c r="R151">
        <v>63</v>
      </c>
      <c r="S151">
        <v>73</v>
      </c>
      <c r="T151">
        <v>19</v>
      </c>
      <c r="U151">
        <v>1</v>
      </c>
      <c r="V151">
        <v>22</v>
      </c>
      <c r="W151">
        <v>115</v>
      </c>
      <c r="X151">
        <v>202</v>
      </c>
      <c r="Y151">
        <v>71</v>
      </c>
      <c r="Z151">
        <v>41</v>
      </c>
      <c r="AA151">
        <v>1</v>
      </c>
      <c r="AB151">
        <v>4</v>
      </c>
      <c r="AC151">
        <v>113</v>
      </c>
      <c r="AD151">
        <v>0</v>
      </c>
      <c r="AE151">
        <v>3</v>
      </c>
      <c r="AF151">
        <v>15</v>
      </c>
      <c r="AG151">
        <v>3</v>
      </c>
      <c r="AH151">
        <v>1</v>
      </c>
      <c r="AI151" s="5">
        <v>0.245</v>
      </c>
      <c r="AJ151" s="5">
        <v>0.309</v>
      </c>
      <c r="AK151" s="5">
        <v>0.43099999999999999</v>
      </c>
      <c r="AL151" s="5">
        <v>0.25600000000000001</v>
      </c>
      <c r="AM151" s="5">
        <v>0.27700000000000002</v>
      </c>
      <c r="AN151">
        <v>-0.9</v>
      </c>
      <c r="AO151">
        <v>-0.03</v>
      </c>
      <c r="AP151">
        <v>13.88</v>
      </c>
      <c r="AQ151">
        <v>-2.2599999999999998</v>
      </c>
      <c r="AR151">
        <v>3.5</v>
      </c>
      <c r="AS151" t="s">
        <v>1011</v>
      </c>
      <c r="AT151">
        <v>1.4</v>
      </c>
      <c r="AU151">
        <v>10.7</v>
      </c>
      <c r="AV151">
        <v>3</v>
      </c>
      <c r="AW151">
        <v>46</v>
      </c>
      <c r="AX151">
        <v>8</v>
      </c>
      <c r="AY151">
        <v>15</v>
      </c>
      <c r="AZ151" t="s">
        <v>3712</v>
      </c>
      <c r="BA151">
        <v>96</v>
      </c>
      <c r="BB151" t="s">
        <v>35</v>
      </c>
      <c r="BC151" t="s">
        <v>36</v>
      </c>
      <c r="BD151" s="4">
        <f>HYPERLINK("http://mlb.mlb.com/team/player.jsp?player_id=576397",576397)</f>
        <v>576397</v>
      </c>
      <c r="BE151">
        <v>1496</v>
      </c>
      <c r="BF151">
        <v>496</v>
      </c>
      <c r="BG151">
        <v>481</v>
      </c>
      <c r="BH151">
        <v>426</v>
      </c>
    </row>
    <row r="152" spans="1:60" x14ac:dyDescent="0.3">
      <c r="A152" s="4">
        <f>HYPERLINK("http://legacy.baseballprospectus.com/p/49829",49829)</f>
        <v>49829</v>
      </c>
      <c r="B152" t="s">
        <v>591</v>
      </c>
      <c r="C152" t="s">
        <v>171</v>
      </c>
      <c r="D152" s="10">
        <v>31999</v>
      </c>
      <c r="E152" t="s">
        <v>54</v>
      </c>
      <c r="F152" t="s">
        <v>33</v>
      </c>
      <c r="G152" t="s">
        <v>33</v>
      </c>
      <c r="H152">
        <v>73</v>
      </c>
      <c r="I152">
        <v>260</v>
      </c>
      <c r="J152">
        <v>2018</v>
      </c>
      <c r="K152" s="4" t="str">
        <f>HYPERLINK("http://legacy.baseballprospectus.com/fantasy/dc/index.php?tm=TBA","TBA")</f>
        <v>TBA</v>
      </c>
      <c r="L152" t="s">
        <v>95</v>
      </c>
      <c r="M152" t="s">
        <v>34</v>
      </c>
      <c r="N152">
        <v>30</v>
      </c>
      <c r="O152">
        <v>525</v>
      </c>
      <c r="P152">
        <v>136</v>
      </c>
      <c r="Q152">
        <v>492</v>
      </c>
      <c r="R152">
        <v>58</v>
      </c>
      <c r="S152">
        <v>85</v>
      </c>
      <c r="T152">
        <v>19</v>
      </c>
      <c r="U152">
        <v>1</v>
      </c>
      <c r="V152">
        <v>20</v>
      </c>
      <c r="W152">
        <v>125</v>
      </c>
      <c r="X152">
        <v>206</v>
      </c>
      <c r="Y152">
        <v>69</v>
      </c>
      <c r="Z152">
        <v>29</v>
      </c>
      <c r="AA152">
        <v>3</v>
      </c>
      <c r="AB152">
        <v>1</v>
      </c>
      <c r="AC152">
        <v>93</v>
      </c>
      <c r="AD152">
        <v>0</v>
      </c>
      <c r="AE152">
        <v>3</v>
      </c>
      <c r="AF152">
        <v>20</v>
      </c>
      <c r="AG152">
        <v>0</v>
      </c>
      <c r="AH152">
        <v>0</v>
      </c>
      <c r="AI152" s="5">
        <v>0.254</v>
      </c>
      <c r="AJ152" s="5">
        <v>0.29499999999999998</v>
      </c>
      <c r="AK152" s="5">
        <v>0.41899999999999998</v>
      </c>
      <c r="AL152" s="5">
        <v>0.255</v>
      </c>
      <c r="AM152" s="5">
        <v>0.27400000000000002</v>
      </c>
      <c r="AN152">
        <v>-1.2</v>
      </c>
      <c r="AO152">
        <v>2.77</v>
      </c>
      <c r="AP152">
        <v>14.1</v>
      </c>
      <c r="AQ152">
        <v>-2.63</v>
      </c>
      <c r="AR152">
        <v>1.2</v>
      </c>
      <c r="AS152" t="s">
        <v>62</v>
      </c>
      <c r="AT152">
        <v>1.4</v>
      </c>
      <c r="AU152">
        <v>13.1</v>
      </c>
      <c r="AV152">
        <v>1</v>
      </c>
      <c r="AW152">
        <v>34</v>
      </c>
      <c r="AX152">
        <v>10</v>
      </c>
      <c r="AY152">
        <v>12</v>
      </c>
      <c r="AZ152" t="s">
        <v>3679</v>
      </c>
      <c r="BA152">
        <v>96</v>
      </c>
      <c r="BB152" t="s">
        <v>35</v>
      </c>
      <c r="BC152" t="s">
        <v>36</v>
      </c>
      <c r="BD152" s="4">
        <f>HYPERLINK("http://mlb.mlb.com/team/player.jsp?player_id=467092",467092)</f>
        <v>467092</v>
      </c>
      <c r="BE152">
        <v>371</v>
      </c>
      <c r="BF152">
        <v>1371</v>
      </c>
      <c r="BG152">
        <v>224</v>
      </c>
      <c r="BH152">
        <v>208</v>
      </c>
    </row>
    <row r="153" spans="1:60" x14ac:dyDescent="0.3">
      <c r="A153" s="4">
        <f>HYPERLINK("http://legacy.baseballprospectus.com/p/46522",46522)</f>
        <v>46522</v>
      </c>
      <c r="B153" t="s">
        <v>592</v>
      </c>
      <c r="C153" t="s">
        <v>593</v>
      </c>
      <c r="D153" s="10">
        <v>31635</v>
      </c>
      <c r="E153" t="s">
        <v>57</v>
      </c>
      <c r="F153" t="s">
        <v>9</v>
      </c>
      <c r="G153" t="s">
        <v>9</v>
      </c>
      <c r="H153">
        <v>74</v>
      </c>
      <c r="I153">
        <v>195</v>
      </c>
      <c r="J153">
        <v>2018</v>
      </c>
      <c r="K153" s="4" t="str">
        <f>HYPERLINK("http://legacy.baseballprospectus.com/fantasy/dc/index.php?tm=BAL","BAL")</f>
        <v>BAL</v>
      </c>
      <c r="L153" t="s">
        <v>95</v>
      </c>
      <c r="M153" t="s">
        <v>34</v>
      </c>
      <c r="N153">
        <v>31</v>
      </c>
      <c r="O153">
        <v>347</v>
      </c>
      <c r="P153">
        <v>91</v>
      </c>
      <c r="Q153">
        <v>314</v>
      </c>
      <c r="R153">
        <v>45</v>
      </c>
      <c r="S153">
        <v>43</v>
      </c>
      <c r="T153">
        <v>14</v>
      </c>
      <c r="U153">
        <v>1</v>
      </c>
      <c r="V153">
        <v>16</v>
      </c>
      <c r="W153">
        <v>74</v>
      </c>
      <c r="X153">
        <v>138</v>
      </c>
      <c r="Y153">
        <v>47</v>
      </c>
      <c r="Z153">
        <v>30</v>
      </c>
      <c r="AA153">
        <v>1</v>
      </c>
      <c r="AB153">
        <v>1</v>
      </c>
      <c r="AC153">
        <v>105</v>
      </c>
      <c r="AD153">
        <v>0</v>
      </c>
      <c r="AE153">
        <v>2</v>
      </c>
      <c r="AF153">
        <v>6</v>
      </c>
      <c r="AG153">
        <v>3</v>
      </c>
      <c r="AH153">
        <v>1</v>
      </c>
      <c r="AI153" s="5">
        <v>0.23599999999999999</v>
      </c>
      <c r="AJ153" s="5">
        <v>0.30299999999999999</v>
      </c>
      <c r="AK153" s="5">
        <v>0.439</v>
      </c>
      <c r="AL153" s="5">
        <v>0.253</v>
      </c>
      <c r="AM153" s="5">
        <v>0.29899999999999999</v>
      </c>
      <c r="AN153">
        <v>-0.3</v>
      </c>
      <c r="AO153">
        <v>-1.24</v>
      </c>
      <c r="AP153">
        <v>9.32</v>
      </c>
      <c r="AQ153">
        <v>-2.54</v>
      </c>
      <c r="AR153">
        <v>7.3</v>
      </c>
      <c r="AS153" t="s">
        <v>4964</v>
      </c>
      <c r="AT153">
        <v>1.3</v>
      </c>
      <c r="AU153">
        <v>5.3</v>
      </c>
      <c r="AV153">
        <v>2</v>
      </c>
      <c r="AW153">
        <v>40</v>
      </c>
      <c r="AX153">
        <v>8</v>
      </c>
      <c r="AY153">
        <v>10</v>
      </c>
      <c r="AZ153" t="s">
        <v>3861</v>
      </c>
      <c r="BA153">
        <v>95</v>
      </c>
      <c r="BB153" t="s">
        <v>35</v>
      </c>
      <c r="BC153" t="s">
        <v>36</v>
      </c>
      <c r="BD153" s="4">
        <f>HYPERLINK("http://mlb.mlb.com/team/player.jsp?player_id=458675",458675)</f>
        <v>458675</v>
      </c>
      <c r="BE153">
        <v>0</v>
      </c>
      <c r="BF153">
        <v>0</v>
      </c>
      <c r="BG153">
        <v>129</v>
      </c>
      <c r="BH153">
        <v>121</v>
      </c>
    </row>
    <row r="154" spans="1:60" x14ac:dyDescent="0.3">
      <c r="A154" s="4">
        <f>HYPERLINK("http://legacy.baseballprospectus.com/p/70646",70646)</f>
        <v>70646</v>
      </c>
      <c r="B154" t="s">
        <v>1119</v>
      </c>
      <c r="C154" t="s">
        <v>724</v>
      </c>
      <c r="D154" s="10">
        <v>34198</v>
      </c>
      <c r="E154" t="s">
        <v>57</v>
      </c>
      <c r="F154" t="s">
        <v>9</v>
      </c>
      <c r="G154" t="s">
        <v>9</v>
      </c>
      <c r="H154">
        <v>75</v>
      </c>
      <c r="I154">
        <v>215</v>
      </c>
      <c r="J154">
        <v>2018</v>
      </c>
      <c r="K154" s="4" t="str">
        <f>HYPERLINK("http://legacy.baseballprospectus.com/fantasy/dc/index.php?tm=CIN","CIN")</f>
        <v>CIN</v>
      </c>
      <c r="L154" t="s">
        <v>100</v>
      </c>
      <c r="M154" t="s">
        <v>34</v>
      </c>
      <c r="N154">
        <v>24</v>
      </c>
      <c r="O154">
        <v>503</v>
      </c>
      <c r="P154">
        <v>154</v>
      </c>
      <c r="Q154">
        <v>436</v>
      </c>
      <c r="R154">
        <v>63</v>
      </c>
      <c r="S154">
        <v>80</v>
      </c>
      <c r="T154">
        <v>24</v>
      </c>
      <c r="U154">
        <v>1</v>
      </c>
      <c r="V154">
        <v>14</v>
      </c>
      <c r="W154">
        <v>119</v>
      </c>
      <c r="X154">
        <v>187</v>
      </c>
      <c r="Y154">
        <v>59</v>
      </c>
      <c r="Z154">
        <v>58</v>
      </c>
      <c r="AA154">
        <v>5</v>
      </c>
      <c r="AB154">
        <v>5</v>
      </c>
      <c r="AC154">
        <v>90</v>
      </c>
      <c r="AD154">
        <v>1</v>
      </c>
      <c r="AE154">
        <v>3</v>
      </c>
      <c r="AF154">
        <v>12</v>
      </c>
      <c r="AG154">
        <v>2</v>
      </c>
      <c r="AH154">
        <v>1</v>
      </c>
      <c r="AI154" s="5">
        <v>0.27300000000000002</v>
      </c>
      <c r="AJ154" s="5">
        <v>0.36299999999999999</v>
      </c>
      <c r="AK154" s="5">
        <v>0.42899999999999999</v>
      </c>
      <c r="AL154" s="5">
        <v>0.27300000000000002</v>
      </c>
      <c r="AM154" s="5">
        <v>0.31</v>
      </c>
      <c r="AN154">
        <v>-1.3</v>
      </c>
      <c r="AO154">
        <v>-2.2000000000000002</v>
      </c>
      <c r="AP154">
        <v>13.5</v>
      </c>
      <c r="AQ154">
        <v>6.62</v>
      </c>
      <c r="AR154">
        <v>-3.6</v>
      </c>
      <c r="AS154" t="s">
        <v>4844</v>
      </c>
      <c r="AT154">
        <v>1.3</v>
      </c>
      <c r="AU154">
        <v>16.600000000000001</v>
      </c>
      <c r="AV154">
        <v>5</v>
      </c>
      <c r="AW154">
        <v>30</v>
      </c>
      <c r="AX154">
        <v>18</v>
      </c>
      <c r="AY154">
        <v>28</v>
      </c>
      <c r="AZ154" t="s">
        <v>3752</v>
      </c>
      <c r="BA154">
        <v>72</v>
      </c>
      <c r="BB154" t="s">
        <v>35</v>
      </c>
      <c r="BC154" t="s">
        <v>35</v>
      </c>
      <c r="BD154" s="4">
        <f>HYPERLINK("http://mlb.mlb.com/team/player.jsp?player_id=608385",608385)</f>
        <v>608385</v>
      </c>
      <c r="BE154">
        <v>1624</v>
      </c>
      <c r="BF154">
        <v>624</v>
      </c>
      <c r="BG154">
        <v>137</v>
      </c>
      <c r="BH154">
        <v>121</v>
      </c>
    </row>
    <row r="155" spans="1:60" x14ac:dyDescent="0.3">
      <c r="A155" s="4">
        <f>HYPERLINK("http://legacy.baseballprospectus.com/p/51408",51408)</f>
        <v>51408</v>
      </c>
      <c r="B155" t="s">
        <v>1833</v>
      </c>
      <c r="C155" t="s">
        <v>1905</v>
      </c>
      <c r="D155" s="10">
        <v>30842</v>
      </c>
      <c r="E155" t="s">
        <v>50</v>
      </c>
      <c r="F155" t="s">
        <v>33</v>
      </c>
      <c r="G155" t="s">
        <v>33</v>
      </c>
      <c r="H155">
        <v>72</v>
      </c>
      <c r="I155">
        <v>190</v>
      </c>
      <c r="J155">
        <v>2018</v>
      </c>
      <c r="K155" s="4" t="str">
        <f>HYPERLINK("http://legacy.baseballprospectus.com/fantasy/dc/index.php?tm=HOU","HOU")</f>
        <v>HOU</v>
      </c>
      <c r="L155" t="s">
        <v>95</v>
      </c>
      <c r="M155" t="s">
        <v>34</v>
      </c>
      <c r="N155">
        <v>34</v>
      </c>
      <c r="O155">
        <v>484</v>
      </c>
      <c r="P155">
        <v>127</v>
      </c>
      <c r="Q155">
        <v>455</v>
      </c>
      <c r="R155">
        <v>52</v>
      </c>
      <c r="S155">
        <v>80</v>
      </c>
      <c r="T155">
        <v>30</v>
      </c>
      <c r="U155">
        <v>1</v>
      </c>
      <c r="V155">
        <v>14</v>
      </c>
      <c r="W155">
        <v>125</v>
      </c>
      <c r="X155">
        <v>199</v>
      </c>
      <c r="Y155">
        <v>59</v>
      </c>
      <c r="Z155">
        <v>21</v>
      </c>
      <c r="AA155">
        <v>1</v>
      </c>
      <c r="AB155">
        <v>5</v>
      </c>
      <c r="AC155">
        <v>61</v>
      </c>
      <c r="AD155">
        <v>0</v>
      </c>
      <c r="AE155">
        <v>3</v>
      </c>
      <c r="AF155">
        <v>15</v>
      </c>
      <c r="AG155">
        <v>3</v>
      </c>
      <c r="AH155">
        <v>2</v>
      </c>
      <c r="AI155" s="5">
        <v>0.27500000000000002</v>
      </c>
      <c r="AJ155" s="5">
        <v>0.312</v>
      </c>
      <c r="AK155" s="5">
        <v>0.437</v>
      </c>
      <c r="AL155" s="5">
        <v>0.26100000000000001</v>
      </c>
      <c r="AM155" s="5">
        <v>0.29099999999999998</v>
      </c>
      <c r="AN155">
        <v>-0.9</v>
      </c>
      <c r="AO155">
        <v>-5.48</v>
      </c>
      <c r="AP155">
        <v>12.99</v>
      </c>
      <c r="AQ155">
        <v>0.41</v>
      </c>
      <c r="AR155">
        <v>5.9</v>
      </c>
      <c r="AS155" t="s">
        <v>2194</v>
      </c>
      <c r="AT155">
        <v>1.3</v>
      </c>
      <c r="AU155">
        <v>7.1</v>
      </c>
      <c r="AV155">
        <v>1</v>
      </c>
      <c r="AW155">
        <v>32</v>
      </c>
      <c r="AX155">
        <v>9</v>
      </c>
      <c r="AY155">
        <v>21</v>
      </c>
      <c r="AZ155" t="s">
        <v>3708</v>
      </c>
      <c r="BA155">
        <v>86</v>
      </c>
      <c r="BB155" t="s">
        <v>35</v>
      </c>
      <c r="BC155" t="s">
        <v>36</v>
      </c>
      <c r="BD155" s="4">
        <f>HYPERLINK("http://mlb.mlb.com/team/player.jsp?player_id=493329",493329)</f>
        <v>493329</v>
      </c>
      <c r="BE155">
        <v>409</v>
      </c>
      <c r="BF155">
        <v>1409</v>
      </c>
      <c r="BG155">
        <v>564</v>
      </c>
      <c r="BH155">
        <v>529</v>
      </c>
    </row>
    <row r="156" spans="1:60" x14ac:dyDescent="0.3">
      <c r="A156" s="4">
        <f>HYPERLINK("http://legacy.baseballprospectus.com/p/51656",51656)</f>
        <v>51656</v>
      </c>
      <c r="B156" t="s">
        <v>500</v>
      </c>
      <c r="C156" t="s">
        <v>119</v>
      </c>
      <c r="D156" s="10">
        <v>32349</v>
      </c>
      <c r="E156" t="s">
        <v>50</v>
      </c>
      <c r="F156" t="s">
        <v>33</v>
      </c>
      <c r="G156" t="s">
        <v>33</v>
      </c>
      <c r="H156">
        <v>78</v>
      </c>
      <c r="I156">
        <v>215</v>
      </c>
      <c r="J156">
        <v>2018</v>
      </c>
      <c r="K156" s="4" t="str">
        <f>HYPERLINK("http://legacy.baseballprospectus.com/fantasy/dc/index.php?tm=SLN","SLN")</f>
        <v>SLN</v>
      </c>
      <c r="L156" t="s">
        <v>100</v>
      </c>
      <c r="M156" t="s">
        <v>34</v>
      </c>
      <c r="N156">
        <v>29</v>
      </c>
      <c r="O156">
        <v>424</v>
      </c>
      <c r="P156">
        <v>154</v>
      </c>
      <c r="Q156">
        <v>379</v>
      </c>
      <c r="R156">
        <v>53</v>
      </c>
      <c r="S156">
        <v>73</v>
      </c>
      <c r="T156">
        <v>20</v>
      </c>
      <c r="U156">
        <v>1</v>
      </c>
      <c r="V156">
        <v>13</v>
      </c>
      <c r="W156">
        <v>107</v>
      </c>
      <c r="X156">
        <v>168</v>
      </c>
      <c r="Y156">
        <v>54</v>
      </c>
      <c r="Z156">
        <v>39</v>
      </c>
      <c r="AA156">
        <v>3</v>
      </c>
      <c r="AB156">
        <v>2</v>
      </c>
      <c r="AC156">
        <v>76</v>
      </c>
      <c r="AD156">
        <v>1</v>
      </c>
      <c r="AE156">
        <v>3</v>
      </c>
      <c r="AF156">
        <v>13</v>
      </c>
      <c r="AG156">
        <v>5</v>
      </c>
      <c r="AH156">
        <v>1</v>
      </c>
      <c r="AI156" s="5">
        <v>0.28199999999999997</v>
      </c>
      <c r="AJ156" s="5">
        <v>0.35</v>
      </c>
      <c r="AK156" s="5">
        <v>0.443</v>
      </c>
      <c r="AL156" s="5">
        <v>0.27800000000000002</v>
      </c>
      <c r="AM156" s="5">
        <v>0.32300000000000001</v>
      </c>
      <c r="AN156">
        <v>0.1</v>
      </c>
      <c r="AO156">
        <v>-4.58</v>
      </c>
      <c r="AP156">
        <v>11.38</v>
      </c>
      <c r="AQ156">
        <v>8.06</v>
      </c>
      <c r="AR156">
        <v>-2.2999999999999998</v>
      </c>
      <c r="AS156" t="s">
        <v>2183</v>
      </c>
      <c r="AT156">
        <v>1.3</v>
      </c>
      <c r="AU156">
        <v>15</v>
      </c>
      <c r="AV156">
        <v>2</v>
      </c>
      <c r="AW156">
        <v>14</v>
      </c>
      <c r="AX156">
        <v>16</v>
      </c>
      <c r="AY156">
        <v>23</v>
      </c>
      <c r="AZ156" t="s">
        <v>3755</v>
      </c>
      <c r="BA156">
        <v>49</v>
      </c>
      <c r="BB156" t="s">
        <v>35</v>
      </c>
      <c r="BC156" t="s">
        <v>36</v>
      </c>
      <c r="BD156" s="4">
        <f>HYPERLINK("http://mlb.mlb.com/team/player.jsp?player_id=500874",500874)</f>
        <v>500874</v>
      </c>
      <c r="BE156">
        <v>1613</v>
      </c>
      <c r="BF156">
        <v>613</v>
      </c>
      <c r="BG156">
        <v>307</v>
      </c>
      <c r="BH156">
        <v>272</v>
      </c>
    </row>
    <row r="157" spans="1:60" x14ac:dyDescent="0.3">
      <c r="A157" s="4">
        <f>HYPERLINK("http://legacy.baseballprospectus.com/p/58559",58559)</f>
        <v>58559</v>
      </c>
      <c r="B157" t="s">
        <v>3718</v>
      </c>
      <c r="C157" t="s">
        <v>439</v>
      </c>
      <c r="D157" s="10">
        <v>33329</v>
      </c>
      <c r="E157" t="s">
        <v>59</v>
      </c>
      <c r="F157" t="s">
        <v>33</v>
      </c>
      <c r="G157" t="s">
        <v>33</v>
      </c>
      <c r="H157">
        <v>74</v>
      </c>
      <c r="I157">
        <v>220</v>
      </c>
      <c r="J157">
        <v>2018</v>
      </c>
      <c r="K157" s="4" t="str">
        <f>HYPERLINK("http://legacy.baseballprospectus.com/fantasy/dc/index.php?tm=ARI","ARI")</f>
        <v>ARI</v>
      </c>
      <c r="L157" t="s">
        <v>95</v>
      </c>
      <c r="M157" t="s">
        <v>34</v>
      </c>
      <c r="N157">
        <v>27</v>
      </c>
      <c r="O157">
        <v>250</v>
      </c>
      <c r="P157" t="s">
        <v>1680</v>
      </c>
      <c r="Q157">
        <v>216</v>
      </c>
      <c r="R157">
        <v>33</v>
      </c>
      <c r="S157">
        <v>36</v>
      </c>
      <c r="T157">
        <v>12</v>
      </c>
      <c r="U157">
        <v>0</v>
      </c>
      <c r="V157">
        <v>8</v>
      </c>
      <c r="W157">
        <v>56</v>
      </c>
      <c r="X157">
        <v>92</v>
      </c>
      <c r="Y157">
        <v>31</v>
      </c>
      <c r="Z157">
        <v>24</v>
      </c>
      <c r="AA157">
        <v>1</v>
      </c>
      <c r="AB157">
        <v>7</v>
      </c>
      <c r="AC157">
        <v>61</v>
      </c>
      <c r="AD157">
        <v>1</v>
      </c>
      <c r="AE157">
        <v>1</v>
      </c>
      <c r="AF157">
        <v>8</v>
      </c>
      <c r="AG157">
        <v>10</v>
      </c>
      <c r="AH157">
        <v>2</v>
      </c>
      <c r="AI157" s="5">
        <v>0.26300000000000001</v>
      </c>
      <c r="AJ157" s="5">
        <v>0.35499999999999998</v>
      </c>
      <c r="AK157" s="5">
        <v>0.437</v>
      </c>
      <c r="AL157" s="5">
        <v>0.26300000000000001</v>
      </c>
      <c r="AM157" s="5">
        <v>0.32700000000000001</v>
      </c>
      <c r="AN157">
        <v>0.8</v>
      </c>
      <c r="AO157">
        <v>1.1399999999999999</v>
      </c>
      <c r="AP157">
        <v>7</v>
      </c>
      <c r="AQ157">
        <v>0.84</v>
      </c>
      <c r="AR157">
        <v>2.4</v>
      </c>
      <c r="AS157" t="s">
        <v>4843</v>
      </c>
      <c r="AT157">
        <v>1.3</v>
      </c>
      <c r="AU157">
        <v>9.6999999999999993</v>
      </c>
      <c r="AV157">
        <v>7</v>
      </c>
      <c r="AW157">
        <v>23</v>
      </c>
      <c r="AX157">
        <v>11</v>
      </c>
      <c r="AY157">
        <v>20</v>
      </c>
      <c r="AZ157" t="s">
        <v>3719</v>
      </c>
      <c r="BA157">
        <v>47</v>
      </c>
      <c r="BB157" t="s">
        <v>36</v>
      </c>
      <c r="BC157" t="s">
        <v>35</v>
      </c>
      <c r="BD157" s="4">
        <f>HYPERLINK("http://mlb.mlb.com/team/player.jsp?player_id=527049",527049)</f>
        <v>527049</v>
      </c>
      <c r="BE157">
        <v>0</v>
      </c>
      <c r="BF157">
        <v>0</v>
      </c>
      <c r="BG157">
        <v>39</v>
      </c>
      <c r="BH157">
        <v>34</v>
      </c>
    </row>
    <row r="158" spans="1:60" x14ac:dyDescent="0.3">
      <c r="A158" s="4">
        <f>HYPERLINK("http://legacy.baseballprospectus.com/p/105419",105419)</f>
        <v>105419</v>
      </c>
      <c r="B158" t="s">
        <v>237</v>
      </c>
      <c r="C158" t="s">
        <v>1343</v>
      </c>
      <c r="D158" s="10">
        <v>31967</v>
      </c>
      <c r="E158" t="s">
        <v>65</v>
      </c>
      <c r="F158" t="s">
        <v>33</v>
      </c>
      <c r="G158" t="s">
        <v>33</v>
      </c>
      <c r="H158">
        <v>69</v>
      </c>
      <c r="I158">
        <v>195</v>
      </c>
      <c r="J158">
        <v>2018</v>
      </c>
      <c r="K158" s="4" t="str">
        <f>HYPERLINK("http://legacy.baseballprospectus.com/fantasy/dc/index.php?tm=BOS","BOS")</f>
        <v>BOS</v>
      </c>
      <c r="L158" t="s">
        <v>95</v>
      </c>
      <c r="M158" t="s">
        <v>34</v>
      </c>
      <c r="N158">
        <v>30</v>
      </c>
      <c r="O158">
        <v>250</v>
      </c>
      <c r="P158" t="s">
        <v>1680</v>
      </c>
      <c r="Q158">
        <v>232</v>
      </c>
      <c r="R158">
        <v>32</v>
      </c>
      <c r="S158">
        <v>43</v>
      </c>
      <c r="T158">
        <v>12</v>
      </c>
      <c r="U158">
        <v>1</v>
      </c>
      <c r="V158">
        <v>6</v>
      </c>
      <c r="W158">
        <v>62</v>
      </c>
      <c r="X158">
        <v>94</v>
      </c>
      <c r="Y158">
        <v>26</v>
      </c>
      <c r="Z158">
        <v>14</v>
      </c>
      <c r="AA158">
        <v>1</v>
      </c>
      <c r="AB158">
        <v>3</v>
      </c>
      <c r="AC158">
        <v>49</v>
      </c>
      <c r="AD158">
        <v>0</v>
      </c>
      <c r="AE158">
        <v>1</v>
      </c>
      <c r="AF158">
        <v>8</v>
      </c>
      <c r="AG158">
        <v>6</v>
      </c>
      <c r="AH158">
        <v>2</v>
      </c>
      <c r="AI158" s="5">
        <v>0.27</v>
      </c>
      <c r="AJ158" s="5">
        <v>0.316</v>
      </c>
      <c r="AK158" s="5">
        <v>0.41599999999999998</v>
      </c>
      <c r="AL158" s="5">
        <v>0.247</v>
      </c>
      <c r="AM158" s="5">
        <v>0.315</v>
      </c>
      <c r="AN158">
        <v>1.4</v>
      </c>
      <c r="AO158">
        <v>2.75</v>
      </c>
      <c r="AP158">
        <v>7</v>
      </c>
      <c r="AQ158">
        <v>-3.36</v>
      </c>
      <c r="AR158">
        <v>3.7</v>
      </c>
      <c r="AS158" t="s">
        <v>4175</v>
      </c>
      <c r="AT158">
        <v>1.3</v>
      </c>
      <c r="AU158">
        <v>7.7</v>
      </c>
      <c r="AV158">
        <v>0</v>
      </c>
      <c r="AW158">
        <v>11</v>
      </c>
      <c r="AX158">
        <v>11</v>
      </c>
      <c r="AY158">
        <v>23</v>
      </c>
      <c r="AZ158" t="s">
        <v>3723</v>
      </c>
      <c r="BA158">
        <v>54</v>
      </c>
      <c r="BB158" t="s">
        <v>36</v>
      </c>
      <c r="BC158" t="s">
        <v>36</v>
      </c>
      <c r="BD158" s="4">
        <f>HYPERLINK("http://mlb.mlb.com/team/player.jsp?player_id=628329",628329)</f>
        <v>628329</v>
      </c>
      <c r="BE158">
        <v>0</v>
      </c>
      <c r="BF158">
        <v>0</v>
      </c>
      <c r="BG158">
        <v>0</v>
      </c>
      <c r="BH158">
        <v>0</v>
      </c>
    </row>
    <row r="159" spans="1:60" x14ac:dyDescent="0.3">
      <c r="A159" s="4">
        <f>HYPERLINK("http://legacy.baseballprospectus.com/p/107095",107095)</f>
        <v>107095</v>
      </c>
      <c r="B159" t="s">
        <v>363</v>
      </c>
      <c r="C159" t="s">
        <v>1838</v>
      </c>
      <c r="D159" s="10">
        <v>34335</v>
      </c>
      <c r="E159" t="s">
        <v>59</v>
      </c>
      <c r="F159" t="s">
        <v>9</v>
      </c>
      <c r="G159" t="s">
        <v>9</v>
      </c>
      <c r="H159">
        <v>73</v>
      </c>
      <c r="I159">
        <v>189</v>
      </c>
      <c r="J159">
        <v>2018</v>
      </c>
      <c r="K159" s="4" t="str">
        <f>HYPERLINK("http://legacy.baseballprospectus.com/fantasy/dc/index.php?tm=MIN","MIN")</f>
        <v>MIN</v>
      </c>
      <c r="L159" t="s">
        <v>95</v>
      </c>
      <c r="M159" t="s">
        <v>34</v>
      </c>
      <c r="N159">
        <v>24</v>
      </c>
      <c r="O159">
        <v>250</v>
      </c>
      <c r="P159" t="s">
        <v>1680</v>
      </c>
      <c r="Q159">
        <v>213</v>
      </c>
      <c r="R159">
        <v>30</v>
      </c>
      <c r="S159">
        <v>37</v>
      </c>
      <c r="T159">
        <v>10</v>
      </c>
      <c r="U159">
        <v>1</v>
      </c>
      <c r="V159">
        <v>8</v>
      </c>
      <c r="W159">
        <v>56</v>
      </c>
      <c r="X159">
        <v>92</v>
      </c>
      <c r="Y159">
        <v>32</v>
      </c>
      <c r="Z159">
        <v>31</v>
      </c>
      <c r="AA159">
        <v>2</v>
      </c>
      <c r="AB159">
        <v>3</v>
      </c>
      <c r="AC159">
        <v>46</v>
      </c>
      <c r="AD159">
        <v>1</v>
      </c>
      <c r="AE159">
        <v>2</v>
      </c>
      <c r="AF159">
        <v>5</v>
      </c>
      <c r="AG159">
        <v>1</v>
      </c>
      <c r="AH159">
        <v>0</v>
      </c>
      <c r="AI159" s="5">
        <v>0.26300000000000001</v>
      </c>
      <c r="AJ159" s="5">
        <v>0.36099999999999999</v>
      </c>
      <c r="AK159" s="5">
        <v>0.433</v>
      </c>
      <c r="AL159" s="5">
        <v>0.26300000000000001</v>
      </c>
      <c r="AM159" s="5">
        <v>0.29799999999999999</v>
      </c>
      <c r="AN159">
        <v>-0.2</v>
      </c>
      <c r="AO159">
        <v>1.33</v>
      </c>
      <c r="AP159">
        <v>7</v>
      </c>
      <c r="AQ159">
        <v>0.83</v>
      </c>
      <c r="AR159">
        <v>2.4</v>
      </c>
      <c r="AS159" t="s">
        <v>3724</v>
      </c>
      <c r="AT159">
        <v>1.3</v>
      </c>
      <c r="AU159">
        <v>9</v>
      </c>
      <c r="AV159">
        <v>3</v>
      </c>
      <c r="AW159">
        <v>16</v>
      </c>
      <c r="AX159">
        <v>13</v>
      </c>
      <c r="AY159">
        <v>27</v>
      </c>
      <c r="AZ159" t="s">
        <v>3725</v>
      </c>
      <c r="BA159">
        <v>51</v>
      </c>
      <c r="BB159" t="s">
        <v>36</v>
      </c>
      <c r="BC159" t="s">
        <v>35</v>
      </c>
      <c r="BD159" s="4">
        <f>HYPERLINK("http://mlb.mlb.com/team/player.jsp?player_id=664774",664774)</f>
        <v>664774</v>
      </c>
      <c r="BE159">
        <v>660</v>
      </c>
      <c r="BF159">
        <v>1660</v>
      </c>
      <c r="BG159">
        <v>0</v>
      </c>
      <c r="BH159">
        <v>0</v>
      </c>
    </row>
    <row r="160" spans="1:60" x14ac:dyDescent="0.3">
      <c r="A160" s="4">
        <f>HYPERLINK("http://legacy.baseballprospectus.com/p/107491",107491)</f>
        <v>107491</v>
      </c>
      <c r="B160" t="s">
        <v>1950</v>
      </c>
      <c r="C160" t="s">
        <v>1403</v>
      </c>
      <c r="D160" s="10">
        <v>35859</v>
      </c>
      <c r="E160" t="s">
        <v>53</v>
      </c>
      <c r="F160" t="s">
        <v>33</v>
      </c>
      <c r="G160" t="s">
        <v>33</v>
      </c>
      <c r="H160">
        <v>72</v>
      </c>
      <c r="I160">
        <v>200</v>
      </c>
      <c r="J160">
        <v>2018</v>
      </c>
      <c r="K160" s="4" t="str">
        <f>HYPERLINK("http://legacy.baseballprospectus.com/fantasy/dc/index.php?tm=TOR","TOR")</f>
        <v>TOR</v>
      </c>
      <c r="L160" t="s">
        <v>95</v>
      </c>
      <c r="M160" t="s">
        <v>34</v>
      </c>
      <c r="N160">
        <v>20</v>
      </c>
      <c r="O160">
        <v>250</v>
      </c>
      <c r="P160" t="s">
        <v>1680</v>
      </c>
      <c r="Q160">
        <v>230</v>
      </c>
      <c r="R160">
        <v>30</v>
      </c>
      <c r="S160">
        <v>38</v>
      </c>
      <c r="T160">
        <v>14</v>
      </c>
      <c r="U160">
        <v>0</v>
      </c>
      <c r="V160">
        <v>9</v>
      </c>
      <c r="W160">
        <v>61</v>
      </c>
      <c r="X160">
        <v>102</v>
      </c>
      <c r="Y160">
        <v>33</v>
      </c>
      <c r="Z160">
        <v>16</v>
      </c>
      <c r="AA160">
        <v>1</v>
      </c>
      <c r="AB160">
        <v>2</v>
      </c>
      <c r="AC160">
        <v>61</v>
      </c>
      <c r="AD160">
        <v>0</v>
      </c>
      <c r="AE160">
        <v>1</v>
      </c>
      <c r="AF160">
        <v>5</v>
      </c>
      <c r="AG160">
        <v>5</v>
      </c>
      <c r="AH160">
        <v>2</v>
      </c>
      <c r="AI160" s="5">
        <v>0.26800000000000002</v>
      </c>
      <c r="AJ160" s="5">
        <v>0.32</v>
      </c>
      <c r="AK160" s="5">
        <v>0.45100000000000001</v>
      </c>
      <c r="AL160" s="5">
        <v>0.25800000000000001</v>
      </c>
      <c r="AM160" s="5">
        <v>0.32400000000000001</v>
      </c>
      <c r="AN160">
        <v>0</v>
      </c>
      <c r="AO160">
        <v>4.03</v>
      </c>
      <c r="AP160">
        <v>7</v>
      </c>
      <c r="AQ160">
        <v>-0.56999999999999995</v>
      </c>
      <c r="AR160">
        <v>1.5</v>
      </c>
      <c r="AS160" t="s">
        <v>1795</v>
      </c>
      <c r="AT160">
        <v>1.3</v>
      </c>
      <c r="AU160">
        <v>10.4</v>
      </c>
      <c r="AV160">
        <v>14</v>
      </c>
      <c r="AW160">
        <v>32</v>
      </c>
      <c r="AX160">
        <v>0</v>
      </c>
      <c r="AY160">
        <v>13</v>
      </c>
      <c r="AZ160" t="s">
        <v>3702</v>
      </c>
      <c r="BA160">
        <v>34</v>
      </c>
      <c r="BB160" t="s">
        <v>36</v>
      </c>
      <c r="BC160" t="s">
        <v>35</v>
      </c>
      <c r="BD160" s="4">
        <f>HYPERLINK("http://mlb.mlb.com/team/player.jsp?player_id=666182",666182)</f>
        <v>666182</v>
      </c>
      <c r="BE160">
        <v>547</v>
      </c>
      <c r="BF160">
        <v>1547</v>
      </c>
      <c r="BG160">
        <v>0</v>
      </c>
      <c r="BH160">
        <v>0</v>
      </c>
    </row>
    <row r="161" spans="1:60" x14ac:dyDescent="0.3">
      <c r="A161" s="4">
        <f>HYPERLINK("http://legacy.baseballprospectus.com/p/37052",37052)</f>
        <v>37052</v>
      </c>
      <c r="B161" t="s">
        <v>425</v>
      </c>
      <c r="C161" t="s">
        <v>104</v>
      </c>
      <c r="D161" s="10">
        <v>29235</v>
      </c>
      <c r="E161" t="s">
        <v>50</v>
      </c>
      <c r="F161" t="s">
        <v>33</v>
      </c>
      <c r="G161" t="s">
        <v>33</v>
      </c>
      <c r="H161">
        <v>76</v>
      </c>
      <c r="I161">
        <v>240</v>
      </c>
      <c r="J161">
        <v>2018</v>
      </c>
      <c r="K161" s="4" t="str">
        <f>HYPERLINK("http://legacy.baseballprospectus.com/fantasy/dc/index.php?tm=NYA","NYA")</f>
        <v>NYA</v>
      </c>
      <c r="L161" t="s">
        <v>95</v>
      </c>
      <c r="M161" t="s">
        <v>34</v>
      </c>
      <c r="N161">
        <v>38</v>
      </c>
      <c r="O161">
        <v>409</v>
      </c>
      <c r="P161" t="s">
        <v>1680</v>
      </c>
      <c r="Q161">
        <v>355</v>
      </c>
      <c r="R161">
        <v>50</v>
      </c>
      <c r="S161">
        <v>55</v>
      </c>
      <c r="T161">
        <v>18</v>
      </c>
      <c r="U161">
        <v>0</v>
      </c>
      <c r="V161">
        <v>16</v>
      </c>
      <c r="W161">
        <v>89</v>
      </c>
      <c r="X161">
        <v>155</v>
      </c>
      <c r="Y161">
        <v>55</v>
      </c>
      <c r="Z161">
        <v>45</v>
      </c>
      <c r="AA161">
        <v>2</v>
      </c>
      <c r="AB161">
        <v>6</v>
      </c>
      <c r="AC161">
        <v>83</v>
      </c>
      <c r="AD161">
        <v>0</v>
      </c>
      <c r="AE161">
        <v>2</v>
      </c>
      <c r="AF161">
        <v>13</v>
      </c>
      <c r="AG161">
        <v>1</v>
      </c>
      <c r="AH161">
        <v>0</v>
      </c>
      <c r="AI161" s="5">
        <v>0.25</v>
      </c>
      <c r="AJ161" s="5">
        <v>0.34200000000000003</v>
      </c>
      <c r="AK161" s="5">
        <v>0.436</v>
      </c>
      <c r="AL161" s="5">
        <v>0.26300000000000001</v>
      </c>
      <c r="AM161" s="5">
        <v>0.28100000000000003</v>
      </c>
      <c r="AN161">
        <v>-1</v>
      </c>
      <c r="AO161">
        <v>-2.58</v>
      </c>
      <c r="AP161">
        <v>11.45</v>
      </c>
      <c r="AQ161">
        <v>1.49</v>
      </c>
      <c r="AR161">
        <v>1.9</v>
      </c>
      <c r="AS161" t="s">
        <v>68</v>
      </c>
      <c r="AT161">
        <v>1.2</v>
      </c>
      <c r="AU161">
        <v>9.3000000000000007</v>
      </c>
      <c r="AV161">
        <v>0</v>
      </c>
      <c r="AW161">
        <v>14</v>
      </c>
      <c r="AX161">
        <v>17</v>
      </c>
      <c r="AY161">
        <v>24</v>
      </c>
      <c r="AZ161" t="s">
        <v>3726</v>
      </c>
      <c r="BA161">
        <v>72</v>
      </c>
      <c r="BB161" t="s">
        <v>36</v>
      </c>
      <c r="BC161" t="s">
        <v>36</v>
      </c>
      <c r="BD161" s="4">
        <f>HYPERLINK("http://mlb.mlb.com/team/player.jsp?player_id=407812",407812)</f>
        <v>407812</v>
      </c>
      <c r="BE161">
        <v>0</v>
      </c>
      <c r="BF161">
        <v>0</v>
      </c>
      <c r="BG161">
        <v>427</v>
      </c>
      <c r="BH161">
        <v>373</v>
      </c>
    </row>
    <row r="162" spans="1:60" x14ac:dyDescent="0.3">
      <c r="A162" s="4">
        <f>HYPERLINK("http://legacy.baseballprospectus.com/p/57013",57013)</f>
        <v>57013</v>
      </c>
      <c r="B162" t="s">
        <v>542</v>
      </c>
      <c r="C162" t="s">
        <v>301</v>
      </c>
      <c r="D162" s="10">
        <v>32553</v>
      </c>
      <c r="E162" t="s">
        <v>54</v>
      </c>
      <c r="F162" t="s">
        <v>33</v>
      </c>
      <c r="G162" t="s">
        <v>33</v>
      </c>
      <c r="H162">
        <v>72</v>
      </c>
      <c r="I162">
        <v>235</v>
      </c>
      <c r="J162">
        <v>2018</v>
      </c>
      <c r="K162" s="4" t="str">
        <f>HYPERLINK("http://legacy.baseballprospectus.com/fantasy/dc/index.php?tm=DET","DET")</f>
        <v>DET</v>
      </c>
      <c r="L162" t="s">
        <v>95</v>
      </c>
      <c r="M162" t="s">
        <v>34</v>
      </c>
      <c r="N162">
        <v>29</v>
      </c>
      <c r="O162">
        <v>250</v>
      </c>
      <c r="P162" t="s">
        <v>1680</v>
      </c>
      <c r="Q162">
        <v>223</v>
      </c>
      <c r="R162">
        <v>29</v>
      </c>
      <c r="S162">
        <v>34</v>
      </c>
      <c r="T162">
        <v>12</v>
      </c>
      <c r="U162">
        <v>1</v>
      </c>
      <c r="V162">
        <v>9</v>
      </c>
      <c r="W162">
        <v>56</v>
      </c>
      <c r="X162">
        <v>97</v>
      </c>
      <c r="Y162">
        <v>32</v>
      </c>
      <c r="Z162">
        <v>23</v>
      </c>
      <c r="AA162">
        <v>1</v>
      </c>
      <c r="AB162">
        <v>3</v>
      </c>
      <c r="AC162">
        <v>59</v>
      </c>
      <c r="AD162">
        <v>0</v>
      </c>
      <c r="AE162">
        <v>1</v>
      </c>
      <c r="AF162">
        <v>5</v>
      </c>
      <c r="AG162">
        <v>3</v>
      </c>
      <c r="AH162">
        <v>1</v>
      </c>
      <c r="AI162" s="5">
        <v>0.245</v>
      </c>
      <c r="AJ162" s="5">
        <v>0.32</v>
      </c>
      <c r="AK162" s="5">
        <v>0.41899999999999998</v>
      </c>
      <c r="AL162" s="5">
        <v>0.245</v>
      </c>
      <c r="AM162" s="5">
        <v>0.29299999999999998</v>
      </c>
      <c r="AN162">
        <v>-0.7</v>
      </c>
      <c r="AO162">
        <v>5.4</v>
      </c>
      <c r="AP162">
        <v>7</v>
      </c>
      <c r="AQ162">
        <v>-3.9</v>
      </c>
      <c r="AR162">
        <v>2.9</v>
      </c>
      <c r="AS162" t="s">
        <v>1541</v>
      </c>
      <c r="AT162">
        <v>1.2</v>
      </c>
      <c r="AU162">
        <v>7.8</v>
      </c>
      <c r="AV162">
        <v>3</v>
      </c>
      <c r="AW162">
        <v>40</v>
      </c>
      <c r="AX162">
        <v>8</v>
      </c>
      <c r="AY162">
        <v>21</v>
      </c>
      <c r="AZ162" t="s">
        <v>3727</v>
      </c>
      <c r="BA162">
        <v>98</v>
      </c>
      <c r="BB162" t="s">
        <v>36</v>
      </c>
      <c r="BC162" t="s">
        <v>36</v>
      </c>
      <c r="BD162" s="4">
        <f>HYPERLINK("http://mlb.mlb.com/team/player.jsp?player_id=519083",519083)</f>
        <v>519083</v>
      </c>
      <c r="BE162">
        <v>697</v>
      </c>
      <c r="BF162">
        <v>1697</v>
      </c>
      <c r="BG162">
        <v>198</v>
      </c>
      <c r="BH162">
        <v>179</v>
      </c>
    </row>
    <row r="163" spans="1:60" x14ac:dyDescent="0.3">
      <c r="A163" s="4">
        <f>HYPERLINK("http://legacy.baseballprospectus.com/p/101621",101621)</f>
        <v>101621</v>
      </c>
      <c r="B163" t="s">
        <v>1883</v>
      </c>
      <c r="C163" t="s">
        <v>119</v>
      </c>
      <c r="D163" s="10">
        <v>33936</v>
      </c>
      <c r="E163" t="s">
        <v>54</v>
      </c>
      <c r="F163" t="s">
        <v>33</v>
      </c>
      <c r="G163" t="s">
        <v>33</v>
      </c>
      <c r="H163">
        <v>71</v>
      </c>
      <c r="I163">
        <v>211</v>
      </c>
      <c r="J163">
        <v>2018</v>
      </c>
      <c r="K163" s="4" t="str">
        <f>HYPERLINK("http://legacy.baseballprospectus.com/fantasy/dc/index.php?tm=TEX","TEX")</f>
        <v>TEX</v>
      </c>
      <c r="L163" t="s">
        <v>95</v>
      </c>
      <c r="M163" t="s">
        <v>34</v>
      </c>
      <c r="N163">
        <v>25</v>
      </c>
      <c r="O163">
        <v>250</v>
      </c>
      <c r="P163" t="s">
        <v>1680</v>
      </c>
      <c r="Q163">
        <v>236</v>
      </c>
      <c r="R163">
        <v>23</v>
      </c>
      <c r="S163">
        <v>39</v>
      </c>
      <c r="T163">
        <v>11</v>
      </c>
      <c r="U163">
        <v>0</v>
      </c>
      <c r="V163">
        <v>7</v>
      </c>
      <c r="W163">
        <v>57</v>
      </c>
      <c r="X163">
        <v>89</v>
      </c>
      <c r="Y163">
        <v>29</v>
      </c>
      <c r="Z163">
        <v>11</v>
      </c>
      <c r="AA163">
        <v>1</v>
      </c>
      <c r="AB163">
        <v>1</v>
      </c>
      <c r="AC163">
        <v>44</v>
      </c>
      <c r="AD163">
        <v>1</v>
      </c>
      <c r="AE163">
        <v>1</v>
      </c>
      <c r="AF163">
        <v>7</v>
      </c>
      <c r="AG163">
        <v>0</v>
      </c>
      <c r="AH163">
        <v>0</v>
      </c>
      <c r="AI163" s="5">
        <v>0.24399999999999999</v>
      </c>
      <c r="AJ163" s="5">
        <v>0.28000000000000003</v>
      </c>
      <c r="AK163" s="5">
        <v>0.38300000000000001</v>
      </c>
      <c r="AL163" s="5">
        <v>0.216</v>
      </c>
      <c r="AM163" s="5">
        <v>0.27</v>
      </c>
      <c r="AN163">
        <v>-0.6</v>
      </c>
      <c r="AO163">
        <v>5.41</v>
      </c>
      <c r="AP163">
        <v>7</v>
      </c>
      <c r="AQ163">
        <v>-11.51</v>
      </c>
      <c r="AR163">
        <v>10.5</v>
      </c>
      <c r="AS163" t="s">
        <v>1683</v>
      </c>
      <c r="AT163">
        <v>1.2</v>
      </c>
      <c r="AU163">
        <v>0.3</v>
      </c>
      <c r="AV163">
        <v>9</v>
      </c>
      <c r="AW163">
        <v>12</v>
      </c>
      <c r="AX163">
        <v>11</v>
      </c>
      <c r="AY163">
        <v>22</v>
      </c>
      <c r="AZ163" t="s">
        <v>3728</v>
      </c>
      <c r="BA163">
        <v>29</v>
      </c>
      <c r="BB163" t="s">
        <v>36</v>
      </c>
      <c r="BC163" t="s">
        <v>35</v>
      </c>
      <c r="BD163" s="4">
        <f>HYPERLINK("http://mlb.mlb.com/team/player.jsp?player_id=624431",624431)</f>
        <v>624431</v>
      </c>
      <c r="BE163">
        <v>398</v>
      </c>
      <c r="BF163">
        <v>1398</v>
      </c>
      <c r="BG163">
        <v>0</v>
      </c>
      <c r="BH163">
        <v>0</v>
      </c>
    </row>
    <row r="164" spans="1:60" x14ac:dyDescent="0.3">
      <c r="A164" s="4">
        <f>HYPERLINK("http://legacy.baseballprospectus.com/p/108615",108615)</f>
        <v>108615</v>
      </c>
      <c r="B164" t="s">
        <v>1940</v>
      </c>
      <c r="C164" t="s">
        <v>108</v>
      </c>
      <c r="D164" s="10">
        <v>34710</v>
      </c>
      <c r="E164" t="s">
        <v>58</v>
      </c>
      <c r="F164" t="s">
        <v>33</v>
      </c>
      <c r="G164" t="s">
        <v>33</v>
      </c>
      <c r="H164">
        <v>71</v>
      </c>
      <c r="I164">
        <v>175</v>
      </c>
      <c r="J164">
        <v>2018</v>
      </c>
      <c r="K164" s="4" t="str">
        <f>HYPERLINK("http://legacy.baseballprospectus.com/fantasy/dc/index.php?tm=TBA","TBA")</f>
        <v>TBA</v>
      </c>
      <c r="L164" t="s">
        <v>95</v>
      </c>
      <c r="M164" t="s">
        <v>34</v>
      </c>
      <c r="N164">
        <v>23</v>
      </c>
      <c r="O164">
        <v>250</v>
      </c>
      <c r="P164" t="s">
        <v>1680</v>
      </c>
      <c r="Q164">
        <v>221</v>
      </c>
      <c r="R164">
        <v>29</v>
      </c>
      <c r="S164">
        <v>35</v>
      </c>
      <c r="T164">
        <v>10</v>
      </c>
      <c r="U164">
        <v>1</v>
      </c>
      <c r="V164">
        <v>9</v>
      </c>
      <c r="W164">
        <v>55</v>
      </c>
      <c r="X164">
        <v>94</v>
      </c>
      <c r="Y164">
        <v>32</v>
      </c>
      <c r="Z164">
        <v>25</v>
      </c>
      <c r="AA164">
        <v>1</v>
      </c>
      <c r="AB164">
        <v>2</v>
      </c>
      <c r="AC164">
        <v>62</v>
      </c>
      <c r="AD164">
        <v>1</v>
      </c>
      <c r="AE164">
        <v>1</v>
      </c>
      <c r="AF164">
        <v>6</v>
      </c>
      <c r="AG164">
        <v>2</v>
      </c>
      <c r="AH164">
        <v>1</v>
      </c>
      <c r="AI164" s="5">
        <v>0.249</v>
      </c>
      <c r="AJ164" s="5">
        <v>0.32800000000000001</v>
      </c>
      <c r="AK164" s="5">
        <v>0.42</v>
      </c>
      <c r="AL164" s="5">
        <v>0.25600000000000001</v>
      </c>
      <c r="AM164" s="5">
        <v>0.30499999999999999</v>
      </c>
      <c r="AN164">
        <v>-0.2</v>
      </c>
      <c r="AO164">
        <v>3.35</v>
      </c>
      <c r="AP164">
        <v>7</v>
      </c>
      <c r="AQ164">
        <v>-0.99</v>
      </c>
      <c r="AR164">
        <v>1.9</v>
      </c>
      <c r="AS164" t="s">
        <v>1339</v>
      </c>
      <c r="AT164">
        <v>1.2</v>
      </c>
      <c r="AU164">
        <v>9.1</v>
      </c>
      <c r="AV164">
        <v>6</v>
      </c>
      <c r="AW164">
        <v>24</v>
      </c>
      <c r="AX164">
        <v>10</v>
      </c>
      <c r="AY164">
        <v>26</v>
      </c>
      <c r="AZ164" t="s">
        <v>3729</v>
      </c>
      <c r="BA164">
        <v>55</v>
      </c>
      <c r="BB164" t="s">
        <v>36</v>
      </c>
      <c r="BC164" t="s">
        <v>35</v>
      </c>
      <c r="BD164" s="4">
        <f>HYPERLINK("http://mlb.mlb.com/team/player.jsp?player_id=669256",669256)</f>
        <v>669256</v>
      </c>
      <c r="BE164">
        <v>462</v>
      </c>
      <c r="BF164">
        <v>1462</v>
      </c>
      <c r="BG164">
        <v>0</v>
      </c>
      <c r="BH164">
        <v>0</v>
      </c>
    </row>
    <row r="165" spans="1:60" x14ac:dyDescent="0.3">
      <c r="A165" s="4">
        <f>HYPERLINK("http://legacy.baseballprospectus.com/p/45464",45464)</f>
        <v>45464</v>
      </c>
      <c r="B165" t="s">
        <v>560</v>
      </c>
      <c r="C165" t="s">
        <v>97</v>
      </c>
      <c r="D165" s="10">
        <v>30545</v>
      </c>
      <c r="E165" t="s">
        <v>58</v>
      </c>
      <c r="F165" t="s">
        <v>33</v>
      </c>
      <c r="G165" t="s">
        <v>33</v>
      </c>
      <c r="H165">
        <v>69</v>
      </c>
      <c r="I165">
        <v>175</v>
      </c>
      <c r="J165">
        <v>2018</v>
      </c>
      <c r="K165" s="4" t="str">
        <f>HYPERLINK("http://legacy.baseballprospectus.com/fantasy/dc/index.php?tm=BOS","BOS")</f>
        <v>BOS</v>
      </c>
      <c r="L165" t="s">
        <v>95</v>
      </c>
      <c r="M165" t="s">
        <v>34</v>
      </c>
      <c r="N165">
        <v>34</v>
      </c>
      <c r="O165">
        <v>386</v>
      </c>
      <c r="P165">
        <v>88</v>
      </c>
      <c r="Q165">
        <v>348</v>
      </c>
      <c r="R165">
        <v>40</v>
      </c>
      <c r="S165">
        <v>75</v>
      </c>
      <c r="T165">
        <v>18</v>
      </c>
      <c r="U165">
        <v>1</v>
      </c>
      <c r="V165">
        <v>5</v>
      </c>
      <c r="W165">
        <v>99</v>
      </c>
      <c r="X165">
        <v>134</v>
      </c>
      <c r="Y165">
        <v>39</v>
      </c>
      <c r="Z165">
        <v>34</v>
      </c>
      <c r="AA165">
        <v>2</v>
      </c>
      <c r="AB165">
        <v>1</v>
      </c>
      <c r="AC165">
        <v>46</v>
      </c>
      <c r="AD165">
        <v>0</v>
      </c>
      <c r="AE165">
        <v>2</v>
      </c>
      <c r="AF165">
        <v>11</v>
      </c>
      <c r="AG165">
        <v>3</v>
      </c>
      <c r="AH165">
        <v>2</v>
      </c>
      <c r="AI165" s="5">
        <v>0.28399999999999997</v>
      </c>
      <c r="AJ165" s="5">
        <v>0.34799999999999998</v>
      </c>
      <c r="AK165" s="5">
        <v>0.38500000000000001</v>
      </c>
      <c r="AL165" s="5">
        <v>0.26200000000000001</v>
      </c>
      <c r="AM165" s="5">
        <v>0.313</v>
      </c>
      <c r="AN165">
        <v>-1</v>
      </c>
      <c r="AO165">
        <v>1.45</v>
      </c>
      <c r="AP165">
        <v>10.36</v>
      </c>
      <c r="AQ165">
        <v>0.87</v>
      </c>
      <c r="AR165">
        <v>0.6</v>
      </c>
      <c r="AS165" t="s">
        <v>69</v>
      </c>
      <c r="AT165">
        <v>1.2</v>
      </c>
      <c r="AU165">
        <v>11.7</v>
      </c>
      <c r="AV165">
        <v>3</v>
      </c>
      <c r="AW165">
        <v>35</v>
      </c>
      <c r="AX165">
        <v>8</v>
      </c>
      <c r="AY165">
        <v>15</v>
      </c>
      <c r="AZ165" t="s">
        <v>3685</v>
      </c>
      <c r="BA165">
        <v>89</v>
      </c>
      <c r="BB165" t="s">
        <v>35</v>
      </c>
      <c r="BC165" t="s">
        <v>36</v>
      </c>
      <c r="BD165" s="4">
        <f>HYPERLINK("http://mlb.mlb.com/team/player.jsp?player_id=456030",456030)</f>
        <v>456030</v>
      </c>
      <c r="BE165">
        <v>448</v>
      </c>
      <c r="BF165">
        <v>1448</v>
      </c>
      <c r="BG165">
        <v>463</v>
      </c>
      <c r="BH165">
        <v>406</v>
      </c>
    </row>
    <row r="166" spans="1:60" x14ac:dyDescent="0.3">
      <c r="A166" s="4">
        <f>HYPERLINK("http://legacy.baseballprospectus.com/p/67758",67758)</f>
        <v>67758</v>
      </c>
      <c r="B166" t="s">
        <v>1095</v>
      </c>
      <c r="C166" t="s">
        <v>245</v>
      </c>
      <c r="D166" s="10">
        <v>31642</v>
      </c>
      <c r="E166" t="s">
        <v>54</v>
      </c>
      <c r="F166" t="s">
        <v>33</v>
      </c>
      <c r="G166" t="s">
        <v>33</v>
      </c>
      <c r="H166">
        <v>76</v>
      </c>
      <c r="I166">
        <v>270</v>
      </c>
      <c r="J166">
        <v>2018</v>
      </c>
      <c r="K166" s="4" t="str">
        <f>HYPERLINK("http://legacy.baseballprospectus.com/fantasy/dc/index.php?tm=HOU","HOU")</f>
        <v>HOU</v>
      </c>
      <c r="L166" t="s">
        <v>95</v>
      </c>
      <c r="M166" t="s">
        <v>34</v>
      </c>
      <c r="N166">
        <v>31</v>
      </c>
      <c r="O166">
        <v>468</v>
      </c>
      <c r="P166">
        <v>118</v>
      </c>
      <c r="Q166">
        <v>432</v>
      </c>
      <c r="R166">
        <v>60</v>
      </c>
      <c r="S166">
        <v>62</v>
      </c>
      <c r="T166">
        <v>21</v>
      </c>
      <c r="U166">
        <v>2</v>
      </c>
      <c r="V166">
        <v>23</v>
      </c>
      <c r="W166">
        <v>108</v>
      </c>
      <c r="X166">
        <v>202</v>
      </c>
      <c r="Y166">
        <v>68</v>
      </c>
      <c r="Z166">
        <v>29</v>
      </c>
      <c r="AA166">
        <v>3</v>
      </c>
      <c r="AB166">
        <v>5</v>
      </c>
      <c r="AC166">
        <v>100</v>
      </c>
      <c r="AD166">
        <v>0</v>
      </c>
      <c r="AE166">
        <v>3</v>
      </c>
      <c r="AF166">
        <v>14</v>
      </c>
      <c r="AG166">
        <v>1</v>
      </c>
      <c r="AH166">
        <v>1</v>
      </c>
      <c r="AI166" s="5">
        <v>0.25</v>
      </c>
      <c r="AJ166" s="5">
        <v>0.30299999999999999</v>
      </c>
      <c r="AK166" s="5">
        <v>0.46800000000000003</v>
      </c>
      <c r="AL166" s="5">
        <v>0.26700000000000002</v>
      </c>
      <c r="AM166" s="5">
        <v>0.27400000000000002</v>
      </c>
      <c r="AN166">
        <v>-0.8</v>
      </c>
      <c r="AO166">
        <v>-2.23</v>
      </c>
      <c r="AP166">
        <v>12.56</v>
      </c>
      <c r="AQ166">
        <v>3.63</v>
      </c>
      <c r="AR166">
        <v>-1.3</v>
      </c>
      <c r="AS166" t="s">
        <v>60</v>
      </c>
      <c r="AT166">
        <v>1.2</v>
      </c>
      <c r="AU166">
        <v>13.2</v>
      </c>
      <c r="AV166">
        <v>1</v>
      </c>
      <c r="AW166">
        <v>32</v>
      </c>
      <c r="AX166">
        <v>13</v>
      </c>
      <c r="AY166">
        <v>11</v>
      </c>
      <c r="AZ166" t="s">
        <v>3733</v>
      </c>
      <c r="BA166">
        <v>98</v>
      </c>
      <c r="BB166" t="s">
        <v>35</v>
      </c>
      <c r="BC166" t="s">
        <v>36</v>
      </c>
      <c r="BD166" s="4">
        <f>HYPERLINK("http://mlb.mlb.com/team/player.jsp?player_id=594828",594828)</f>
        <v>594828</v>
      </c>
      <c r="BE166">
        <v>361</v>
      </c>
      <c r="BF166">
        <v>1361</v>
      </c>
      <c r="BG166">
        <v>325</v>
      </c>
      <c r="BH166">
        <v>300</v>
      </c>
    </row>
    <row r="167" spans="1:60" x14ac:dyDescent="0.3">
      <c r="A167" s="4">
        <f>HYPERLINK("http://legacy.baseballprospectus.com/p/57278",57278)</f>
        <v>57278</v>
      </c>
      <c r="B167" t="s">
        <v>239</v>
      </c>
      <c r="C167" t="s">
        <v>240</v>
      </c>
      <c r="D167" s="10">
        <v>32956</v>
      </c>
      <c r="E167" t="s">
        <v>58</v>
      </c>
      <c r="F167" t="s">
        <v>33</v>
      </c>
      <c r="G167" t="s">
        <v>33</v>
      </c>
      <c r="H167">
        <v>74</v>
      </c>
      <c r="I167">
        <v>230</v>
      </c>
      <c r="J167">
        <v>2018</v>
      </c>
      <c r="K167" s="4" t="str">
        <f>HYPERLINK("http://legacy.baseballprospectus.com/fantasy/dc/index.php?tm=MIA","MIA")</f>
        <v>MIA</v>
      </c>
      <c r="L167" t="s">
        <v>100</v>
      </c>
      <c r="M167" t="s">
        <v>34</v>
      </c>
      <c r="N167">
        <v>28</v>
      </c>
      <c r="O167">
        <v>598</v>
      </c>
      <c r="P167">
        <v>145</v>
      </c>
      <c r="Q167">
        <v>561</v>
      </c>
      <c r="R167">
        <v>62</v>
      </c>
      <c r="S167">
        <v>110</v>
      </c>
      <c r="T167">
        <v>25</v>
      </c>
      <c r="U167">
        <v>2</v>
      </c>
      <c r="V167">
        <v>14</v>
      </c>
      <c r="W167">
        <v>151</v>
      </c>
      <c r="X167">
        <v>222</v>
      </c>
      <c r="Y167">
        <v>67</v>
      </c>
      <c r="Z167">
        <v>29</v>
      </c>
      <c r="AA167">
        <v>3</v>
      </c>
      <c r="AB167">
        <v>4</v>
      </c>
      <c r="AC167">
        <v>105</v>
      </c>
      <c r="AD167">
        <v>0</v>
      </c>
      <c r="AE167">
        <v>3</v>
      </c>
      <c r="AF167">
        <v>19</v>
      </c>
      <c r="AG167">
        <v>4</v>
      </c>
      <c r="AH167">
        <v>2</v>
      </c>
      <c r="AI167" s="5">
        <v>0.26900000000000002</v>
      </c>
      <c r="AJ167" s="5">
        <v>0.308</v>
      </c>
      <c r="AK167" s="5">
        <v>0.39600000000000002</v>
      </c>
      <c r="AL167" s="5">
        <v>0.249</v>
      </c>
      <c r="AM167" s="5">
        <v>0.308</v>
      </c>
      <c r="AN167">
        <v>-0.8</v>
      </c>
      <c r="AO167">
        <v>3.1</v>
      </c>
      <c r="AP167">
        <v>16.05</v>
      </c>
      <c r="AQ167">
        <v>-7.12</v>
      </c>
      <c r="AR167">
        <v>0.9</v>
      </c>
      <c r="AS167" t="s">
        <v>69</v>
      </c>
      <c r="AT167">
        <v>1.2</v>
      </c>
      <c r="AU167">
        <v>11.2</v>
      </c>
      <c r="AV167">
        <v>0</v>
      </c>
      <c r="AW167">
        <v>46</v>
      </c>
      <c r="AX167">
        <v>8</v>
      </c>
      <c r="AY167">
        <v>9</v>
      </c>
      <c r="AZ167" t="s">
        <v>3736</v>
      </c>
      <c r="BA167">
        <v>97</v>
      </c>
      <c r="BB167" t="s">
        <v>35</v>
      </c>
      <c r="BC167" t="s">
        <v>36</v>
      </c>
      <c r="BD167" s="4">
        <f>HYPERLINK("http://mlb.mlb.com/team/player.jsp?player_id=516770",516770)</f>
        <v>516770</v>
      </c>
      <c r="BE167">
        <v>1455</v>
      </c>
      <c r="BF167">
        <v>455</v>
      </c>
      <c r="BG167">
        <v>473</v>
      </c>
      <c r="BH167">
        <v>443</v>
      </c>
    </row>
    <row r="168" spans="1:60" x14ac:dyDescent="0.3">
      <c r="A168" s="4">
        <f>HYPERLINK("http://legacy.baseballprospectus.com/p/47127",47127)</f>
        <v>47127</v>
      </c>
      <c r="B168" t="s">
        <v>197</v>
      </c>
      <c r="C168" t="s">
        <v>102</v>
      </c>
      <c r="D168" s="10">
        <v>30637</v>
      </c>
      <c r="E168" t="s">
        <v>57</v>
      </c>
      <c r="F168" t="s">
        <v>33</v>
      </c>
      <c r="G168" t="s">
        <v>33</v>
      </c>
      <c r="H168">
        <v>74</v>
      </c>
      <c r="I168">
        <v>205</v>
      </c>
      <c r="J168">
        <v>2018</v>
      </c>
      <c r="K168" s="4" t="str">
        <f>HYPERLINK("http://legacy.baseballprospectus.com/fantasy/dc/index.php?tm=MIL","MIL")</f>
        <v>MIL</v>
      </c>
      <c r="L168" t="s">
        <v>100</v>
      </c>
      <c r="M168" t="s">
        <v>34</v>
      </c>
      <c r="N168">
        <v>34</v>
      </c>
      <c r="O168">
        <v>502</v>
      </c>
      <c r="P168">
        <v>122</v>
      </c>
      <c r="Q168">
        <v>455</v>
      </c>
      <c r="R168">
        <v>67</v>
      </c>
      <c r="S168">
        <v>75</v>
      </c>
      <c r="T168">
        <v>24</v>
      </c>
      <c r="U168">
        <v>3</v>
      </c>
      <c r="V168">
        <v>20</v>
      </c>
      <c r="W168">
        <v>122</v>
      </c>
      <c r="X168">
        <v>212</v>
      </c>
      <c r="Y168">
        <v>68</v>
      </c>
      <c r="Z168">
        <v>41</v>
      </c>
      <c r="AA168">
        <v>5</v>
      </c>
      <c r="AB168">
        <v>4</v>
      </c>
      <c r="AC168">
        <v>101</v>
      </c>
      <c r="AD168">
        <v>0</v>
      </c>
      <c r="AE168">
        <v>2</v>
      </c>
      <c r="AF168">
        <v>16</v>
      </c>
      <c r="AG168">
        <v>15</v>
      </c>
      <c r="AH168">
        <v>4</v>
      </c>
      <c r="AI168" s="5">
        <v>0.26800000000000002</v>
      </c>
      <c r="AJ168" s="5">
        <v>0.33300000000000002</v>
      </c>
      <c r="AK168" s="5">
        <v>0.46600000000000003</v>
      </c>
      <c r="AL168" s="5">
        <v>0.27400000000000002</v>
      </c>
      <c r="AM168" s="5">
        <v>0.30299999999999999</v>
      </c>
      <c r="AN168">
        <v>1.1000000000000001</v>
      </c>
      <c r="AO168">
        <v>-2.2400000000000002</v>
      </c>
      <c r="AP168">
        <v>13.48</v>
      </c>
      <c r="AQ168">
        <v>7.24</v>
      </c>
      <c r="AR168">
        <v>-7.9</v>
      </c>
      <c r="AS168" t="s">
        <v>4847</v>
      </c>
      <c r="AT168">
        <v>1.2</v>
      </c>
      <c r="AU168">
        <v>19.600000000000001</v>
      </c>
      <c r="AV168">
        <v>0</v>
      </c>
      <c r="AW168">
        <v>29</v>
      </c>
      <c r="AX168">
        <v>10</v>
      </c>
      <c r="AY168">
        <v>18</v>
      </c>
      <c r="AZ168" t="s">
        <v>3789</v>
      </c>
      <c r="BA168">
        <v>93</v>
      </c>
      <c r="BB168" t="s">
        <v>35</v>
      </c>
      <c r="BC168" t="s">
        <v>36</v>
      </c>
      <c r="BD168" s="4">
        <f>HYPERLINK("http://mlb.mlb.com/team/player.jsp?player_id=460075",460075)</f>
        <v>460075</v>
      </c>
      <c r="BE168">
        <v>1600</v>
      </c>
      <c r="BF168">
        <v>600</v>
      </c>
      <c r="BG168">
        <v>425</v>
      </c>
      <c r="BH168">
        <v>380</v>
      </c>
    </row>
    <row r="169" spans="1:60" x14ac:dyDescent="0.3">
      <c r="A169" s="4">
        <f>HYPERLINK("http://legacy.baseballprospectus.com/p/47952",47952)</f>
        <v>47952</v>
      </c>
      <c r="B169" t="s">
        <v>453</v>
      </c>
      <c r="C169" t="s">
        <v>104</v>
      </c>
      <c r="D169" s="10">
        <v>30897</v>
      </c>
      <c r="E169" t="s">
        <v>59</v>
      </c>
      <c r="F169" t="s">
        <v>9</v>
      </c>
      <c r="G169" t="s">
        <v>33</v>
      </c>
      <c r="H169">
        <v>74</v>
      </c>
      <c r="I169">
        <v>205</v>
      </c>
      <c r="J169">
        <v>2018</v>
      </c>
      <c r="K169" s="4" t="str">
        <f>HYPERLINK("http://legacy.baseballprospectus.com/fantasy/dc/index.php?tm=OAK","OAK")</f>
        <v>OAK</v>
      </c>
      <c r="L169" t="s">
        <v>95</v>
      </c>
      <c r="M169" t="s">
        <v>34</v>
      </c>
      <c r="N169">
        <v>33</v>
      </c>
      <c r="O169">
        <v>634</v>
      </c>
      <c r="P169">
        <v>154</v>
      </c>
      <c r="Q169">
        <v>544</v>
      </c>
      <c r="R169">
        <v>85</v>
      </c>
      <c r="S169">
        <v>75</v>
      </c>
      <c r="T169">
        <v>29</v>
      </c>
      <c r="U169">
        <v>2</v>
      </c>
      <c r="V169">
        <v>21</v>
      </c>
      <c r="W169">
        <v>127</v>
      </c>
      <c r="X169">
        <v>223</v>
      </c>
      <c r="Y169">
        <v>70</v>
      </c>
      <c r="Z169">
        <v>80</v>
      </c>
      <c r="AA169">
        <v>2</v>
      </c>
      <c r="AB169">
        <v>4</v>
      </c>
      <c r="AC169">
        <v>138</v>
      </c>
      <c r="AD169">
        <v>0</v>
      </c>
      <c r="AE169">
        <v>5</v>
      </c>
      <c r="AF169">
        <v>16</v>
      </c>
      <c r="AG169">
        <v>4</v>
      </c>
      <c r="AH169">
        <v>2</v>
      </c>
      <c r="AI169" s="5">
        <v>0.23300000000000001</v>
      </c>
      <c r="AJ169" s="5">
        <v>0.33300000000000002</v>
      </c>
      <c r="AK169" s="5">
        <v>0.41</v>
      </c>
      <c r="AL169" s="5">
        <v>0.25900000000000001</v>
      </c>
      <c r="AM169" s="5">
        <v>0.27100000000000002</v>
      </c>
      <c r="AN169">
        <v>-1.4</v>
      </c>
      <c r="AO169">
        <v>-2.0299999999999998</v>
      </c>
      <c r="AP169">
        <v>17.02</v>
      </c>
      <c r="AQ169">
        <v>-0.84</v>
      </c>
      <c r="AR169">
        <v>-0.6</v>
      </c>
      <c r="AS169" t="s">
        <v>1014</v>
      </c>
      <c r="AT169">
        <v>1.2</v>
      </c>
      <c r="AU169">
        <v>12.8</v>
      </c>
      <c r="AV169">
        <v>1</v>
      </c>
      <c r="AW169">
        <v>27</v>
      </c>
      <c r="AX169">
        <v>7</v>
      </c>
      <c r="AY169">
        <v>11</v>
      </c>
      <c r="AZ169" t="s">
        <v>3709</v>
      </c>
      <c r="BA169">
        <v>96</v>
      </c>
      <c r="BB169" t="s">
        <v>35</v>
      </c>
      <c r="BC169" t="s">
        <v>36</v>
      </c>
      <c r="BD169" s="4">
        <f>HYPERLINK("http://mlb.mlb.com/team/player.jsp?player_id=459964",459964)</f>
        <v>459964</v>
      </c>
      <c r="BE169">
        <v>578</v>
      </c>
      <c r="BF169">
        <v>1578</v>
      </c>
      <c r="BG169">
        <v>544</v>
      </c>
      <c r="BH169">
        <v>469</v>
      </c>
    </row>
    <row r="170" spans="1:60" x14ac:dyDescent="0.3">
      <c r="A170" s="4">
        <f>HYPERLINK("http://legacy.baseballprospectus.com/p/66245",66245)</f>
        <v>66245</v>
      </c>
      <c r="B170" t="s">
        <v>577</v>
      </c>
      <c r="C170" t="s">
        <v>841</v>
      </c>
      <c r="D170" s="10">
        <v>33495</v>
      </c>
      <c r="E170" t="s">
        <v>57</v>
      </c>
      <c r="F170" t="s">
        <v>9</v>
      </c>
      <c r="G170" t="s">
        <v>9</v>
      </c>
      <c r="H170">
        <v>77</v>
      </c>
      <c r="I170">
        <v>235</v>
      </c>
      <c r="J170">
        <v>2018</v>
      </c>
      <c r="K170" s="4" t="str">
        <f>HYPERLINK("http://legacy.baseballprospectus.com/fantasy/dc/index.php?tm=PIT","PIT")</f>
        <v>PIT</v>
      </c>
      <c r="L170" t="s">
        <v>100</v>
      </c>
      <c r="M170" t="s">
        <v>34</v>
      </c>
      <c r="N170">
        <v>26</v>
      </c>
      <c r="O170">
        <v>510</v>
      </c>
      <c r="P170">
        <v>126</v>
      </c>
      <c r="Q170">
        <v>464</v>
      </c>
      <c r="R170">
        <v>61</v>
      </c>
      <c r="S170">
        <v>77</v>
      </c>
      <c r="T170">
        <v>25</v>
      </c>
      <c r="U170">
        <v>3</v>
      </c>
      <c r="V170">
        <v>14</v>
      </c>
      <c r="W170">
        <v>119</v>
      </c>
      <c r="X170">
        <v>192</v>
      </c>
      <c r="Y170">
        <v>58</v>
      </c>
      <c r="Z170">
        <v>41</v>
      </c>
      <c r="AA170">
        <v>4</v>
      </c>
      <c r="AB170">
        <v>2</v>
      </c>
      <c r="AC170">
        <v>91</v>
      </c>
      <c r="AD170">
        <v>1</v>
      </c>
      <c r="AE170">
        <v>2</v>
      </c>
      <c r="AF170">
        <v>9</v>
      </c>
      <c r="AG170">
        <v>16</v>
      </c>
      <c r="AH170">
        <v>5</v>
      </c>
      <c r="AI170" s="5">
        <v>0.25600000000000001</v>
      </c>
      <c r="AJ170" s="5">
        <v>0.318</v>
      </c>
      <c r="AK170" s="5">
        <v>0.41399999999999998</v>
      </c>
      <c r="AL170" s="5">
        <v>0.253</v>
      </c>
      <c r="AM170" s="5">
        <v>0.28899999999999998</v>
      </c>
      <c r="AN170">
        <v>1.1000000000000001</v>
      </c>
      <c r="AO170">
        <v>-1.82</v>
      </c>
      <c r="AP170">
        <v>13.69</v>
      </c>
      <c r="AQ170">
        <v>-3.81</v>
      </c>
      <c r="AR170">
        <v>3.1</v>
      </c>
      <c r="AS170" t="s">
        <v>1018</v>
      </c>
      <c r="AT170">
        <v>1.2</v>
      </c>
      <c r="AU170">
        <v>9.1999999999999993</v>
      </c>
      <c r="AV170">
        <v>6</v>
      </c>
      <c r="AW170">
        <v>48</v>
      </c>
      <c r="AX170">
        <v>5</v>
      </c>
      <c r="AY170">
        <v>15</v>
      </c>
      <c r="AZ170" t="s">
        <v>3764</v>
      </c>
      <c r="BA170">
        <v>95</v>
      </c>
      <c r="BB170" t="s">
        <v>35</v>
      </c>
      <c r="BC170" t="s">
        <v>36</v>
      </c>
      <c r="BD170" s="4">
        <f>HYPERLINK("http://mlb.mlb.com/team/player.jsp?player_id=570256",570256)</f>
        <v>570256</v>
      </c>
      <c r="BE170">
        <v>1603</v>
      </c>
      <c r="BF170">
        <v>603</v>
      </c>
      <c r="BG170">
        <v>411</v>
      </c>
      <c r="BH170">
        <v>379</v>
      </c>
    </row>
    <row r="171" spans="1:60" x14ac:dyDescent="0.3">
      <c r="A171" s="4">
        <f>HYPERLINK("http://legacy.baseballprospectus.com/p/47736",47736)</f>
        <v>47736</v>
      </c>
      <c r="B171" t="s">
        <v>415</v>
      </c>
      <c r="C171" t="s">
        <v>138</v>
      </c>
      <c r="D171" s="10">
        <v>30811</v>
      </c>
      <c r="E171" t="s">
        <v>51</v>
      </c>
      <c r="F171" t="s">
        <v>37</v>
      </c>
      <c r="G171" t="s">
        <v>33</v>
      </c>
      <c r="H171">
        <v>74</v>
      </c>
      <c r="I171">
        <v>215</v>
      </c>
      <c r="J171">
        <v>2018</v>
      </c>
      <c r="K171" s="4" t="str">
        <f>HYPERLINK("http://legacy.baseballprospectus.com/fantasy/dc/index.php?tm=SDN","SDN")</f>
        <v>SDN</v>
      </c>
      <c r="L171" t="s">
        <v>100</v>
      </c>
      <c r="M171" t="s">
        <v>34</v>
      </c>
      <c r="N171">
        <v>34</v>
      </c>
      <c r="O171">
        <v>499</v>
      </c>
      <c r="P171">
        <v>124</v>
      </c>
      <c r="Q171">
        <v>443</v>
      </c>
      <c r="R171">
        <v>51</v>
      </c>
      <c r="S171">
        <v>75</v>
      </c>
      <c r="T171">
        <v>22</v>
      </c>
      <c r="U171">
        <v>1</v>
      </c>
      <c r="V171">
        <v>8</v>
      </c>
      <c r="W171">
        <v>106</v>
      </c>
      <c r="X171">
        <v>154</v>
      </c>
      <c r="Y171">
        <v>49</v>
      </c>
      <c r="Z171">
        <v>47</v>
      </c>
      <c r="AA171">
        <v>2</v>
      </c>
      <c r="AB171">
        <v>6</v>
      </c>
      <c r="AC171">
        <v>117</v>
      </c>
      <c r="AD171">
        <v>0</v>
      </c>
      <c r="AE171">
        <v>3</v>
      </c>
      <c r="AF171">
        <v>14</v>
      </c>
      <c r="AG171">
        <v>5</v>
      </c>
      <c r="AH171">
        <v>2</v>
      </c>
      <c r="AI171" s="5">
        <v>0.23899999999999999</v>
      </c>
      <c r="AJ171" s="5">
        <v>0.31900000000000001</v>
      </c>
      <c r="AK171" s="5">
        <v>0.34799999999999998</v>
      </c>
      <c r="AL171" s="5">
        <v>0.247</v>
      </c>
      <c r="AM171" s="5">
        <v>0.30599999999999999</v>
      </c>
      <c r="AN171">
        <v>-0.4</v>
      </c>
      <c r="AO171">
        <v>0.44</v>
      </c>
      <c r="AP171">
        <v>13.4</v>
      </c>
      <c r="AQ171">
        <v>-6.77</v>
      </c>
      <c r="AR171">
        <v>4.9000000000000004</v>
      </c>
      <c r="AS171" t="s">
        <v>2204</v>
      </c>
      <c r="AT171">
        <v>1.2</v>
      </c>
      <c r="AU171">
        <v>6.7</v>
      </c>
      <c r="AV171">
        <v>2</v>
      </c>
      <c r="AW171">
        <v>42</v>
      </c>
      <c r="AX171">
        <v>12</v>
      </c>
      <c r="AY171">
        <v>23</v>
      </c>
      <c r="AZ171" t="s">
        <v>3792</v>
      </c>
      <c r="BA171">
        <v>83</v>
      </c>
      <c r="BB171" t="s">
        <v>35</v>
      </c>
      <c r="BC171" t="s">
        <v>36</v>
      </c>
      <c r="BD171" s="4">
        <f>HYPERLINK("http://mlb.mlb.com/team/player.jsp?player_id=452104",452104)</f>
        <v>452104</v>
      </c>
      <c r="BE171">
        <v>1492</v>
      </c>
      <c r="BF171">
        <v>492</v>
      </c>
      <c r="BG171">
        <v>586</v>
      </c>
      <c r="BH171">
        <v>512</v>
      </c>
    </row>
    <row r="172" spans="1:60" x14ac:dyDescent="0.3">
      <c r="A172" s="4">
        <f>HYPERLINK("http://legacy.baseballprospectus.com/p/65980",65980)</f>
        <v>65980</v>
      </c>
      <c r="B172" t="s">
        <v>516</v>
      </c>
      <c r="C172" t="s">
        <v>285</v>
      </c>
      <c r="D172" s="10">
        <v>32799</v>
      </c>
      <c r="E172" t="s">
        <v>50</v>
      </c>
      <c r="F172" t="s">
        <v>9</v>
      </c>
      <c r="G172" t="s">
        <v>33</v>
      </c>
      <c r="H172">
        <v>74</v>
      </c>
      <c r="I172">
        <v>215</v>
      </c>
      <c r="J172">
        <v>2018</v>
      </c>
      <c r="K172" s="4" t="str">
        <f>HYPERLINK("http://legacy.baseballprospectus.com/fantasy/dc/index.php?tm=TBA","TBA")</f>
        <v>TBA</v>
      </c>
      <c r="L172" t="s">
        <v>95</v>
      </c>
      <c r="M172" t="s">
        <v>34</v>
      </c>
      <c r="N172">
        <v>28</v>
      </c>
      <c r="O172">
        <v>561</v>
      </c>
      <c r="P172">
        <v>148</v>
      </c>
      <c r="Q172">
        <v>497</v>
      </c>
      <c r="R172">
        <v>66</v>
      </c>
      <c r="S172">
        <v>76</v>
      </c>
      <c r="T172">
        <v>22</v>
      </c>
      <c r="U172">
        <v>5</v>
      </c>
      <c r="V172">
        <v>17</v>
      </c>
      <c r="W172">
        <v>120</v>
      </c>
      <c r="X172">
        <v>203</v>
      </c>
      <c r="Y172">
        <v>67</v>
      </c>
      <c r="Z172">
        <v>56</v>
      </c>
      <c r="AA172">
        <v>3</v>
      </c>
      <c r="AB172">
        <v>3</v>
      </c>
      <c r="AC172">
        <v>127</v>
      </c>
      <c r="AD172">
        <v>2</v>
      </c>
      <c r="AE172">
        <v>3</v>
      </c>
      <c r="AF172">
        <v>8</v>
      </c>
      <c r="AG172">
        <v>8</v>
      </c>
      <c r="AH172">
        <v>4</v>
      </c>
      <c r="AI172" s="5">
        <v>0.24099999999999999</v>
      </c>
      <c r="AJ172" s="5">
        <v>0.32</v>
      </c>
      <c r="AK172" s="5">
        <v>0.40799999999999997</v>
      </c>
      <c r="AL172" s="5">
        <v>0.26100000000000001</v>
      </c>
      <c r="AM172" s="5">
        <v>0.28599999999999998</v>
      </c>
      <c r="AN172">
        <v>0.1</v>
      </c>
      <c r="AO172">
        <v>-6.18</v>
      </c>
      <c r="AP172">
        <v>15.06</v>
      </c>
      <c r="AQ172">
        <v>0.79</v>
      </c>
      <c r="AR172">
        <v>1.9</v>
      </c>
      <c r="AS172" t="s">
        <v>68</v>
      </c>
      <c r="AT172">
        <v>1.2</v>
      </c>
      <c r="AU172">
        <v>9.8000000000000007</v>
      </c>
      <c r="AV172">
        <v>1</v>
      </c>
      <c r="AW172">
        <v>57</v>
      </c>
      <c r="AX172">
        <v>1</v>
      </c>
      <c r="AY172">
        <v>5</v>
      </c>
      <c r="AZ172" t="s">
        <v>3756</v>
      </c>
      <c r="BA172">
        <v>97</v>
      </c>
      <c r="BB172" t="s">
        <v>35</v>
      </c>
      <c r="BC172" t="s">
        <v>36</v>
      </c>
      <c r="BD172" s="4">
        <f>HYPERLINK("http://mlb.mlb.com/team/player.jsp?player_id=543543",543543)</f>
        <v>543543</v>
      </c>
      <c r="BE172">
        <v>449</v>
      </c>
      <c r="BF172">
        <v>1449</v>
      </c>
      <c r="BG172">
        <v>407</v>
      </c>
      <c r="BH172">
        <v>338</v>
      </c>
    </row>
    <row r="173" spans="1:60" x14ac:dyDescent="0.3">
      <c r="A173" s="4">
        <f>HYPERLINK("http://legacy.baseballprospectus.com/p/100279",100279)</f>
        <v>100279</v>
      </c>
      <c r="B173" t="s">
        <v>1127</v>
      </c>
      <c r="C173" t="s">
        <v>1128</v>
      </c>
      <c r="D173" s="10">
        <v>34815</v>
      </c>
      <c r="E173" t="s">
        <v>57</v>
      </c>
      <c r="F173" t="s">
        <v>9</v>
      </c>
      <c r="G173" t="s">
        <v>9</v>
      </c>
      <c r="H173">
        <v>76</v>
      </c>
      <c r="I173">
        <v>215</v>
      </c>
      <c r="J173">
        <v>2018</v>
      </c>
      <c r="K173" s="4" t="str">
        <f>HYPERLINK("http://legacy.baseballprospectus.com/fantasy/dc/index.php?tm=TEX","TEX")</f>
        <v>TEX</v>
      </c>
      <c r="L173" t="s">
        <v>95</v>
      </c>
      <c r="M173" t="s">
        <v>34</v>
      </c>
      <c r="N173">
        <v>23</v>
      </c>
      <c r="O173">
        <v>595</v>
      </c>
      <c r="P173">
        <v>149</v>
      </c>
      <c r="Q173">
        <v>538</v>
      </c>
      <c r="R173">
        <v>69</v>
      </c>
      <c r="S173">
        <v>95</v>
      </c>
      <c r="T173">
        <v>25</v>
      </c>
      <c r="U173">
        <v>2</v>
      </c>
      <c r="V173">
        <v>20</v>
      </c>
      <c r="W173">
        <v>142</v>
      </c>
      <c r="X173">
        <v>231</v>
      </c>
      <c r="Y173">
        <v>76</v>
      </c>
      <c r="Z173">
        <v>48</v>
      </c>
      <c r="AA173">
        <v>3</v>
      </c>
      <c r="AB173">
        <v>6</v>
      </c>
      <c r="AC173">
        <v>118</v>
      </c>
      <c r="AD173">
        <v>0</v>
      </c>
      <c r="AE173">
        <v>3</v>
      </c>
      <c r="AF173">
        <v>13</v>
      </c>
      <c r="AG173">
        <v>2</v>
      </c>
      <c r="AH173">
        <v>1</v>
      </c>
      <c r="AI173" s="5">
        <v>0.26400000000000001</v>
      </c>
      <c r="AJ173" s="5">
        <v>0.32900000000000001</v>
      </c>
      <c r="AK173" s="5">
        <v>0.42899999999999999</v>
      </c>
      <c r="AL173" s="5">
        <v>0.25700000000000001</v>
      </c>
      <c r="AM173" s="5">
        <v>0.30299999999999999</v>
      </c>
      <c r="AN173">
        <v>-1.1000000000000001</v>
      </c>
      <c r="AO173">
        <v>-1.76</v>
      </c>
      <c r="AP173">
        <v>15.97</v>
      </c>
      <c r="AQ173">
        <v>-1.74</v>
      </c>
      <c r="AR173">
        <v>1</v>
      </c>
      <c r="AS173" t="s">
        <v>1812</v>
      </c>
      <c r="AT173">
        <v>1.2</v>
      </c>
      <c r="AU173">
        <v>11.3</v>
      </c>
      <c r="AV173">
        <v>10</v>
      </c>
      <c r="AW173">
        <v>64</v>
      </c>
      <c r="AX173">
        <v>1</v>
      </c>
      <c r="AY173">
        <v>11</v>
      </c>
      <c r="AZ173" t="s">
        <v>3713</v>
      </c>
      <c r="BA173">
        <v>95</v>
      </c>
      <c r="BB173" t="s">
        <v>35</v>
      </c>
      <c r="BC173" t="s">
        <v>36</v>
      </c>
      <c r="BD173" s="4">
        <f>HYPERLINK("http://mlb.mlb.com/team/player.jsp?player_id=608577",608577)</f>
        <v>608577</v>
      </c>
      <c r="BE173">
        <v>569</v>
      </c>
      <c r="BF173">
        <v>1569</v>
      </c>
      <c r="BG173">
        <v>616</v>
      </c>
      <c r="BH173">
        <v>554</v>
      </c>
    </row>
    <row r="174" spans="1:60" x14ac:dyDescent="0.3">
      <c r="A174" s="4">
        <f>HYPERLINK("http://legacy.baseballprospectus.com/p/105437",105437)</f>
        <v>105437</v>
      </c>
      <c r="B174" t="s">
        <v>825</v>
      </c>
      <c r="C174" t="s">
        <v>297</v>
      </c>
      <c r="D174" s="10">
        <v>34558</v>
      </c>
      <c r="E174" t="s">
        <v>65</v>
      </c>
      <c r="F174" t="s">
        <v>37</v>
      </c>
      <c r="G174" t="s">
        <v>33</v>
      </c>
      <c r="H174">
        <v>72</v>
      </c>
      <c r="I174">
        <v>205</v>
      </c>
      <c r="J174">
        <v>2018</v>
      </c>
      <c r="K174" s="4" t="str">
        <f>HYPERLINK("http://legacy.baseballprospectus.com/fantasy/dc/index.php?tm=CHN","CHN")</f>
        <v>CHN</v>
      </c>
      <c r="L174" t="s">
        <v>100</v>
      </c>
      <c r="M174" t="s">
        <v>34</v>
      </c>
      <c r="N174">
        <v>23</v>
      </c>
      <c r="O174">
        <v>483</v>
      </c>
      <c r="P174">
        <v>154</v>
      </c>
      <c r="Q174">
        <v>431</v>
      </c>
      <c r="R174">
        <v>65</v>
      </c>
      <c r="S174">
        <v>60</v>
      </c>
      <c r="T174">
        <v>21</v>
      </c>
      <c r="U174">
        <v>2</v>
      </c>
      <c r="V174">
        <v>23</v>
      </c>
      <c r="W174">
        <v>106</v>
      </c>
      <c r="X174">
        <v>200</v>
      </c>
      <c r="Y174">
        <v>70</v>
      </c>
      <c r="Z174">
        <v>45</v>
      </c>
      <c r="AA174">
        <v>4</v>
      </c>
      <c r="AB174">
        <v>4</v>
      </c>
      <c r="AC174">
        <v>138</v>
      </c>
      <c r="AD174">
        <v>1</v>
      </c>
      <c r="AE174">
        <v>3</v>
      </c>
      <c r="AF174">
        <v>11</v>
      </c>
      <c r="AG174">
        <v>8</v>
      </c>
      <c r="AH174">
        <v>3</v>
      </c>
      <c r="AI174" s="5">
        <v>0.246</v>
      </c>
      <c r="AJ174" s="5">
        <v>0.32100000000000001</v>
      </c>
      <c r="AK174" s="5">
        <v>0.46400000000000002</v>
      </c>
      <c r="AL174" s="5">
        <v>0.26300000000000001</v>
      </c>
      <c r="AM174" s="5">
        <v>0.30199999999999999</v>
      </c>
      <c r="AN174">
        <v>0</v>
      </c>
      <c r="AO174">
        <v>0.27</v>
      </c>
      <c r="AP174">
        <v>12.97</v>
      </c>
      <c r="AQ174">
        <v>1.71</v>
      </c>
      <c r="AR174">
        <v>-3</v>
      </c>
      <c r="AS174" t="s">
        <v>3698</v>
      </c>
      <c r="AT174">
        <v>1.2</v>
      </c>
      <c r="AU174">
        <v>14.9</v>
      </c>
      <c r="AV174">
        <v>4</v>
      </c>
      <c r="AW174">
        <v>36</v>
      </c>
      <c r="AX174">
        <v>9</v>
      </c>
      <c r="AY174">
        <v>16</v>
      </c>
      <c r="AZ174" t="s">
        <v>3714</v>
      </c>
      <c r="BA174">
        <v>75</v>
      </c>
      <c r="BB174" t="s">
        <v>35</v>
      </c>
      <c r="BC174" t="s">
        <v>36</v>
      </c>
      <c r="BD174" s="4">
        <f>HYPERLINK("http://mlb.mlb.com/team/player.jsp?player_id=664023",664023)</f>
        <v>664023</v>
      </c>
      <c r="BE174">
        <v>1460</v>
      </c>
      <c r="BF174">
        <v>460</v>
      </c>
      <c r="BG174">
        <v>413</v>
      </c>
      <c r="BH174">
        <v>364</v>
      </c>
    </row>
    <row r="175" spans="1:60" x14ac:dyDescent="0.3">
      <c r="A175" s="4">
        <f>HYPERLINK("http://legacy.baseballprospectus.com/p/48892",48892)</f>
        <v>48892</v>
      </c>
      <c r="B175" t="s">
        <v>637</v>
      </c>
      <c r="C175" t="s">
        <v>638</v>
      </c>
      <c r="D175" s="10">
        <v>30224</v>
      </c>
      <c r="E175" t="s">
        <v>57</v>
      </c>
      <c r="F175" t="s">
        <v>9</v>
      </c>
      <c r="G175" t="s">
        <v>9</v>
      </c>
      <c r="H175">
        <v>75</v>
      </c>
      <c r="I175">
        <v>210</v>
      </c>
      <c r="J175">
        <v>2018</v>
      </c>
      <c r="K175" s="4" t="str">
        <f>HYPERLINK("http://legacy.baseballprospectus.com/fantasy/dc/index.php?tm=BAL","BAL")</f>
        <v>BAL</v>
      </c>
      <c r="L175" t="s">
        <v>95</v>
      </c>
      <c r="M175" t="s">
        <v>34</v>
      </c>
      <c r="N175">
        <v>35</v>
      </c>
      <c r="O175">
        <v>363</v>
      </c>
      <c r="P175" t="s">
        <v>1680</v>
      </c>
      <c r="Q175">
        <v>316</v>
      </c>
      <c r="R175">
        <v>47</v>
      </c>
      <c r="S175">
        <v>49</v>
      </c>
      <c r="T175">
        <v>19</v>
      </c>
      <c r="U175">
        <v>1</v>
      </c>
      <c r="V175">
        <v>11</v>
      </c>
      <c r="W175">
        <v>80</v>
      </c>
      <c r="X175">
        <v>134</v>
      </c>
      <c r="Y175">
        <v>41</v>
      </c>
      <c r="Z175">
        <v>40</v>
      </c>
      <c r="AA175">
        <v>2</v>
      </c>
      <c r="AB175">
        <v>4</v>
      </c>
      <c r="AC175">
        <v>76</v>
      </c>
      <c r="AD175">
        <v>0</v>
      </c>
      <c r="AE175">
        <v>2</v>
      </c>
      <c r="AF175">
        <v>10</v>
      </c>
      <c r="AG175">
        <v>1</v>
      </c>
      <c r="AH175">
        <v>0</v>
      </c>
      <c r="AI175" s="5">
        <v>0.253</v>
      </c>
      <c r="AJ175" s="5">
        <v>0.34300000000000003</v>
      </c>
      <c r="AK175" s="5">
        <v>0.42599999999999999</v>
      </c>
      <c r="AL175" s="5">
        <v>0.25900000000000001</v>
      </c>
      <c r="AM175" s="5">
        <v>0.29699999999999999</v>
      </c>
      <c r="AN175">
        <v>0</v>
      </c>
      <c r="AO175">
        <v>0.01</v>
      </c>
      <c r="AP175">
        <v>10.16</v>
      </c>
      <c r="AQ175">
        <v>-0.52</v>
      </c>
      <c r="AR175">
        <v>0</v>
      </c>
      <c r="AS175" t="s">
        <v>4152</v>
      </c>
      <c r="AT175">
        <v>1.1000000000000001</v>
      </c>
      <c r="AU175">
        <v>9.6</v>
      </c>
      <c r="AV175">
        <v>1</v>
      </c>
      <c r="AW175">
        <v>24</v>
      </c>
      <c r="AX175">
        <v>7</v>
      </c>
      <c r="AY175">
        <v>27</v>
      </c>
      <c r="AZ175" t="s">
        <v>3766</v>
      </c>
      <c r="BA175">
        <v>71</v>
      </c>
      <c r="BB175" t="s">
        <v>36</v>
      </c>
      <c r="BC175" t="s">
        <v>36</v>
      </c>
      <c r="BD175" s="4">
        <f>HYPERLINK("http://mlb.mlb.com/team/player.jsp?player_id=452234",452234)</f>
        <v>452234</v>
      </c>
      <c r="BE175">
        <v>0</v>
      </c>
      <c r="BF175">
        <v>0</v>
      </c>
      <c r="BG175">
        <v>373</v>
      </c>
      <c r="BH175">
        <v>330</v>
      </c>
    </row>
    <row r="176" spans="1:60" x14ac:dyDescent="0.3">
      <c r="A176" s="4">
        <f>HYPERLINK("http://legacy.baseballprospectus.com/p/106969",106969)</f>
        <v>106969</v>
      </c>
      <c r="B176" t="s">
        <v>3750</v>
      </c>
      <c r="C176" t="s">
        <v>1618</v>
      </c>
      <c r="D176" s="10">
        <v>34624</v>
      </c>
      <c r="E176" t="s">
        <v>65</v>
      </c>
      <c r="F176" t="s">
        <v>33</v>
      </c>
      <c r="G176" t="s">
        <v>33</v>
      </c>
      <c r="H176">
        <v>70</v>
      </c>
      <c r="I176">
        <v>180</v>
      </c>
      <c r="J176">
        <v>2018</v>
      </c>
      <c r="K176" s="4" t="str">
        <f>HYPERLINK("http://legacy.baseballprospectus.com/fantasy/dc/index.php?tm=HOU","HOU")</f>
        <v>HOU</v>
      </c>
      <c r="L176" t="s">
        <v>95</v>
      </c>
      <c r="M176" t="s">
        <v>34</v>
      </c>
      <c r="N176">
        <v>23</v>
      </c>
      <c r="O176">
        <v>250</v>
      </c>
      <c r="P176" t="s">
        <v>1680</v>
      </c>
      <c r="Q176">
        <v>216</v>
      </c>
      <c r="R176">
        <v>32</v>
      </c>
      <c r="S176">
        <v>40</v>
      </c>
      <c r="T176">
        <v>9</v>
      </c>
      <c r="U176">
        <v>2</v>
      </c>
      <c r="V176">
        <v>4</v>
      </c>
      <c r="W176">
        <v>55</v>
      </c>
      <c r="X176">
        <v>80</v>
      </c>
      <c r="Y176">
        <v>21</v>
      </c>
      <c r="Z176">
        <v>28</v>
      </c>
      <c r="AA176">
        <v>1</v>
      </c>
      <c r="AB176">
        <v>1</v>
      </c>
      <c r="AC176">
        <v>57</v>
      </c>
      <c r="AD176">
        <v>3</v>
      </c>
      <c r="AE176">
        <v>1</v>
      </c>
      <c r="AF176">
        <v>6</v>
      </c>
      <c r="AG176">
        <v>8</v>
      </c>
      <c r="AH176">
        <v>3</v>
      </c>
      <c r="AI176" s="5">
        <v>0.25600000000000001</v>
      </c>
      <c r="AJ176" s="5">
        <v>0.34200000000000003</v>
      </c>
      <c r="AK176" s="5">
        <v>0.372</v>
      </c>
      <c r="AL176" s="5">
        <v>0.248</v>
      </c>
      <c r="AM176" s="5">
        <v>0.32100000000000001</v>
      </c>
      <c r="AN176">
        <v>0.4</v>
      </c>
      <c r="AO176">
        <v>2.25</v>
      </c>
      <c r="AP176">
        <v>7</v>
      </c>
      <c r="AQ176">
        <v>-3.07</v>
      </c>
      <c r="AR176">
        <v>3.5</v>
      </c>
      <c r="AS176" t="s">
        <v>1372</v>
      </c>
      <c r="AT176">
        <v>1.1000000000000001</v>
      </c>
      <c r="AU176">
        <v>6.6</v>
      </c>
      <c r="AV176">
        <v>2</v>
      </c>
      <c r="AW176">
        <v>20</v>
      </c>
      <c r="AX176">
        <v>6</v>
      </c>
      <c r="AY176">
        <v>14</v>
      </c>
      <c r="AZ176" t="s">
        <v>3751</v>
      </c>
      <c r="BA176">
        <v>35</v>
      </c>
      <c r="BB176" t="s">
        <v>36</v>
      </c>
      <c r="BC176" t="s">
        <v>35</v>
      </c>
      <c r="BD176" s="4">
        <f>HYPERLINK("http://mlb.mlb.com/team/player.jsp?player_id=664702",664702)</f>
        <v>664702</v>
      </c>
      <c r="BE176">
        <v>0</v>
      </c>
      <c r="BF176">
        <v>0</v>
      </c>
      <c r="BG176">
        <v>0</v>
      </c>
      <c r="BH176">
        <v>0</v>
      </c>
    </row>
    <row r="177" spans="1:60" x14ac:dyDescent="0.3">
      <c r="A177" s="4">
        <f>HYPERLINK("http://legacy.baseballprospectus.com/p/58842",58842)</f>
        <v>58842</v>
      </c>
      <c r="B177" t="s">
        <v>452</v>
      </c>
      <c r="C177" t="s">
        <v>372</v>
      </c>
      <c r="D177" s="10">
        <v>31581</v>
      </c>
      <c r="E177" t="s">
        <v>54</v>
      </c>
      <c r="F177" t="s">
        <v>33</v>
      </c>
      <c r="G177" t="s">
        <v>33</v>
      </c>
      <c r="H177">
        <v>75</v>
      </c>
      <c r="I177">
        <v>180</v>
      </c>
      <c r="J177">
        <v>2018</v>
      </c>
      <c r="K177" s="4" t="str">
        <f>HYPERLINK("http://legacy.baseballprospectus.com/fantasy/dc/index.php?tm=BAL","BAL")</f>
        <v>BAL</v>
      </c>
      <c r="L177" t="s">
        <v>95</v>
      </c>
      <c r="M177" t="s">
        <v>34</v>
      </c>
      <c r="N177">
        <v>32</v>
      </c>
      <c r="O177">
        <v>295</v>
      </c>
      <c r="P177">
        <v>90</v>
      </c>
      <c r="Q177">
        <v>272</v>
      </c>
      <c r="R177">
        <v>29</v>
      </c>
      <c r="S177">
        <v>42</v>
      </c>
      <c r="T177">
        <v>12</v>
      </c>
      <c r="U177">
        <v>1</v>
      </c>
      <c r="V177">
        <v>8</v>
      </c>
      <c r="W177">
        <v>63</v>
      </c>
      <c r="X177">
        <v>101</v>
      </c>
      <c r="Y177">
        <v>31</v>
      </c>
      <c r="Z177">
        <v>17</v>
      </c>
      <c r="AA177">
        <v>1</v>
      </c>
      <c r="AB177">
        <v>2</v>
      </c>
      <c r="AC177">
        <v>71</v>
      </c>
      <c r="AD177">
        <v>3</v>
      </c>
      <c r="AE177">
        <v>1</v>
      </c>
      <c r="AF177">
        <v>9</v>
      </c>
      <c r="AG177">
        <v>0</v>
      </c>
      <c r="AH177">
        <v>0</v>
      </c>
      <c r="AI177" s="5">
        <v>0.23200000000000001</v>
      </c>
      <c r="AJ177" s="5">
        <v>0.28100000000000003</v>
      </c>
      <c r="AK177" s="5">
        <v>0.371</v>
      </c>
      <c r="AL177" s="5">
        <v>0.222</v>
      </c>
      <c r="AM177" s="5">
        <v>0.27700000000000002</v>
      </c>
      <c r="AN177">
        <v>-0.6</v>
      </c>
      <c r="AO177">
        <v>2.25</v>
      </c>
      <c r="AP177">
        <v>7.92</v>
      </c>
      <c r="AQ177">
        <v>-11.66</v>
      </c>
      <c r="AR177">
        <v>12.9</v>
      </c>
      <c r="AS177" t="s">
        <v>2170</v>
      </c>
      <c r="AT177">
        <v>1.1000000000000001</v>
      </c>
      <c r="AU177">
        <v>-2.1</v>
      </c>
      <c r="AV177">
        <v>3</v>
      </c>
      <c r="AW177">
        <v>31</v>
      </c>
      <c r="AX177">
        <v>13</v>
      </c>
      <c r="AY177">
        <v>22</v>
      </c>
      <c r="AZ177" t="s">
        <v>3731</v>
      </c>
      <c r="BA177">
        <v>89</v>
      </c>
      <c r="BB177" t="s">
        <v>35</v>
      </c>
      <c r="BC177" t="s">
        <v>36</v>
      </c>
      <c r="BD177" s="4">
        <f>HYPERLINK("http://mlb.mlb.com/team/player.jsp?player_id=543376",543376)</f>
        <v>543376</v>
      </c>
      <c r="BE177">
        <v>366</v>
      </c>
      <c r="BF177">
        <v>1366</v>
      </c>
      <c r="BG177">
        <v>266</v>
      </c>
      <c r="BH177">
        <v>254</v>
      </c>
    </row>
    <row r="178" spans="1:60" x14ac:dyDescent="0.3">
      <c r="A178" s="4">
        <f>HYPERLINK("http://legacy.baseballprospectus.com/p/67866",67866)</f>
        <v>67866</v>
      </c>
      <c r="B178" t="s">
        <v>1260</v>
      </c>
      <c r="C178" t="s">
        <v>262</v>
      </c>
      <c r="D178" s="10">
        <v>33152</v>
      </c>
      <c r="E178" t="s">
        <v>57</v>
      </c>
      <c r="F178" t="s">
        <v>9</v>
      </c>
      <c r="G178" t="s">
        <v>33</v>
      </c>
      <c r="H178">
        <v>72</v>
      </c>
      <c r="I178">
        <v>228</v>
      </c>
      <c r="J178">
        <v>2018</v>
      </c>
      <c r="K178" s="4" t="str">
        <f>HYPERLINK("http://legacy.baseballprospectus.com/fantasy/dc/index.php?tm=CIN","CIN")</f>
        <v>CIN</v>
      </c>
      <c r="L178" t="s">
        <v>100</v>
      </c>
      <c r="M178" t="s">
        <v>34</v>
      </c>
      <c r="N178">
        <v>27</v>
      </c>
      <c r="O178">
        <v>459</v>
      </c>
      <c r="P178">
        <v>152</v>
      </c>
      <c r="Q178">
        <v>413</v>
      </c>
      <c r="R178">
        <v>59</v>
      </c>
      <c r="S178">
        <v>58</v>
      </c>
      <c r="T178">
        <v>18</v>
      </c>
      <c r="U178">
        <v>4</v>
      </c>
      <c r="V178">
        <v>21</v>
      </c>
      <c r="W178">
        <v>101</v>
      </c>
      <c r="X178">
        <v>190</v>
      </c>
      <c r="Y178">
        <v>66</v>
      </c>
      <c r="Z178">
        <v>34</v>
      </c>
      <c r="AA178">
        <v>5</v>
      </c>
      <c r="AB178">
        <v>11</v>
      </c>
      <c r="AC178">
        <v>104</v>
      </c>
      <c r="AD178">
        <v>0</v>
      </c>
      <c r="AE178">
        <v>2</v>
      </c>
      <c r="AF178">
        <v>9</v>
      </c>
      <c r="AG178">
        <v>5</v>
      </c>
      <c r="AH178">
        <v>3</v>
      </c>
      <c r="AI178" s="5">
        <v>0.245</v>
      </c>
      <c r="AJ178" s="5">
        <v>0.317</v>
      </c>
      <c r="AK178" s="5">
        <v>0.46</v>
      </c>
      <c r="AL178" s="5">
        <v>0.26400000000000001</v>
      </c>
      <c r="AM178" s="5">
        <v>0.27900000000000003</v>
      </c>
      <c r="AN178">
        <v>0</v>
      </c>
      <c r="AO178">
        <v>-1.92</v>
      </c>
      <c r="AP178">
        <v>12.32</v>
      </c>
      <c r="AQ178">
        <v>2.17</v>
      </c>
      <c r="AR178">
        <v>-2</v>
      </c>
      <c r="AS178" t="s">
        <v>4846</v>
      </c>
      <c r="AT178">
        <v>1.1000000000000001</v>
      </c>
      <c r="AU178">
        <v>12.6</v>
      </c>
      <c r="AV178">
        <v>5</v>
      </c>
      <c r="AW178">
        <v>44</v>
      </c>
      <c r="AX178">
        <v>8</v>
      </c>
      <c r="AY178">
        <v>17</v>
      </c>
      <c r="AZ178" t="s">
        <v>3841</v>
      </c>
      <c r="BA178">
        <v>89</v>
      </c>
      <c r="BB178" t="s">
        <v>35</v>
      </c>
      <c r="BC178" t="s">
        <v>36</v>
      </c>
      <c r="BD178" s="4">
        <f>HYPERLINK("http://mlb.mlb.com/team/player.jsp?player_id=594988",594988)</f>
        <v>594988</v>
      </c>
      <c r="BE178">
        <v>1587</v>
      </c>
      <c r="BF178">
        <v>587</v>
      </c>
      <c r="BG178">
        <v>531</v>
      </c>
      <c r="BH178">
        <v>473</v>
      </c>
    </row>
    <row r="179" spans="1:60" x14ac:dyDescent="0.3">
      <c r="A179" s="4">
        <f>HYPERLINK("http://legacy.baseballprospectus.com/p/54187",54187)</f>
        <v>54187</v>
      </c>
      <c r="B179" t="s">
        <v>493</v>
      </c>
      <c r="C179" t="s">
        <v>499</v>
      </c>
      <c r="D179" s="10">
        <v>32208</v>
      </c>
      <c r="E179" t="s">
        <v>65</v>
      </c>
      <c r="F179" t="s">
        <v>9</v>
      </c>
      <c r="G179" t="s">
        <v>33</v>
      </c>
      <c r="H179">
        <v>74</v>
      </c>
      <c r="I179">
        <v>200</v>
      </c>
      <c r="J179">
        <v>2018</v>
      </c>
      <c r="K179" s="4" t="str">
        <f>HYPERLINK("http://legacy.baseballprospectus.com/fantasy/dc/index.php?tm=DET","DET")</f>
        <v>DET</v>
      </c>
      <c r="L179" t="s">
        <v>95</v>
      </c>
      <c r="M179" t="s">
        <v>34</v>
      </c>
      <c r="N179">
        <v>30</v>
      </c>
      <c r="O179">
        <v>583</v>
      </c>
      <c r="P179">
        <v>154</v>
      </c>
      <c r="Q179">
        <v>533</v>
      </c>
      <c r="R179">
        <v>79</v>
      </c>
      <c r="S179">
        <v>97</v>
      </c>
      <c r="T179">
        <v>22</v>
      </c>
      <c r="U179">
        <v>5</v>
      </c>
      <c r="V179">
        <v>12</v>
      </c>
      <c r="W179">
        <v>136</v>
      </c>
      <c r="X179">
        <v>204</v>
      </c>
      <c r="Y179">
        <v>51</v>
      </c>
      <c r="Z179">
        <v>36</v>
      </c>
      <c r="AA179">
        <v>2</v>
      </c>
      <c r="AB179">
        <v>5</v>
      </c>
      <c r="AC179">
        <v>129</v>
      </c>
      <c r="AD179">
        <v>5</v>
      </c>
      <c r="AE179">
        <v>3</v>
      </c>
      <c r="AF179">
        <v>10</v>
      </c>
      <c r="AG179">
        <v>28</v>
      </c>
      <c r="AH179">
        <v>9</v>
      </c>
      <c r="AI179" s="5">
        <v>0.255</v>
      </c>
      <c r="AJ179" s="5">
        <v>0.307</v>
      </c>
      <c r="AK179" s="5">
        <v>0.38300000000000001</v>
      </c>
      <c r="AL179" s="5">
        <v>0.23300000000000001</v>
      </c>
      <c r="AM179" s="5">
        <v>0.308</v>
      </c>
      <c r="AN179">
        <v>3</v>
      </c>
      <c r="AO179">
        <v>0.85</v>
      </c>
      <c r="AP179">
        <v>15.65</v>
      </c>
      <c r="AQ179">
        <v>-16.82</v>
      </c>
      <c r="AR179">
        <v>8.6999999999999993</v>
      </c>
      <c r="AS179" t="s">
        <v>4977</v>
      </c>
      <c r="AT179">
        <v>1.1000000000000001</v>
      </c>
      <c r="AU179">
        <v>2.7</v>
      </c>
      <c r="AV179">
        <v>4</v>
      </c>
      <c r="AW179">
        <v>50</v>
      </c>
      <c r="AX179">
        <v>8</v>
      </c>
      <c r="AY179">
        <v>13</v>
      </c>
      <c r="AZ179" t="s">
        <v>3949</v>
      </c>
      <c r="BA179">
        <v>92</v>
      </c>
      <c r="BB179" t="s">
        <v>35</v>
      </c>
      <c r="BC179" t="s">
        <v>36</v>
      </c>
      <c r="BD179" s="4">
        <f>HYPERLINK("http://mlb.mlb.com/team/player.jsp?player_id=547982",547982)</f>
        <v>547982</v>
      </c>
      <c r="BE179">
        <v>614</v>
      </c>
      <c r="BF179">
        <v>1614</v>
      </c>
      <c r="BG179">
        <v>138</v>
      </c>
      <c r="BH179">
        <v>128</v>
      </c>
    </row>
    <row r="180" spans="1:60" x14ac:dyDescent="0.3">
      <c r="A180" s="4">
        <f>HYPERLINK("http://legacy.baseballprospectus.com/p/57478",57478)</f>
        <v>57478</v>
      </c>
      <c r="B180" t="s">
        <v>531</v>
      </c>
      <c r="C180" t="s">
        <v>142</v>
      </c>
      <c r="D180" s="10">
        <v>32397</v>
      </c>
      <c r="E180" t="s">
        <v>51</v>
      </c>
      <c r="F180" t="s">
        <v>9</v>
      </c>
      <c r="G180" t="s">
        <v>33</v>
      </c>
      <c r="H180">
        <v>72</v>
      </c>
      <c r="I180">
        <v>215</v>
      </c>
      <c r="J180">
        <v>2018</v>
      </c>
      <c r="K180" s="4" t="str">
        <f>HYPERLINK("http://legacy.baseballprospectus.com/fantasy/dc/index.php?tm=KCA","KCA")</f>
        <v>KCA</v>
      </c>
      <c r="L180" t="s">
        <v>95</v>
      </c>
      <c r="M180" t="s">
        <v>34</v>
      </c>
      <c r="N180">
        <v>29</v>
      </c>
      <c r="O180">
        <v>577</v>
      </c>
      <c r="P180">
        <v>148</v>
      </c>
      <c r="Q180">
        <v>528</v>
      </c>
      <c r="R180">
        <v>75</v>
      </c>
      <c r="S180">
        <v>84</v>
      </c>
      <c r="T180">
        <v>27</v>
      </c>
      <c r="U180">
        <v>1</v>
      </c>
      <c r="V180">
        <v>23</v>
      </c>
      <c r="W180">
        <v>135</v>
      </c>
      <c r="X180">
        <v>233</v>
      </c>
      <c r="Y180">
        <v>71</v>
      </c>
      <c r="Z180">
        <v>39</v>
      </c>
      <c r="AA180">
        <v>3</v>
      </c>
      <c r="AB180">
        <v>6</v>
      </c>
      <c r="AC180">
        <v>86</v>
      </c>
      <c r="AD180">
        <v>1</v>
      </c>
      <c r="AE180">
        <v>3</v>
      </c>
      <c r="AF180">
        <v>15</v>
      </c>
      <c r="AG180">
        <v>1</v>
      </c>
      <c r="AH180">
        <v>1</v>
      </c>
      <c r="AI180" s="5">
        <v>0.25600000000000001</v>
      </c>
      <c r="AJ180" s="5">
        <v>0.312</v>
      </c>
      <c r="AK180" s="5">
        <v>0.441</v>
      </c>
      <c r="AL180" s="5">
        <v>0.25900000000000001</v>
      </c>
      <c r="AM180" s="5">
        <v>0.26400000000000001</v>
      </c>
      <c r="AN180">
        <v>-1.5</v>
      </c>
      <c r="AO180">
        <v>0.5</v>
      </c>
      <c r="AP180">
        <v>15.49</v>
      </c>
      <c r="AQ180">
        <v>-0.87</v>
      </c>
      <c r="AR180">
        <v>-3</v>
      </c>
      <c r="AS180" t="s">
        <v>1010</v>
      </c>
      <c r="AT180">
        <v>1.1000000000000001</v>
      </c>
      <c r="AU180">
        <v>13.7</v>
      </c>
      <c r="AV180">
        <v>1</v>
      </c>
      <c r="AW180">
        <v>41</v>
      </c>
      <c r="AX180">
        <v>8</v>
      </c>
      <c r="AY180">
        <v>13</v>
      </c>
      <c r="AZ180" t="s">
        <v>3717</v>
      </c>
      <c r="BA180">
        <v>96</v>
      </c>
      <c r="BB180" t="s">
        <v>35</v>
      </c>
      <c r="BC180" t="s">
        <v>36</v>
      </c>
      <c r="BD180" s="4">
        <f>HYPERLINK("http://mlb.mlb.com/team/player.jsp?player_id=519058",519058)</f>
        <v>519058</v>
      </c>
      <c r="BE180">
        <v>696</v>
      </c>
      <c r="BF180">
        <v>1696</v>
      </c>
      <c r="BG180">
        <v>598</v>
      </c>
      <c r="BH180">
        <v>555</v>
      </c>
    </row>
    <row r="181" spans="1:60" x14ac:dyDescent="0.3">
      <c r="A181" s="4">
        <f>HYPERLINK("http://legacy.baseballprospectus.com/p/58915",58915)</f>
        <v>58915</v>
      </c>
      <c r="B181" t="s">
        <v>340</v>
      </c>
      <c r="C181" t="s">
        <v>341</v>
      </c>
      <c r="D181" s="10">
        <v>31791</v>
      </c>
      <c r="E181" t="s">
        <v>58</v>
      </c>
      <c r="F181" t="s">
        <v>33</v>
      </c>
      <c r="G181" t="s">
        <v>33</v>
      </c>
      <c r="H181">
        <v>73</v>
      </c>
      <c r="I181">
        <v>205</v>
      </c>
      <c r="J181">
        <v>2018</v>
      </c>
      <c r="K181" s="4" t="str">
        <f>HYPERLINK("http://legacy.baseballprospectus.com/fantasy/dc/index.php?tm=LAN","LAN")</f>
        <v>LAN</v>
      </c>
      <c r="L181" t="s">
        <v>100</v>
      </c>
      <c r="M181" t="s">
        <v>34</v>
      </c>
      <c r="N181">
        <v>31</v>
      </c>
      <c r="O181">
        <v>427</v>
      </c>
      <c r="P181">
        <v>109</v>
      </c>
      <c r="Q181">
        <v>377</v>
      </c>
      <c r="R181">
        <v>50</v>
      </c>
      <c r="S181">
        <v>61</v>
      </c>
      <c r="T181">
        <v>19</v>
      </c>
      <c r="U181">
        <v>1</v>
      </c>
      <c r="V181">
        <v>11</v>
      </c>
      <c r="W181">
        <v>92</v>
      </c>
      <c r="X181">
        <v>146</v>
      </c>
      <c r="Y181">
        <v>46</v>
      </c>
      <c r="Z181">
        <v>41</v>
      </c>
      <c r="AA181">
        <v>1</v>
      </c>
      <c r="AB181">
        <v>6</v>
      </c>
      <c r="AC181">
        <v>93</v>
      </c>
      <c r="AD181">
        <v>0</v>
      </c>
      <c r="AE181">
        <v>3</v>
      </c>
      <c r="AF181">
        <v>12</v>
      </c>
      <c r="AG181">
        <v>4</v>
      </c>
      <c r="AH181">
        <v>3</v>
      </c>
      <c r="AI181" s="5">
        <v>0.24399999999999999</v>
      </c>
      <c r="AJ181" s="5">
        <v>0.32600000000000001</v>
      </c>
      <c r="AK181" s="5">
        <v>0.38700000000000001</v>
      </c>
      <c r="AL181" s="5">
        <v>0.25800000000000001</v>
      </c>
      <c r="AM181" s="5">
        <v>0.29399999999999998</v>
      </c>
      <c r="AN181">
        <v>-0.7</v>
      </c>
      <c r="AO181">
        <v>1.62</v>
      </c>
      <c r="AP181">
        <v>11.46</v>
      </c>
      <c r="AQ181">
        <v>-1.1200000000000001</v>
      </c>
      <c r="AR181">
        <v>0</v>
      </c>
      <c r="AS181" t="s">
        <v>3692</v>
      </c>
      <c r="AT181">
        <v>1.1000000000000001</v>
      </c>
      <c r="AU181">
        <v>11.2</v>
      </c>
      <c r="AV181">
        <v>2</v>
      </c>
      <c r="AW181">
        <v>44</v>
      </c>
      <c r="AX181">
        <v>5</v>
      </c>
      <c r="AY181">
        <v>8</v>
      </c>
      <c r="AZ181" t="s">
        <v>3760</v>
      </c>
      <c r="BA181">
        <v>95</v>
      </c>
      <c r="BB181" t="s">
        <v>35</v>
      </c>
      <c r="BC181" t="s">
        <v>36</v>
      </c>
      <c r="BD181" s="4">
        <f>HYPERLINK("http://mlb.mlb.com/team/player.jsp?player_id=523253",523253)</f>
        <v>523253</v>
      </c>
      <c r="BE181">
        <v>1457</v>
      </c>
      <c r="BF181">
        <v>457</v>
      </c>
      <c r="BG181">
        <v>439</v>
      </c>
      <c r="BH181">
        <v>361</v>
      </c>
    </row>
    <row r="182" spans="1:60" x14ac:dyDescent="0.3">
      <c r="A182" s="4">
        <f>HYPERLINK("http://legacy.baseballprospectus.com/p/51804",51804)</f>
        <v>51804</v>
      </c>
      <c r="B182" t="s">
        <v>528</v>
      </c>
      <c r="C182" t="s">
        <v>341</v>
      </c>
      <c r="D182" s="10">
        <v>32014</v>
      </c>
      <c r="E182" t="s">
        <v>50</v>
      </c>
      <c r="F182" t="s">
        <v>9</v>
      </c>
      <c r="G182" t="s">
        <v>9</v>
      </c>
      <c r="H182">
        <v>75</v>
      </c>
      <c r="I182">
        <v>245</v>
      </c>
      <c r="J182">
        <v>2018</v>
      </c>
      <c r="K182" s="4" t="str">
        <f>HYPERLINK("http://legacy.baseballprospectus.com/fantasy/dc/index.php?tm=MIN","MIN")</f>
        <v>MIN</v>
      </c>
      <c r="L182" t="s">
        <v>95</v>
      </c>
      <c r="M182" t="s">
        <v>34</v>
      </c>
      <c r="N182">
        <v>30</v>
      </c>
      <c r="O182">
        <v>527</v>
      </c>
      <c r="P182">
        <v>136</v>
      </c>
      <c r="Q182">
        <v>464</v>
      </c>
      <c r="R182">
        <v>68</v>
      </c>
      <c r="S182">
        <v>72</v>
      </c>
      <c r="T182">
        <v>22</v>
      </c>
      <c r="U182">
        <v>2</v>
      </c>
      <c r="V182">
        <v>22</v>
      </c>
      <c r="W182">
        <v>118</v>
      </c>
      <c r="X182">
        <v>210</v>
      </c>
      <c r="Y182">
        <v>73</v>
      </c>
      <c r="Z182">
        <v>56</v>
      </c>
      <c r="AA182">
        <v>5</v>
      </c>
      <c r="AB182">
        <v>5</v>
      </c>
      <c r="AC182">
        <v>96</v>
      </c>
      <c r="AD182">
        <v>0</v>
      </c>
      <c r="AE182">
        <v>2</v>
      </c>
      <c r="AF182">
        <v>12</v>
      </c>
      <c r="AG182">
        <v>5</v>
      </c>
      <c r="AH182">
        <v>2</v>
      </c>
      <c r="AI182" s="5">
        <v>0.254</v>
      </c>
      <c r="AJ182" s="5">
        <v>0.34</v>
      </c>
      <c r="AK182" s="5">
        <v>0.45300000000000001</v>
      </c>
      <c r="AL182" s="5">
        <v>0.26500000000000001</v>
      </c>
      <c r="AM182" s="5">
        <v>0.27500000000000002</v>
      </c>
      <c r="AN182">
        <v>-0.4</v>
      </c>
      <c r="AO182">
        <v>-5.31</v>
      </c>
      <c r="AP182">
        <v>14.15</v>
      </c>
      <c r="AQ182">
        <v>2.96</v>
      </c>
      <c r="AR182">
        <v>-0.3</v>
      </c>
      <c r="AS182" t="s">
        <v>1004</v>
      </c>
      <c r="AT182">
        <v>1.1000000000000001</v>
      </c>
      <c r="AU182">
        <v>11.4</v>
      </c>
      <c r="AV182">
        <v>1</v>
      </c>
      <c r="AW182">
        <v>39</v>
      </c>
      <c r="AX182">
        <v>3</v>
      </c>
      <c r="AY182">
        <v>10</v>
      </c>
      <c r="AZ182" t="s">
        <v>3747</v>
      </c>
      <c r="BA182">
        <v>92</v>
      </c>
      <c r="BB182" t="s">
        <v>35</v>
      </c>
      <c r="BC182" t="s">
        <v>36</v>
      </c>
      <c r="BD182" s="4">
        <f>HYPERLINK("http://mlb.mlb.com/team/player.jsp?player_id=489149",489149)</f>
        <v>489149</v>
      </c>
      <c r="BE182">
        <v>694</v>
      </c>
      <c r="BF182">
        <v>1694</v>
      </c>
      <c r="BG182">
        <v>601</v>
      </c>
      <c r="BH182">
        <v>512</v>
      </c>
    </row>
    <row r="183" spans="1:60" x14ac:dyDescent="0.3">
      <c r="A183" s="4">
        <f>HYPERLINK("http://legacy.baseballprospectus.com/p/57967",57967)</f>
        <v>57967</v>
      </c>
      <c r="B183" t="s">
        <v>423</v>
      </c>
      <c r="C183" t="s">
        <v>277</v>
      </c>
      <c r="D183" s="10">
        <v>32783</v>
      </c>
      <c r="E183" t="s">
        <v>65</v>
      </c>
      <c r="F183" t="s">
        <v>37</v>
      </c>
      <c r="G183" t="s">
        <v>33</v>
      </c>
      <c r="H183">
        <v>73</v>
      </c>
      <c r="I183">
        <v>202</v>
      </c>
      <c r="J183">
        <v>2018</v>
      </c>
      <c r="K183" s="4" t="str">
        <f>HYPERLINK("http://legacy.baseballprospectus.com/fantasy/dc/index.php?tm=NYA","NYA")</f>
        <v>NYA</v>
      </c>
      <c r="L183" t="s">
        <v>95</v>
      </c>
      <c r="M183" t="s">
        <v>34</v>
      </c>
      <c r="N183">
        <v>28</v>
      </c>
      <c r="O183">
        <v>452</v>
      </c>
      <c r="P183">
        <v>125</v>
      </c>
      <c r="Q183">
        <v>397</v>
      </c>
      <c r="R183">
        <v>55</v>
      </c>
      <c r="S183">
        <v>61</v>
      </c>
      <c r="T183">
        <v>18</v>
      </c>
      <c r="U183">
        <v>2</v>
      </c>
      <c r="V183">
        <v>12</v>
      </c>
      <c r="W183">
        <v>93</v>
      </c>
      <c r="X183">
        <v>151</v>
      </c>
      <c r="Y183">
        <v>48</v>
      </c>
      <c r="Z183">
        <v>49</v>
      </c>
      <c r="AA183">
        <v>2</v>
      </c>
      <c r="AB183">
        <v>2</v>
      </c>
      <c r="AC183">
        <v>96</v>
      </c>
      <c r="AD183">
        <v>2</v>
      </c>
      <c r="AE183">
        <v>2</v>
      </c>
      <c r="AF183">
        <v>9</v>
      </c>
      <c r="AG183">
        <v>9</v>
      </c>
      <c r="AH183">
        <v>5</v>
      </c>
      <c r="AI183" s="5">
        <v>0.23400000000000001</v>
      </c>
      <c r="AJ183" s="5">
        <v>0.32</v>
      </c>
      <c r="AK183" s="5">
        <v>0.38</v>
      </c>
      <c r="AL183" s="5">
        <v>0.25</v>
      </c>
      <c r="AM183" s="5">
        <v>0.27900000000000003</v>
      </c>
      <c r="AN183">
        <v>-0.2</v>
      </c>
      <c r="AO183">
        <v>0.66</v>
      </c>
      <c r="AP183">
        <v>12.14</v>
      </c>
      <c r="AQ183">
        <v>-4.87</v>
      </c>
      <c r="AR183">
        <v>3</v>
      </c>
      <c r="AS183" t="s">
        <v>1012</v>
      </c>
      <c r="AT183">
        <v>1.1000000000000001</v>
      </c>
      <c r="AU183">
        <v>7.8</v>
      </c>
      <c r="AV183">
        <v>0</v>
      </c>
      <c r="AW183">
        <v>45</v>
      </c>
      <c r="AX183">
        <v>7</v>
      </c>
      <c r="AY183">
        <v>16</v>
      </c>
      <c r="AZ183" t="s">
        <v>3737</v>
      </c>
      <c r="BA183">
        <v>90</v>
      </c>
      <c r="BB183" t="s">
        <v>35</v>
      </c>
      <c r="BC183" t="s">
        <v>36</v>
      </c>
      <c r="BD183" s="4">
        <f>HYPERLINK("http://mlb.mlb.com/team/player.jsp?player_id=543305",543305)</f>
        <v>543305</v>
      </c>
      <c r="BE183">
        <v>594</v>
      </c>
      <c r="BF183">
        <v>1594</v>
      </c>
      <c r="BG183">
        <v>361</v>
      </c>
      <c r="BH183">
        <v>301</v>
      </c>
    </row>
    <row r="184" spans="1:60" x14ac:dyDescent="0.3">
      <c r="A184" s="4">
        <f>HYPERLINK("http://legacy.baseballprospectus.com/p/47142",47142)</f>
        <v>47142</v>
      </c>
      <c r="B184" t="s">
        <v>205</v>
      </c>
      <c r="C184" t="s">
        <v>137</v>
      </c>
      <c r="D184" s="10">
        <v>31870</v>
      </c>
      <c r="E184" t="s">
        <v>57</v>
      </c>
      <c r="F184" t="s">
        <v>9</v>
      </c>
      <c r="G184" t="s">
        <v>9</v>
      </c>
      <c r="H184">
        <v>75</v>
      </c>
      <c r="I184">
        <v>225</v>
      </c>
      <c r="J184">
        <v>2018</v>
      </c>
      <c r="K184" s="4" t="str">
        <f>HYPERLINK("http://legacy.baseballprospectus.com/fantasy/dc/index.php?tm=NYN","NYN")</f>
        <v>NYN</v>
      </c>
      <c r="L184" t="s">
        <v>100</v>
      </c>
      <c r="M184" t="s">
        <v>34</v>
      </c>
      <c r="N184">
        <v>31</v>
      </c>
      <c r="O184">
        <v>555</v>
      </c>
      <c r="P184">
        <v>135</v>
      </c>
      <c r="Q184">
        <v>503</v>
      </c>
      <c r="R184">
        <v>68</v>
      </c>
      <c r="S184">
        <v>67</v>
      </c>
      <c r="T184">
        <v>25</v>
      </c>
      <c r="U184">
        <v>2</v>
      </c>
      <c r="V184">
        <v>25</v>
      </c>
      <c r="W184">
        <v>119</v>
      </c>
      <c r="X184">
        <v>223</v>
      </c>
      <c r="Y184">
        <v>78</v>
      </c>
      <c r="Z184">
        <v>46</v>
      </c>
      <c r="AA184">
        <v>5</v>
      </c>
      <c r="AB184">
        <v>2</v>
      </c>
      <c r="AC184">
        <v>133</v>
      </c>
      <c r="AD184">
        <v>0</v>
      </c>
      <c r="AE184">
        <v>3</v>
      </c>
      <c r="AF184">
        <v>13</v>
      </c>
      <c r="AG184">
        <v>4</v>
      </c>
      <c r="AH184">
        <v>2</v>
      </c>
      <c r="AI184" s="5">
        <v>0.23699999999999999</v>
      </c>
      <c r="AJ184" s="5">
        <v>0.30099999999999999</v>
      </c>
      <c r="AK184" s="5">
        <v>0.443</v>
      </c>
      <c r="AL184" s="5">
        <v>0.25800000000000001</v>
      </c>
      <c r="AM184" s="5">
        <v>0.27</v>
      </c>
      <c r="AN184">
        <v>-0.7</v>
      </c>
      <c r="AO184">
        <v>-2.5299999999999998</v>
      </c>
      <c r="AP184">
        <v>14.9</v>
      </c>
      <c r="AQ184">
        <v>-1.4</v>
      </c>
      <c r="AR184">
        <v>0.6</v>
      </c>
      <c r="AS184" t="s">
        <v>4889</v>
      </c>
      <c r="AT184">
        <v>1.1000000000000001</v>
      </c>
      <c r="AU184">
        <v>10.3</v>
      </c>
      <c r="AV184">
        <v>3</v>
      </c>
      <c r="AW184">
        <v>42</v>
      </c>
      <c r="AX184">
        <v>9</v>
      </c>
      <c r="AY184">
        <v>10</v>
      </c>
      <c r="AZ184" t="s">
        <v>3953</v>
      </c>
      <c r="BA184">
        <v>92</v>
      </c>
      <c r="BB184" t="s">
        <v>35</v>
      </c>
      <c r="BC184" t="s">
        <v>36</v>
      </c>
      <c r="BD184" s="4">
        <f>HYPERLINK("http://mlb.mlb.com/team/player.jsp?player_id=457803",457803)</f>
        <v>457803</v>
      </c>
      <c r="BE184">
        <v>1581</v>
      </c>
      <c r="BF184">
        <v>581</v>
      </c>
      <c r="BG184">
        <v>617</v>
      </c>
      <c r="BH184">
        <v>555</v>
      </c>
    </row>
    <row r="185" spans="1:60" x14ac:dyDescent="0.3">
      <c r="A185" s="4">
        <f>HYPERLINK("http://legacy.baseballprospectus.com/p/47621",47621)</f>
        <v>47621</v>
      </c>
      <c r="B185" t="s">
        <v>378</v>
      </c>
      <c r="C185" t="s">
        <v>165</v>
      </c>
      <c r="D185" s="10">
        <v>31385</v>
      </c>
      <c r="E185" t="s">
        <v>57</v>
      </c>
      <c r="F185" t="s">
        <v>33</v>
      </c>
      <c r="G185" t="s">
        <v>33</v>
      </c>
      <c r="H185">
        <v>75</v>
      </c>
      <c r="I185">
        <v>220</v>
      </c>
      <c r="J185">
        <v>2018</v>
      </c>
      <c r="K185" s="4" t="str">
        <f>HYPERLINK("http://legacy.baseballprospectus.com/fantasy/dc/index.php?tm=TBA","TBA")</f>
        <v>TBA</v>
      </c>
      <c r="L185" t="s">
        <v>95</v>
      </c>
      <c r="M185" t="s">
        <v>34</v>
      </c>
      <c r="N185">
        <v>32</v>
      </c>
      <c r="O185">
        <v>584</v>
      </c>
      <c r="P185">
        <v>145</v>
      </c>
      <c r="Q185">
        <v>525</v>
      </c>
      <c r="R185">
        <v>82</v>
      </c>
      <c r="S185">
        <v>81</v>
      </c>
      <c r="T185">
        <v>26</v>
      </c>
      <c r="U185">
        <v>3</v>
      </c>
      <c r="V185">
        <v>18</v>
      </c>
      <c r="W185">
        <v>128</v>
      </c>
      <c r="X185">
        <v>214</v>
      </c>
      <c r="Y185">
        <v>60</v>
      </c>
      <c r="Z185">
        <v>40</v>
      </c>
      <c r="AA185">
        <v>2</v>
      </c>
      <c r="AB185">
        <v>13</v>
      </c>
      <c r="AC185">
        <v>159</v>
      </c>
      <c r="AD185">
        <v>3</v>
      </c>
      <c r="AE185">
        <v>3</v>
      </c>
      <c r="AF185">
        <v>13</v>
      </c>
      <c r="AG185">
        <v>21</v>
      </c>
      <c r="AH185">
        <v>8</v>
      </c>
      <c r="AI185" s="5">
        <v>0.24399999999999999</v>
      </c>
      <c r="AJ185" s="5">
        <v>0.312</v>
      </c>
      <c r="AK185" s="5">
        <v>0.40799999999999997</v>
      </c>
      <c r="AL185" s="5">
        <v>0.25700000000000001</v>
      </c>
      <c r="AM185" s="5">
        <v>0.311</v>
      </c>
      <c r="AN185">
        <v>1.3</v>
      </c>
      <c r="AO185">
        <v>-1.71</v>
      </c>
      <c r="AP185">
        <v>15.68</v>
      </c>
      <c r="AQ185">
        <v>-2.04</v>
      </c>
      <c r="AR185">
        <v>-1.9</v>
      </c>
      <c r="AS185" t="s">
        <v>4835</v>
      </c>
      <c r="AT185">
        <v>1.1000000000000001</v>
      </c>
      <c r="AU185">
        <v>13.2</v>
      </c>
      <c r="AV185">
        <v>2</v>
      </c>
      <c r="AW185">
        <v>39</v>
      </c>
      <c r="AX185">
        <v>4</v>
      </c>
      <c r="AY185">
        <v>16</v>
      </c>
      <c r="AZ185" t="s">
        <v>3662</v>
      </c>
      <c r="BA185">
        <v>97</v>
      </c>
      <c r="BB185" t="s">
        <v>35</v>
      </c>
      <c r="BC185" t="s">
        <v>36</v>
      </c>
      <c r="BD185" s="4">
        <f>HYPERLINK("http://mlb.mlb.com/team/player.jsp?player_id=460576",460576)</f>
        <v>460576</v>
      </c>
      <c r="BE185">
        <v>0</v>
      </c>
      <c r="BF185">
        <v>0</v>
      </c>
      <c r="BG185">
        <v>426</v>
      </c>
      <c r="BH185">
        <v>368</v>
      </c>
    </row>
    <row r="186" spans="1:60" x14ac:dyDescent="0.3">
      <c r="A186" s="4">
        <f>HYPERLINK("http://legacy.baseballprospectus.com/p/107168",107168)</f>
        <v>107168</v>
      </c>
      <c r="B186" t="s">
        <v>1808</v>
      </c>
      <c r="C186" t="s">
        <v>1809</v>
      </c>
      <c r="D186" s="10">
        <v>34376</v>
      </c>
      <c r="E186" t="s">
        <v>53</v>
      </c>
      <c r="F186" t="s">
        <v>33</v>
      </c>
      <c r="G186" t="s">
        <v>33</v>
      </c>
      <c r="H186">
        <v>73</v>
      </c>
      <c r="I186">
        <v>190</v>
      </c>
      <c r="J186">
        <v>2018</v>
      </c>
      <c r="K186" s="4" t="str">
        <f>HYPERLINK("http://legacy.baseballprospectus.com/fantasy/dc/index.php?tm=ATL","ATL")</f>
        <v>ATL</v>
      </c>
      <c r="L186" t="s">
        <v>100</v>
      </c>
      <c r="M186" t="s">
        <v>34</v>
      </c>
      <c r="N186">
        <v>24</v>
      </c>
      <c r="O186">
        <v>553</v>
      </c>
      <c r="P186">
        <v>151</v>
      </c>
      <c r="Q186">
        <v>493</v>
      </c>
      <c r="R186">
        <v>61</v>
      </c>
      <c r="S186">
        <v>84</v>
      </c>
      <c r="T186">
        <v>25</v>
      </c>
      <c r="U186">
        <v>3</v>
      </c>
      <c r="V186">
        <v>11</v>
      </c>
      <c r="W186">
        <v>123</v>
      </c>
      <c r="X186">
        <v>187</v>
      </c>
      <c r="Y186">
        <v>56</v>
      </c>
      <c r="Z186">
        <v>52</v>
      </c>
      <c r="AA186">
        <v>8</v>
      </c>
      <c r="AB186">
        <v>4</v>
      </c>
      <c r="AC186">
        <v>120</v>
      </c>
      <c r="AD186">
        <v>1</v>
      </c>
      <c r="AE186">
        <v>3</v>
      </c>
      <c r="AF186">
        <v>10</v>
      </c>
      <c r="AG186">
        <v>5</v>
      </c>
      <c r="AH186">
        <v>2</v>
      </c>
      <c r="AI186" s="5">
        <v>0.249</v>
      </c>
      <c r="AJ186" s="5">
        <v>0.32400000000000001</v>
      </c>
      <c r="AK186" s="5">
        <v>0.379</v>
      </c>
      <c r="AL186" s="5">
        <v>0.25</v>
      </c>
      <c r="AM186" s="5">
        <v>0.30299999999999999</v>
      </c>
      <c r="AN186">
        <v>-0.5</v>
      </c>
      <c r="AO186">
        <v>3.81</v>
      </c>
      <c r="AP186">
        <v>14.85</v>
      </c>
      <c r="AQ186">
        <v>-5.8</v>
      </c>
      <c r="AR186">
        <v>-1</v>
      </c>
      <c r="AS186" t="s">
        <v>73</v>
      </c>
      <c r="AT186">
        <v>1.1000000000000001</v>
      </c>
      <c r="AU186">
        <v>12.4</v>
      </c>
      <c r="AV186">
        <v>4</v>
      </c>
      <c r="AW186">
        <v>53</v>
      </c>
      <c r="AX186">
        <v>5</v>
      </c>
      <c r="AY186">
        <v>17</v>
      </c>
      <c r="AZ186" t="s">
        <v>3743</v>
      </c>
      <c r="BA186">
        <v>94</v>
      </c>
      <c r="BB186" t="s">
        <v>35</v>
      </c>
      <c r="BC186" t="s">
        <v>36</v>
      </c>
      <c r="BD186" s="4">
        <f>HYPERLINK("http://mlb.mlb.com/team/player.jsp?player_id=621020",621020)</f>
        <v>621020</v>
      </c>
      <c r="BE186">
        <v>1524</v>
      </c>
      <c r="BF186">
        <v>524</v>
      </c>
      <c r="BG186">
        <v>551</v>
      </c>
      <c r="BH186">
        <v>488</v>
      </c>
    </row>
    <row r="187" spans="1:60" x14ac:dyDescent="0.3">
      <c r="A187" s="4">
        <f>HYPERLINK("http://legacy.baseballprospectus.com/p/48082",48082)</f>
        <v>48082</v>
      </c>
      <c r="B187" t="s">
        <v>492</v>
      </c>
      <c r="C187" t="s">
        <v>493</v>
      </c>
      <c r="D187" s="10">
        <v>31640</v>
      </c>
      <c r="E187" t="s">
        <v>54</v>
      </c>
      <c r="F187" t="s">
        <v>33</v>
      </c>
      <c r="G187" t="s">
        <v>33</v>
      </c>
      <c r="H187">
        <v>72</v>
      </c>
      <c r="I187">
        <v>230</v>
      </c>
      <c r="J187">
        <v>2018</v>
      </c>
      <c r="K187" s="4" t="str">
        <f>HYPERLINK("http://legacy.baseballprospectus.com/fantasy/dc/index.php?tm=ANA","ANA")</f>
        <v>ANA</v>
      </c>
      <c r="L187" t="s">
        <v>95</v>
      </c>
      <c r="M187" t="s">
        <v>34</v>
      </c>
      <c r="N187">
        <v>31</v>
      </c>
      <c r="O187">
        <v>425</v>
      </c>
      <c r="P187">
        <v>126</v>
      </c>
      <c r="Q187">
        <v>378</v>
      </c>
      <c r="R187">
        <v>43</v>
      </c>
      <c r="S187">
        <v>53</v>
      </c>
      <c r="T187">
        <v>15</v>
      </c>
      <c r="U187">
        <v>1</v>
      </c>
      <c r="V187">
        <v>11</v>
      </c>
      <c r="W187">
        <v>80</v>
      </c>
      <c r="X187">
        <v>130</v>
      </c>
      <c r="Y187">
        <v>43</v>
      </c>
      <c r="Z187">
        <v>31</v>
      </c>
      <c r="AA187">
        <v>4</v>
      </c>
      <c r="AB187">
        <v>9</v>
      </c>
      <c r="AC187">
        <v>107</v>
      </c>
      <c r="AD187">
        <v>5</v>
      </c>
      <c r="AE187">
        <v>2</v>
      </c>
      <c r="AF187">
        <v>12</v>
      </c>
      <c r="AG187">
        <v>1</v>
      </c>
      <c r="AH187">
        <v>1</v>
      </c>
      <c r="AI187" s="5">
        <v>0.21199999999999999</v>
      </c>
      <c r="AJ187" s="5">
        <v>0.28599999999999998</v>
      </c>
      <c r="AK187" s="5">
        <v>0.34399999999999997</v>
      </c>
      <c r="AL187" s="5">
        <v>0.222</v>
      </c>
      <c r="AM187" s="5">
        <v>0.25700000000000001</v>
      </c>
      <c r="AN187">
        <v>-1</v>
      </c>
      <c r="AO187">
        <v>3.24</v>
      </c>
      <c r="AP187">
        <v>11.41</v>
      </c>
      <c r="AQ187">
        <v>-17.05</v>
      </c>
      <c r="AR187">
        <v>13.8</v>
      </c>
      <c r="AS187" t="s">
        <v>2169</v>
      </c>
      <c r="AT187">
        <v>1</v>
      </c>
      <c r="AU187">
        <v>-3.4</v>
      </c>
      <c r="AV187">
        <v>3</v>
      </c>
      <c r="AW187">
        <v>37</v>
      </c>
      <c r="AX187">
        <v>14</v>
      </c>
      <c r="AY187">
        <v>22</v>
      </c>
      <c r="AZ187" t="s">
        <v>3730</v>
      </c>
      <c r="BA187">
        <v>94</v>
      </c>
      <c r="BB187" t="s">
        <v>35</v>
      </c>
      <c r="BC187" t="s">
        <v>36</v>
      </c>
      <c r="BD187" s="4">
        <f>HYPERLINK("http://mlb.mlb.com/team/player.jsp?player_id=455117",455117)</f>
        <v>455117</v>
      </c>
      <c r="BE187">
        <v>352</v>
      </c>
      <c r="BF187">
        <v>1352</v>
      </c>
      <c r="BG187">
        <v>471</v>
      </c>
      <c r="BH187">
        <v>429</v>
      </c>
    </row>
    <row r="188" spans="1:60" x14ac:dyDescent="0.3">
      <c r="A188" s="4">
        <f>HYPERLINK("http://legacy.baseballprospectus.com/p/56806",56806)</f>
        <v>56806</v>
      </c>
      <c r="B188" t="s">
        <v>1244</v>
      </c>
      <c r="C188" t="s">
        <v>808</v>
      </c>
      <c r="D188" s="10">
        <v>32622</v>
      </c>
      <c r="E188" t="s">
        <v>57</v>
      </c>
      <c r="F188" t="s">
        <v>33</v>
      </c>
      <c r="G188" t="s">
        <v>33</v>
      </c>
      <c r="H188">
        <v>76</v>
      </c>
      <c r="I188">
        <v>225</v>
      </c>
      <c r="J188">
        <v>2018</v>
      </c>
      <c r="K188" s="4" t="str">
        <f>HYPERLINK("http://legacy.baseballprospectus.com/fantasy/dc/index.php?tm=ARI","ARI")</f>
        <v>ARI</v>
      </c>
      <c r="L188" t="s">
        <v>100</v>
      </c>
      <c r="M188" t="s">
        <v>34</v>
      </c>
      <c r="N188">
        <v>29</v>
      </c>
      <c r="O188">
        <v>448</v>
      </c>
      <c r="P188">
        <v>117</v>
      </c>
      <c r="Q188">
        <v>394</v>
      </c>
      <c r="R188">
        <v>59</v>
      </c>
      <c r="S188">
        <v>58</v>
      </c>
      <c r="T188">
        <v>19</v>
      </c>
      <c r="U188">
        <v>2</v>
      </c>
      <c r="V188">
        <v>17</v>
      </c>
      <c r="W188">
        <v>96</v>
      </c>
      <c r="X188">
        <v>170</v>
      </c>
      <c r="Y188">
        <v>58</v>
      </c>
      <c r="Z188">
        <v>47</v>
      </c>
      <c r="AA188">
        <v>2</v>
      </c>
      <c r="AB188">
        <v>5</v>
      </c>
      <c r="AC188">
        <v>135</v>
      </c>
      <c r="AD188">
        <v>1</v>
      </c>
      <c r="AE188">
        <v>2</v>
      </c>
      <c r="AF188">
        <v>9</v>
      </c>
      <c r="AG188">
        <v>11</v>
      </c>
      <c r="AH188">
        <v>4</v>
      </c>
      <c r="AI188" s="5">
        <v>0.24399999999999999</v>
      </c>
      <c r="AJ188" s="5">
        <v>0.33</v>
      </c>
      <c r="AK188" s="5">
        <v>0.43099999999999999</v>
      </c>
      <c r="AL188" s="5">
        <v>0.26900000000000002</v>
      </c>
      <c r="AM188" s="5">
        <v>0.32400000000000001</v>
      </c>
      <c r="AN188">
        <v>0.2</v>
      </c>
      <c r="AO188">
        <v>-1.6</v>
      </c>
      <c r="AP188">
        <v>12.03</v>
      </c>
      <c r="AQ188">
        <v>4.3</v>
      </c>
      <c r="AR188">
        <v>-4.8</v>
      </c>
      <c r="AS188" t="s">
        <v>5028</v>
      </c>
      <c r="AT188">
        <v>1</v>
      </c>
      <c r="AU188">
        <v>15</v>
      </c>
      <c r="AV188">
        <v>3</v>
      </c>
      <c r="AW188">
        <v>54</v>
      </c>
      <c r="AX188">
        <v>3</v>
      </c>
      <c r="AY188">
        <v>5</v>
      </c>
      <c r="AZ188" t="s">
        <v>3738</v>
      </c>
      <c r="BA188">
        <v>94</v>
      </c>
      <c r="BB188" t="s">
        <v>35</v>
      </c>
      <c r="BC188" t="s">
        <v>36</v>
      </c>
      <c r="BD188" s="4">
        <f>HYPERLINK("http://mlb.mlb.com/team/player.jsp?player_id=519306",519306)</f>
        <v>519306</v>
      </c>
      <c r="BE188">
        <v>568</v>
      </c>
      <c r="BF188">
        <v>1568</v>
      </c>
      <c r="BG188">
        <v>617</v>
      </c>
      <c r="BH188">
        <v>523</v>
      </c>
    </row>
    <row r="189" spans="1:60" x14ac:dyDescent="0.3">
      <c r="A189" s="4">
        <f>HYPERLINK("http://legacy.baseballprospectus.com/p/58147",58147)</f>
        <v>58147</v>
      </c>
      <c r="B189" t="s">
        <v>250</v>
      </c>
      <c r="C189" t="s">
        <v>251</v>
      </c>
      <c r="D189" s="10">
        <v>32420</v>
      </c>
      <c r="E189" t="s">
        <v>57</v>
      </c>
      <c r="F189" t="s">
        <v>9</v>
      </c>
      <c r="G189" t="s">
        <v>33</v>
      </c>
      <c r="H189">
        <v>74</v>
      </c>
      <c r="I189">
        <v>190</v>
      </c>
      <c r="J189">
        <v>2018</v>
      </c>
      <c r="K189" s="4" t="str">
        <f>HYPERLINK("http://legacy.baseballprospectus.com/fantasy/dc/index.php?tm=CLE","CLE")</f>
        <v>CLE</v>
      </c>
      <c r="L189" t="s">
        <v>95</v>
      </c>
      <c r="M189" t="s">
        <v>34</v>
      </c>
      <c r="N189">
        <v>29</v>
      </c>
      <c r="O189">
        <v>475</v>
      </c>
      <c r="P189">
        <v>129</v>
      </c>
      <c r="Q189">
        <v>433</v>
      </c>
      <c r="R189">
        <v>54</v>
      </c>
      <c r="S189">
        <v>72</v>
      </c>
      <c r="T189">
        <v>26</v>
      </c>
      <c r="U189">
        <v>2</v>
      </c>
      <c r="V189">
        <v>12</v>
      </c>
      <c r="W189">
        <v>112</v>
      </c>
      <c r="X189">
        <v>178</v>
      </c>
      <c r="Y189">
        <v>53</v>
      </c>
      <c r="Z189">
        <v>32</v>
      </c>
      <c r="AA189">
        <v>3</v>
      </c>
      <c r="AB189">
        <v>4</v>
      </c>
      <c r="AC189">
        <v>93</v>
      </c>
      <c r="AD189">
        <v>3</v>
      </c>
      <c r="AE189">
        <v>3</v>
      </c>
      <c r="AF189">
        <v>9</v>
      </c>
      <c r="AG189">
        <v>5</v>
      </c>
      <c r="AH189">
        <v>1</v>
      </c>
      <c r="AI189" s="5">
        <v>0.25900000000000001</v>
      </c>
      <c r="AJ189" s="5">
        <v>0.314</v>
      </c>
      <c r="AK189" s="5">
        <v>0.41099999999999998</v>
      </c>
      <c r="AL189" s="5">
        <v>0.252</v>
      </c>
      <c r="AM189" s="5">
        <v>0.30199999999999999</v>
      </c>
      <c r="AN189">
        <v>-0.2</v>
      </c>
      <c r="AO189">
        <v>-1.69</v>
      </c>
      <c r="AP189">
        <v>12.75</v>
      </c>
      <c r="AQ189">
        <v>-3.82</v>
      </c>
      <c r="AR189">
        <v>2.6</v>
      </c>
      <c r="AS189" t="s">
        <v>1018</v>
      </c>
      <c r="AT189">
        <v>1</v>
      </c>
      <c r="AU189">
        <v>7</v>
      </c>
      <c r="AV189">
        <v>3</v>
      </c>
      <c r="AW189">
        <v>45</v>
      </c>
      <c r="AX189">
        <v>11</v>
      </c>
      <c r="AY189">
        <v>19</v>
      </c>
      <c r="AZ189" t="s">
        <v>3828</v>
      </c>
      <c r="BA189">
        <v>95</v>
      </c>
      <c r="BB189" t="s">
        <v>35</v>
      </c>
      <c r="BC189" t="s">
        <v>36</v>
      </c>
      <c r="BD189" s="4">
        <f>HYPERLINK("http://mlb.mlb.com/team/player.jsp?player_id=502082",502082)</f>
        <v>502082</v>
      </c>
      <c r="BE189">
        <v>602</v>
      </c>
      <c r="BF189">
        <v>1602</v>
      </c>
      <c r="BG189">
        <v>270</v>
      </c>
      <c r="BH189">
        <v>236</v>
      </c>
    </row>
    <row r="190" spans="1:60" x14ac:dyDescent="0.3">
      <c r="A190" s="4">
        <f>HYPERLINK("http://legacy.baseballprospectus.com/p/69338",69338)</f>
        <v>69338</v>
      </c>
      <c r="B190" t="s">
        <v>1105</v>
      </c>
      <c r="C190" t="s">
        <v>1106</v>
      </c>
      <c r="D190" s="10">
        <v>34297</v>
      </c>
      <c r="E190" t="s">
        <v>51</v>
      </c>
      <c r="F190" t="s">
        <v>37</v>
      </c>
      <c r="G190" t="s">
        <v>33</v>
      </c>
      <c r="H190">
        <v>73</v>
      </c>
      <c r="I190">
        <v>210</v>
      </c>
      <c r="J190">
        <v>2018</v>
      </c>
      <c r="K190" s="4" t="str">
        <f>HYPERLINK("http://legacy.baseballprospectus.com/fantasy/dc/index.php?tm=DET","DET")</f>
        <v>DET</v>
      </c>
      <c r="L190" t="s">
        <v>95</v>
      </c>
      <c r="M190" t="s">
        <v>34</v>
      </c>
      <c r="N190">
        <v>24</v>
      </c>
      <c r="O190">
        <v>510</v>
      </c>
      <c r="P190">
        <v>154</v>
      </c>
      <c r="Q190">
        <v>456</v>
      </c>
      <c r="R190">
        <v>57</v>
      </c>
      <c r="S190">
        <v>69</v>
      </c>
      <c r="T190">
        <v>30</v>
      </c>
      <c r="U190">
        <v>3</v>
      </c>
      <c r="V190">
        <v>16</v>
      </c>
      <c r="W190">
        <v>118</v>
      </c>
      <c r="X190">
        <v>202</v>
      </c>
      <c r="Y190">
        <v>65</v>
      </c>
      <c r="Z190">
        <v>47</v>
      </c>
      <c r="AA190">
        <v>3</v>
      </c>
      <c r="AB190">
        <v>4</v>
      </c>
      <c r="AC190">
        <v>113</v>
      </c>
      <c r="AD190">
        <v>0</v>
      </c>
      <c r="AE190">
        <v>2</v>
      </c>
      <c r="AF190">
        <v>11</v>
      </c>
      <c r="AG190">
        <v>0</v>
      </c>
      <c r="AH190">
        <v>0</v>
      </c>
      <c r="AI190" s="5">
        <v>0.25900000000000001</v>
      </c>
      <c r="AJ190" s="5">
        <v>0.33200000000000002</v>
      </c>
      <c r="AK190" s="5">
        <v>0.443</v>
      </c>
      <c r="AL190" s="5">
        <v>0.26100000000000001</v>
      </c>
      <c r="AM190" s="5">
        <v>0.307</v>
      </c>
      <c r="AN190">
        <v>-0.9</v>
      </c>
      <c r="AO190">
        <v>-0.39</v>
      </c>
      <c r="AP190">
        <v>13.69</v>
      </c>
      <c r="AQ190">
        <v>0.75</v>
      </c>
      <c r="AR190">
        <v>-3.2</v>
      </c>
      <c r="AS190" t="s">
        <v>4849</v>
      </c>
      <c r="AT190">
        <v>1</v>
      </c>
      <c r="AU190">
        <v>13.2</v>
      </c>
      <c r="AV190">
        <v>4</v>
      </c>
      <c r="AW190">
        <v>23</v>
      </c>
      <c r="AX190">
        <v>20</v>
      </c>
      <c r="AY190">
        <v>31</v>
      </c>
      <c r="AZ190" t="s">
        <v>3830</v>
      </c>
      <c r="BA190">
        <v>65</v>
      </c>
      <c r="BB190" t="s">
        <v>35</v>
      </c>
      <c r="BC190" t="s">
        <v>36</v>
      </c>
      <c r="BD190" s="4">
        <f>HYPERLINK("http://mlb.mlb.com/team/player.jsp?player_id=600869",600869)</f>
        <v>600869</v>
      </c>
      <c r="BE190">
        <v>480</v>
      </c>
      <c r="BF190">
        <v>1480</v>
      </c>
      <c r="BG190">
        <v>142</v>
      </c>
      <c r="BH190">
        <v>127</v>
      </c>
    </row>
    <row r="191" spans="1:60" x14ac:dyDescent="0.3">
      <c r="A191" s="4">
        <f>HYPERLINK("http://legacy.baseballprospectus.com/p/51988",51988)</f>
        <v>51988</v>
      </c>
      <c r="B191" t="s">
        <v>506</v>
      </c>
      <c r="C191" t="s">
        <v>224</v>
      </c>
      <c r="D191" s="10">
        <v>31871</v>
      </c>
      <c r="E191" t="s">
        <v>65</v>
      </c>
      <c r="F191" t="s">
        <v>33</v>
      </c>
      <c r="G191" t="s">
        <v>33</v>
      </c>
      <c r="H191">
        <v>75</v>
      </c>
      <c r="I191">
        <v>215</v>
      </c>
      <c r="J191">
        <v>2018</v>
      </c>
      <c r="K191" s="4" t="str">
        <f>HYPERLINK("http://legacy.baseballprospectus.com/fantasy/dc/index.php?tm=MIA","MIA")</f>
        <v>MIA</v>
      </c>
      <c r="L191" t="s">
        <v>100</v>
      </c>
      <c r="M191" t="s">
        <v>34</v>
      </c>
      <c r="N191">
        <v>31</v>
      </c>
      <c r="O191">
        <v>465</v>
      </c>
      <c r="P191">
        <v>124</v>
      </c>
      <c r="Q191">
        <v>416</v>
      </c>
      <c r="R191">
        <v>57</v>
      </c>
      <c r="S191">
        <v>76</v>
      </c>
      <c r="T191">
        <v>17</v>
      </c>
      <c r="U191">
        <v>3</v>
      </c>
      <c r="V191">
        <v>8</v>
      </c>
      <c r="W191">
        <v>104</v>
      </c>
      <c r="X191">
        <v>151</v>
      </c>
      <c r="Y191">
        <v>41</v>
      </c>
      <c r="Z191">
        <v>44</v>
      </c>
      <c r="AA191">
        <v>1</v>
      </c>
      <c r="AB191">
        <v>2</v>
      </c>
      <c r="AC191">
        <v>89</v>
      </c>
      <c r="AD191">
        <v>1</v>
      </c>
      <c r="AE191">
        <v>2</v>
      </c>
      <c r="AF191">
        <v>14</v>
      </c>
      <c r="AG191">
        <v>23</v>
      </c>
      <c r="AH191">
        <v>7</v>
      </c>
      <c r="AI191" s="5">
        <v>0.25</v>
      </c>
      <c r="AJ191" s="5">
        <v>0.32300000000000001</v>
      </c>
      <c r="AK191" s="5">
        <v>0.36299999999999999</v>
      </c>
      <c r="AL191" s="5">
        <v>0.247</v>
      </c>
      <c r="AM191" s="5">
        <v>0.3</v>
      </c>
      <c r="AN191">
        <v>2.2999999999999998</v>
      </c>
      <c r="AO191">
        <v>0.68</v>
      </c>
      <c r="AP191">
        <v>12.48</v>
      </c>
      <c r="AQ191">
        <v>-6.27</v>
      </c>
      <c r="AR191">
        <v>1.1000000000000001</v>
      </c>
      <c r="AS191" t="s">
        <v>66</v>
      </c>
      <c r="AT191">
        <v>1</v>
      </c>
      <c r="AU191">
        <v>9.1999999999999993</v>
      </c>
      <c r="AV191">
        <v>0</v>
      </c>
      <c r="AW191">
        <v>39</v>
      </c>
      <c r="AX191">
        <v>4</v>
      </c>
      <c r="AY191">
        <v>14</v>
      </c>
      <c r="AZ191" t="s">
        <v>3646</v>
      </c>
      <c r="BA191">
        <v>87</v>
      </c>
      <c r="BB191" t="s">
        <v>35</v>
      </c>
      <c r="BC191" t="s">
        <v>36</v>
      </c>
      <c r="BD191" s="4">
        <f>HYPERLINK("http://mlb.mlb.com/team/player.jsp?player_id=457727",457727)</f>
        <v>457727</v>
      </c>
      <c r="BE191">
        <v>0</v>
      </c>
      <c r="BF191">
        <v>0</v>
      </c>
      <c r="BG191">
        <v>450</v>
      </c>
      <c r="BH191">
        <v>395</v>
      </c>
    </row>
    <row r="192" spans="1:60" x14ac:dyDescent="0.3">
      <c r="A192" s="4">
        <f>HYPERLINK("http://legacy.baseballprospectus.com/p/49024",49024)</f>
        <v>49024</v>
      </c>
      <c r="B192" t="s">
        <v>684</v>
      </c>
      <c r="C192" t="s">
        <v>685</v>
      </c>
      <c r="D192" s="10">
        <v>31300</v>
      </c>
      <c r="E192" t="s">
        <v>58</v>
      </c>
      <c r="F192" t="s">
        <v>37</v>
      </c>
      <c r="G192" t="s">
        <v>33</v>
      </c>
      <c r="H192">
        <v>75</v>
      </c>
      <c r="I192">
        <v>210</v>
      </c>
      <c r="J192">
        <v>2018</v>
      </c>
      <c r="K192" s="4" t="str">
        <f>HYPERLINK("http://legacy.baseballprospectus.com/fantasy/dc/index.php?tm=NYA","NYA")</f>
        <v>NYA</v>
      </c>
      <c r="L192" t="s">
        <v>95</v>
      </c>
      <c r="M192" t="s">
        <v>34</v>
      </c>
      <c r="N192">
        <v>32</v>
      </c>
      <c r="O192">
        <v>311</v>
      </c>
      <c r="P192">
        <v>75</v>
      </c>
      <c r="Q192">
        <v>277</v>
      </c>
      <c r="R192">
        <v>39</v>
      </c>
      <c r="S192">
        <v>46</v>
      </c>
      <c r="T192">
        <v>12</v>
      </c>
      <c r="U192">
        <v>1</v>
      </c>
      <c r="V192">
        <v>12</v>
      </c>
      <c r="W192">
        <v>71</v>
      </c>
      <c r="X192">
        <v>121</v>
      </c>
      <c r="Y192">
        <v>40</v>
      </c>
      <c r="Z192">
        <v>27</v>
      </c>
      <c r="AA192">
        <v>1</v>
      </c>
      <c r="AB192">
        <v>4</v>
      </c>
      <c r="AC192">
        <v>56</v>
      </c>
      <c r="AD192">
        <v>1</v>
      </c>
      <c r="AE192">
        <v>2</v>
      </c>
      <c r="AF192">
        <v>8</v>
      </c>
      <c r="AG192">
        <v>1</v>
      </c>
      <c r="AH192">
        <v>1</v>
      </c>
      <c r="AI192" s="5">
        <v>0.25600000000000001</v>
      </c>
      <c r="AJ192" s="5">
        <v>0.32900000000000001</v>
      </c>
      <c r="AK192" s="5">
        <v>0.437</v>
      </c>
      <c r="AL192" s="5">
        <v>0.26400000000000001</v>
      </c>
      <c r="AM192" s="5">
        <v>0.28000000000000003</v>
      </c>
      <c r="AN192">
        <v>-0.5</v>
      </c>
      <c r="AO192">
        <v>1.61</v>
      </c>
      <c r="AP192">
        <v>8.35</v>
      </c>
      <c r="AQ192">
        <v>1.22</v>
      </c>
      <c r="AR192">
        <v>-0.2</v>
      </c>
      <c r="AS192" t="s">
        <v>999</v>
      </c>
      <c r="AT192">
        <v>1</v>
      </c>
      <c r="AU192">
        <v>10.6</v>
      </c>
      <c r="AV192">
        <v>2</v>
      </c>
      <c r="AW192">
        <v>38</v>
      </c>
      <c r="AX192">
        <v>2</v>
      </c>
      <c r="AY192">
        <v>6</v>
      </c>
      <c r="AZ192" t="s">
        <v>3634</v>
      </c>
      <c r="BA192">
        <v>96</v>
      </c>
      <c r="BB192" t="s">
        <v>35</v>
      </c>
      <c r="BC192" t="s">
        <v>36</v>
      </c>
      <c r="BD192" s="4">
        <f>HYPERLINK("http://mlb.mlb.com/team/player.jsp?player_id=435522",435522)</f>
        <v>435522</v>
      </c>
      <c r="BE192">
        <v>1724</v>
      </c>
      <c r="BF192">
        <v>724</v>
      </c>
      <c r="BG192">
        <v>448</v>
      </c>
      <c r="BH192">
        <v>385</v>
      </c>
    </row>
    <row r="193" spans="1:60" x14ac:dyDescent="0.3">
      <c r="A193" s="4">
        <f>HYPERLINK("http://legacy.baseballprospectus.com/p/46262",46262)</f>
        <v>46262</v>
      </c>
      <c r="B193" t="s">
        <v>484</v>
      </c>
      <c r="C193" t="s">
        <v>485</v>
      </c>
      <c r="D193" s="10">
        <v>30789</v>
      </c>
      <c r="E193" t="s">
        <v>58</v>
      </c>
      <c r="F193" t="s">
        <v>37</v>
      </c>
      <c r="G193" t="s">
        <v>33</v>
      </c>
      <c r="H193">
        <v>72</v>
      </c>
      <c r="I193">
        <v>180</v>
      </c>
      <c r="J193">
        <v>2018</v>
      </c>
      <c r="K193" s="4" t="str">
        <f>HYPERLINK("http://legacy.baseballprospectus.com/fantasy/dc/index.php?tm=OAK","OAK")</f>
        <v>OAK</v>
      </c>
      <c r="L193" t="s">
        <v>95</v>
      </c>
      <c r="M193" t="s">
        <v>34</v>
      </c>
      <c r="N193">
        <v>34</v>
      </c>
      <c r="O193">
        <v>540</v>
      </c>
      <c r="P193">
        <v>130</v>
      </c>
      <c r="Q193">
        <v>485</v>
      </c>
      <c r="R193">
        <v>54</v>
      </c>
      <c r="S193">
        <v>83</v>
      </c>
      <c r="T193">
        <v>31</v>
      </c>
      <c r="U193">
        <v>2</v>
      </c>
      <c r="V193">
        <v>10</v>
      </c>
      <c r="W193">
        <v>126</v>
      </c>
      <c r="X193">
        <v>191</v>
      </c>
      <c r="Y193">
        <v>58</v>
      </c>
      <c r="Z193">
        <v>48</v>
      </c>
      <c r="AA193">
        <v>3</v>
      </c>
      <c r="AB193">
        <v>3</v>
      </c>
      <c r="AC193">
        <v>86</v>
      </c>
      <c r="AD193">
        <v>1</v>
      </c>
      <c r="AE193">
        <v>4</v>
      </c>
      <c r="AF193">
        <v>14</v>
      </c>
      <c r="AG193">
        <v>1</v>
      </c>
      <c r="AH193">
        <v>0</v>
      </c>
      <c r="AI193" s="5">
        <v>0.26</v>
      </c>
      <c r="AJ193" s="5">
        <v>0.32800000000000001</v>
      </c>
      <c r="AK193" s="5">
        <v>0.39400000000000002</v>
      </c>
      <c r="AL193" s="5">
        <v>0.251</v>
      </c>
      <c r="AM193" s="5">
        <v>0.29499999999999998</v>
      </c>
      <c r="AN193">
        <v>-1.1000000000000001</v>
      </c>
      <c r="AO193">
        <v>2.8</v>
      </c>
      <c r="AP193">
        <v>14.5</v>
      </c>
      <c r="AQ193">
        <v>-5.14</v>
      </c>
      <c r="AR193">
        <v>-1.2</v>
      </c>
      <c r="AS193" t="s">
        <v>1020</v>
      </c>
      <c r="AT193">
        <v>1</v>
      </c>
      <c r="AU193">
        <v>11.1</v>
      </c>
      <c r="AV193">
        <v>1</v>
      </c>
      <c r="AW193">
        <v>32</v>
      </c>
      <c r="AX193">
        <v>8</v>
      </c>
      <c r="AY193">
        <v>23</v>
      </c>
      <c r="AZ193" t="s">
        <v>3763</v>
      </c>
      <c r="BA193">
        <v>88</v>
      </c>
      <c r="BB193" t="s">
        <v>35</v>
      </c>
      <c r="BC193" t="s">
        <v>36</v>
      </c>
      <c r="BD193" s="4">
        <f>HYPERLINK("http://mlb.mlb.com/team/player.jsp?player_id=476704",476704)</f>
        <v>476704</v>
      </c>
      <c r="BE193">
        <v>443</v>
      </c>
      <c r="BF193">
        <v>1443</v>
      </c>
      <c r="BG193">
        <v>645</v>
      </c>
      <c r="BH193">
        <v>567</v>
      </c>
    </row>
    <row r="194" spans="1:60" x14ac:dyDescent="0.3">
      <c r="A194" s="4">
        <f>HYPERLINK("http://legacy.baseballprospectus.com/p/100193",100193)</f>
        <v>100193</v>
      </c>
      <c r="B194" t="s">
        <v>207</v>
      </c>
      <c r="C194" t="s">
        <v>1226</v>
      </c>
      <c r="D194" s="10">
        <v>33290</v>
      </c>
      <c r="E194" t="s">
        <v>58</v>
      </c>
      <c r="F194" t="s">
        <v>33</v>
      </c>
      <c r="G194" t="s">
        <v>33</v>
      </c>
      <c r="H194">
        <v>69</v>
      </c>
      <c r="I194">
        <v>190</v>
      </c>
      <c r="J194">
        <v>2018</v>
      </c>
      <c r="K194" s="4" t="str">
        <f>HYPERLINK("http://legacy.baseballprospectus.com/fantasy/dc/index.php?tm=TOR","TOR")</f>
        <v>TOR</v>
      </c>
      <c r="L194" t="s">
        <v>95</v>
      </c>
      <c r="M194" t="s">
        <v>34</v>
      </c>
      <c r="N194">
        <v>27</v>
      </c>
      <c r="O194">
        <v>315</v>
      </c>
      <c r="P194">
        <v>82</v>
      </c>
      <c r="Q194">
        <v>293</v>
      </c>
      <c r="R194">
        <v>37</v>
      </c>
      <c r="S194">
        <v>52</v>
      </c>
      <c r="T194">
        <v>20</v>
      </c>
      <c r="U194">
        <v>1</v>
      </c>
      <c r="V194">
        <v>8</v>
      </c>
      <c r="W194">
        <v>81</v>
      </c>
      <c r="X194">
        <v>127</v>
      </c>
      <c r="Y194">
        <v>36</v>
      </c>
      <c r="Z194">
        <v>18</v>
      </c>
      <c r="AA194">
        <v>1</v>
      </c>
      <c r="AB194">
        <v>2</v>
      </c>
      <c r="AC194">
        <v>61</v>
      </c>
      <c r="AD194">
        <v>1</v>
      </c>
      <c r="AE194">
        <v>2</v>
      </c>
      <c r="AF194">
        <v>8</v>
      </c>
      <c r="AG194">
        <v>4</v>
      </c>
      <c r="AH194">
        <v>2</v>
      </c>
      <c r="AI194" s="5">
        <v>0.27600000000000002</v>
      </c>
      <c r="AJ194" s="5">
        <v>0.32100000000000001</v>
      </c>
      <c r="AK194" s="5">
        <v>0.433</v>
      </c>
      <c r="AL194" s="5">
        <v>0.26300000000000001</v>
      </c>
      <c r="AM194" s="5">
        <v>0.32300000000000001</v>
      </c>
      <c r="AN194">
        <v>-0.3</v>
      </c>
      <c r="AO194">
        <v>1.63</v>
      </c>
      <c r="AP194">
        <v>8.4600000000000009</v>
      </c>
      <c r="AQ194">
        <v>0.97</v>
      </c>
      <c r="AR194">
        <v>-0.8</v>
      </c>
      <c r="AS194" t="s">
        <v>1020</v>
      </c>
      <c r="AT194">
        <v>1</v>
      </c>
      <c r="AU194">
        <v>10.8</v>
      </c>
      <c r="AV194">
        <v>2</v>
      </c>
      <c r="AW194">
        <v>61</v>
      </c>
      <c r="AX194">
        <v>1</v>
      </c>
      <c r="AY194">
        <v>6</v>
      </c>
      <c r="AZ194" t="s">
        <v>3739</v>
      </c>
      <c r="BA194">
        <v>97</v>
      </c>
      <c r="BB194" t="s">
        <v>35</v>
      </c>
      <c r="BC194" t="s">
        <v>36</v>
      </c>
      <c r="BD194" s="4">
        <f>HYPERLINK("http://mlb.mlb.com/team/player.jsp?player_id=581527",581527)</f>
        <v>581527</v>
      </c>
      <c r="BE194">
        <v>453</v>
      </c>
      <c r="BF194">
        <v>1453</v>
      </c>
      <c r="BG194">
        <v>197</v>
      </c>
      <c r="BH194">
        <v>185</v>
      </c>
    </row>
    <row r="195" spans="1:60" x14ac:dyDescent="0.3">
      <c r="A195" s="4">
        <f>HYPERLINK("http://legacy.baseballprospectus.com/p/66594",66594)</f>
        <v>66594</v>
      </c>
      <c r="B195" t="s">
        <v>391</v>
      </c>
      <c r="C195" t="s">
        <v>181</v>
      </c>
      <c r="D195" s="10">
        <v>33323</v>
      </c>
      <c r="E195" t="s">
        <v>65</v>
      </c>
      <c r="F195" t="s">
        <v>33</v>
      </c>
      <c r="G195" t="s">
        <v>33</v>
      </c>
      <c r="H195">
        <v>75</v>
      </c>
      <c r="I195">
        <v>210</v>
      </c>
      <c r="J195">
        <v>2018</v>
      </c>
      <c r="K195" s="4" t="str">
        <f>HYPERLINK("http://legacy.baseballprospectus.com/fantasy/dc/index.php?tm=WAS","WAS")</f>
        <v>WAS</v>
      </c>
      <c r="L195" t="s">
        <v>100</v>
      </c>
      <c r="M195" t="s">
        <v>34</v>
      </c>
      <c r="N195">
        <v>27</v>
      </c>
      <c r="O195">
        <v>479</v>
      </c>
      <c r="P195">
        <v>153</v>
      </c>
      <c r="Q195">
        <v>436</v>
      </c>
      <c r="R195">
        <v>65</v>
      </c>
      <c r="S195">
        <v>68</v>
      </c>
      <c r="T195">
        <v>19</v>
      </c>
      <c r="U195">
        <v>2</v>
      </c>
      <c r="V195">
        <v>17</v>
      </c>
      <c r="W195">
        <v>106</v>
      </c>
      <c r="X195">
        <v>180</v>
      </c>
      <c r="Y195">
        <v>55</v>
      </c>
      <c r="Z195">
        <v>36</v>
      </c>
      <c r="AA195">
        <v>4</v>
      </c>
      <c r="AB195">
        <v>3</v>
      </c>
      <c r="AC195">
        <v>152</v>
      </c>
      <c r="AD195">
        <v>2</v>
      </c>
      <c r="AE195">
        <v>2</v>
      </c>
      <c r="AF195">
        <v>7</v>
      </c>
      <c r="AG195">
        <v>20</v>
      </c>
      <c r="AH195">
        <v>6</v>
      </c>
      <c r="AI195" s="5">
        <v>0.24299999999999999</v>
      </c>
      <c r="AJ195" s="5">
        <v>0.30399999999999999</v>
      </c>
      <c r="AK195" s="5">
        <v>0.41299999999999998</v>
      </c>
      <c r="AL195" s="5">
        <v>0.245</v>
      </c>
      <c r="AM195" s="5">
        <v>0.32700000000000001</v>
      </c>
      <c r="AN195">
        <v>2</v>
      </c>
      <c r="AO195">
        <v>0.2</v>
      </c>
      <c r="AP195">
        <v>12.86</v>
      </c>
      <c r="AQ195">
        <v>-7.47</v>
      </c>
      <c r="AR195">
        <v>2.7</v>
      </c>
      <c r="AS195" t="s">
        <v>1012</v>
      </c>
      <c r="AT195">
        <v>1</v>
      </c>
      <c r="AU195">
        <v>7.6</v>
      </c>
      <c r="AV195">
        <v>8</v>
      </c>
      <c r="AW195">
        <v>40</v>
      </c>
      <c r="AX195">
        <v>6</v>
      </c>
      <c r="AY195">
        <v>16</v>
      </c>
      <c r="AZ195" t="s">
        <v>3740</v>
      </c>
      <c r="BA195">
        <v>87</v>
      </c>
      <c r="BB195" t="s">
        <v>35</v>
      </c>
      <c r="BC195" t="s">
        <v>36</v>
      </c>
      <c r="BD195" s="4">
        <f>HYPERLINK("http://mlb.mlb.com/team/player.jsp?player_id=572191",572191)</f>
        <v>572191</v>
      </c>
      <c r="BE195">
        <v>1599</v>
      </c>
      <c r="BF195">
        <v>599</v>
      </c>
      <c r="BG195">
        <v>432</v>
      </c>
      <c r="BH195">
        <v>399</v>
      </c>
    </row>
    <row r="196" spans="1:60" x14ac:dyDescent="0.3">
      <c r="A196" s="4">
        <f>HYPERLINK("http://legacy.baseballprospectus.com/p/70302",70302)</f>
        <v>70302</v>
      </c>
      <c r="B196" t="s">
        <v>284</v>
      </c>
      <c r="C196" t="s">
        <v>391</v>
      </c>
      <c r="D196" s="10">
        <v>32840</v>
      </c>
      <c r="E196" t="s">
        <v>54</v>
      </c>
      <c r="F196" t="s">
        <v>33</v>
      </c>
      <c r="G196" t="s">
        <v>33</v>
      </c>
      <c r="H196">
        <v>70</v>
      </c>
      <c r="I196">
        <v>200</v>
      </c>
      <c r="J196">
        <v>2018</v>
      </c>
      <c r="K196" s="4" t="str">
        <f>HYPERLINK("http://legacy.baseballprospectus.com/fantasy/dc/index.php?tm=CHN","CHN")</f>
        <v>CHN</v>
      </c>
      <c r="L196" t="s">
        <v>100</v>
      </c>
      <c r="M196" t="s">
        <v>34</v>
      </c>
      <c r="N196">
        <v>28</v>
      </c>
      <c r="O196">
        <v>250</v>
      </c>
      <c r="P196" t="s">
        <v>1680</v>
      </c>
      <c r="Q196">
        <v>223</v>
      </c>
      <c r="R196">
        <v>27</v>
      </c>
      <c r="S196">
        <v>39</v>
      </c>
      <c r="T196">
        <v>13</v>
      </c>
      <c r="U196">
        <v>1</v>
      </c>
      <c r="V196">
        <v>7</v>
      </c>
      <c r="W196">
        <v>60</v>
      </c>
      <c r="X196">
        <v>96</v>
      </c>
      <c r="Y196">
        <v>30</v>
      </c>
      <c r="Z196">
        <v>23</v>
      </c>
      <c r="AA196">
        <v>1</v>
      </c>
      <c r="AB196">
        <v>1</v>
      </c>
      <c r="AC196">
        <v>40</v>
      </c>
      <c r="AD196">
        <v>1</v>
      </c>
      <c r="AE196">
        <v>2</v>
      </c>
      <c r="AF196">
        <v>9</v>
      </c>
      <c r="AG196">
        <v>0</v>
      </c>
      <c r="AH196">
        <v>0</v>
      </c>
      <c r="AI196" s="5">
        <v>0.26700000000000002</v>
      </c>
      <c r="AJ196" s="5">
        <v>0.33600000000000002</v>
      </c>
      <c r="AK196" s="5">
        <v>0.42699999999999999</v>
      </c>
      <c r="AL196" s="5">
        <v>0.254</v>
      </c>
      <c r="AM196" s="5">
        <v>0.29499999999999998</v>
      </c>
      <c r="AN196">
        <v>-0.5</v>
      </c>
      <c r="AO196">
        <v>2.75</v>
      </c>
      <c r="AP196">
        <v>7</v>
      </c>
      <c r="AQ196">
        <v>-1.53</v>
      </c>
      <c r="AR196">
        <v>1.4</v>
      </c>
      <c r="AS196" t="s">
        <v>3771</v>
      </c>
      <c r="AT196">
        <v>1</v>
      </c>
      <c r="AU196">
        <v>7.8</v>
      </c>
      <c r="AV196">
        <v>2</v>
      </c>
      <c r="AW196">
        <v>9</v>
      </c>
      <c r="AX196">
        <v>18</v>
      </c>
      <c r="AY196">
        <v>28</v>
      </c>
      <c r="AZ196" t="s">
        <v>3772</v>
      </c>
      <c r="BA196">
        <v>46</v>
      </c>
      <c r="BB196" t="s">
        <v>36</v>
      </c>
      <c r="BC196" t="s">
        <v>35</v>
      </c>
      <c r="BD196" s="4">
        <f>HYPERLINK("http://mlb.mlb.com/team/player.jsp?player_id=543089",543089)</f>
        <v>543089</v>
      </c>
      <c r="BE196">
        <v>0</v>
      </c>
      <c r="BF196">
        <v>0</v>
      </c>
      <c r="BG196">
        <v>13</v>
      </c>
      <c r="BH196">
        <v>13</v>
      </c>
    </row>
    <row r="197" spans="1:60" x14ac:dyDescent="0.3">
      <c r="A197" s="4">
        <f>HYPERLINK("http://legacy.baseballprospectus.com/p/105454",105454)</f>
        <v>105454</v>
      </c>
      <c r="B197" t="s">
        <v>1902</v>
      </c>
      <c r="C197" t="s">
        <v>714</v>
      </c>
      <c r="D197" s="10">
        <v>35782</v>
      </c>
      <c r="E197" t="s">
        <v>57</v>
      </c>
      <c r="F197" t="s">
        <v>33</v>
      </c>
      <c r="G197" t="s">
        <v>33</v>
      </c>
      <c r="H197">
        <v>72</v>
      </c>
      <c r="I197">
        <v>180</v>
      </c>
      <c r="J197">
        <v>2018</v>
      </c>
      <c r="K197" s="4" t="str">
        <f>HYPERLINK("http://legacy.baseballprospectus.com/fantasy/dc/index.php?tm=ATL","ATL")</f>
        <v>ATL</v>
      </c>
      <c r="L197" t="s">
        <v>100</v>
      </c>
      <c r="M197" t="s">
        <v>34</v>
      </c>
      <c r="N197">
        <v>20</v>
      </c>
      <c r="O197">
        <v>537</v>
      </c>
      <c r="P197">
        <v>154</v>
      </c>
      <c r="Q197">
        <v>492</v>
      </c>
      <c r="R197">
        <v>75</v>
      </c>
      <c r="S197">
        <v>85</v>
      </c>
      <c r="T197">
        <v>24</v>
      </c>
      <c r="U197">
        <v>4</v>
      </c>
      <c r="V197">
        <v>19</v>
      </c>
      <c r="W197">
        <v>132</v>
      </c>
      <c r="X197">
        <v>221</v>
      </c>
      <c r="Y197">
        <v>67</v>
      </c>
      <c r="Z197">
        <v>35</v>
      </c>
      <c r="AA197">
        <v>1</v>
      </c>
      <c r="AB197">
        <v>4</v>
      </c>
      <c r="AC197">
        <v>138</v>
      </c>
      <c r="AD197">
        <v>3</v>
      </c>
      <c r="AE197">
        <v>3</v>
      </c>
      <c r="AF197">
        <v>16</v>
      </c>
      <c r="AG197">
        <v>26</v>
      </c>
      <c r="AH197">
        <v>13</v>
      </c>
      <c r="AI197" s="5">
        <v>0.26800000000000002</v>
      </c>
      <c r="AJ197" s="5">
        <v>0.32</v>
      </c>
      <c r="AK197" s="5">
        <v>0.44900000000000001</v>
      </c>
      <c r="AL197" s="5">
        <v>0.26600000000000001</v>
      </c>
      <c r="AM197" s="5">
        <v>0.33200000000000002</v>
      </c>
      <c r="AN197">
        <v>1.1000000000000001</v>
      </c>
      <c r="AO197">
        <v>-1.73</v>
      </c>
      <c r="AP197">
        <v>14.42</v>
      </c>
      <c r="AQ197">
        <v>3.18</v>
      </c>
      <c r="AR197">
        <v>-6.8</v>
      </c>
      <c r="AS197" t="s">
        <v>4851</v>
      </c>
      <c r="AT197">
        <v>1</v>
      </c>
      <c r="AU197">
        <v>17</v>
      </c>
      <c r="AV197">
        <v>11</v>
      </c>
      <c r="AW197">
        <v>33</v>
      </c>
      <c r="AX197">
        <v>0</v>
      </c>
      <c r="AY197">
        <v>7</v>
      </c>
      <c r="AZ197" t="s">
        <v>3839</v>
      </c>
      <c r="BA197">
        <v>34</v>
      </c>
      <c r="BB197" t="s">
        <v>35</v>
      </c>
      <c r="BC197" t="s">
        <v>35</v>
      </c>
      <c r="BD197" s="4">
        <f>HYPERLINK("http://mlb.mlb.com/team/player.jsp?player_id=660670",660670)</f>
        <v>660670</v>
      </c>
      <c r="BE197">
        <v>1656</v>
      </c>
      <c r="BF197">
        <v>656</v>
      </c>
      <c r="BG197">
        <v>0</v>
      </c>
      <c r="BH197">
        <v>0</v>
      </c>
    </row>
    <row r="198" spans="1:60" x14ac:dyDescent="0.3">
      <c r="A198" s="4">
        <f>HYPERLINK("http://legacy.baseballprospectus.com/p/101614",101614)</f>
        <v>101614</v>
      </c>
      <c r="B198" t="s">
        <v>1433</v>
      </c>
      <c r="C198" t="s">
        <v>181</v>
      </c>
      <c r="D198" s="10">
        <v>34029</v>
      </c>
      <c r="E198" t="s">
        <v>65</v>
      </c>
      <c r="F198" t="s">
        <v>9</v>
      </c>
      <c r="G198" t="s">
        <v>33</v>
      </c>
      <c r="H198">
        <v>73</v>
      </c>
      <c r="I198">
        <v>215</v>
      </c>
      <c r="J198">
        <v>2018</v>
      </c>
      <c r="K198" s="4" t="str">
        <f>HYPERLINK("http://legacy.baseballprospectus.com/fantasy/dc/index.php?tm=NYN","NYN")</f>
        <v>NYN</v>
      </c>
      <c r="L198" t="s">
        <v>100</v>
      </c>
      <c r="M198" t="s">
        <v>34</v>
      </c>
      <c r="N198">
        <v>25</v>
      </c>
      <c r="O198">
        <v>475</v>
      </c>
      <c r="P198">
        <v>124</v>
      </c>
      <c r="Q198">
        <v>417</v>
      </c>
      <c r="R198">
        <v>71</v>
      </c>
      <c r="S198">
        <v>62</v>
      </c>
      <c r="T198">
        <v>23</v>
      </c>
      <c r="U198">
        <v>1</v>
      </c>
      <c r="V198">
        <v>23</v>
      </c>
      <c r="W198">
        <v>109</v>
      </c>
      <c r="X198">
        <v>203</v>
      </c>
      <c r="Y198">
        <v>65</v>
      </c>
      <c r="Z198">
        <v>49</v>
      </c>
      <c r="AA198">
        <v>4</v>
      </c>
      <c r="AB198">
        <v>6</v>
      </c>
      <c r="AC198">
        <v>108</v>
      </c>
      <c r="AD198">
        <v>0</v>
      </c>
      <c r="AE198">
        <v>2</v>
      </c>
      <c r="AF198">
        <v>9</v>
      </c>
      <c r="AG198">
        <v>2</v>
      </c>
      <c r="AH198">
        <v>1</v>
      </c>
      <c r="AI198" s="5">
        <v>0.26100000000000001</v>
      </c>
      <c r="AJ198" s="5">
        <v>0.34599999999999997</v>
      </c>
      <c r="AK198" s="5">
        <v>0.48699999999999999</v>
      </c>
      <c r="AL198" s="5">
        <v>0.28799999999999998</v>
      </c>
      <c r="AM198" s="5">
        <v>0.30199999999999999</v>
      </c>
      <c r="AN198">
        <v>-0.8</v>
      </c>
      <c r="AO198">
        <v>0.05</v>
      </c>
      <c r="AP198">
        <v>12.75</v>
      </c>
      <c r="AQ198">
        <v>13.97</v>
      </c>
      <c r="AR198">
        <v>-16.5</v>
      </c>
      <c r="AS198" t="s">
        <v>4848</v>
      </c>
      <c r="AT198">
        <v>1</v>
      </c>
      <c r="AU198">
        <v>26</v>
      </c>
      <c r="AV198">
        <v>1</v>
      </c>
      <c r="AW198">
        <v>50</v>
      </c>
      <c r="AX198">
        <v>4</v>
      </c>
      <c r="AY198">
        <v>6</v>
      </c>
      <c r="AZ198" t="s">
        <v>3612</v>
      </c>
      <c r="BA198">
        <v>98</v>
      </c>
      <c r="BB198" t="s">
        <v>35</v>
      </c>
      <c r="BC198" t="s">
        <v>36</v>
      </c>
      <c r="BD198" s="4">
        <f>HYPERLINK("http://mlb.mlb.com/team/player.jsp?player_id=624424",624424)</f>
        <v>624424</v>
      </c>
      <c r="BE198">
        <v>1598</v>
      </c>
      <c r="BF198">
        <v>598</v>
      </c>
      <c r="BG198">
        <v>440</v>
      </c>
      <c r="BH198">
        <v>373</v>
      </c>
    </row>
    <row r="199" spans="1:60" x14ac:dyDescent="0.3">
      <c r="A199" s="4">
        <f>HYPERLINK("http://legacy.baseballprospectus.com/p/101479",101479)</f>
        <v>101479</v>
      </c>
      <c r="B199" t="s">
        <v>3775</v>
      </c>
      <c r="C199" t="s">
        <v>103</v>
      </c>
      <c r="D199" s="10">
        <v>34066</v>
      </c>
      <c r="E199" t="s">
        <v>58</v>
      </c>
      <c r="F199" t="s">
        <v>33</v>
      </c>
      <c r="G199" t="s">
        <v>33</v>
      </c>
      <c r="H199">
        <v>71</v>
      </c>
      <c r="I199">
        <v>185</v>
      </c>
      <c r="J199">
        <v>2018</v>
      </c>
      <c r="K199" s="4" t="str">
        <f>HYPERLINK("http://legacy.baseballprospectus.com/fantasy/dc/index.php?tm=CHN","CHN")</f>
        <v>CHN</v>
      </c>
      <c r="L199" t="s">
        <v>100</v>
      </c>
      <c r="M199" t="s">
        <v>34</v>
      </c>
      <c r="N199">
        <v>25</v>
      </c>
      <c r="O199">
        <v>250</v>
      </c>
      <c r="P199" t="s">
        <v>1680</v>
      </c>
      <c r="Q199">
        <v>224</v>
      </c>
      <c r="R199">
        <v>28</v>
      </c>
      <c r="S199">
        <v>35</v>
      </c>
      <c r="T199">
        <v>13</v>
      </c>
      <c r="U199">
        <v>1</v>
      </c>
      <c r="V199">
        <v>9</v>
      </c>
      <c r="W199">
        <v>58</v>
      </c>
      <c r="X199">
        <v>100</v>
      </c>
      <c r="Y199">
        <v>33</v>
      </c>
      <c r="Z199">
        <v>20</v>
      </c>
      <c r="AA199">
        <v>1</v>
      </c>
      <c r="AB199">
        <v>4</v>
      </c>
      <c r="AC199">
        <v>57</v>
      </c>
      <c r="AD199">
        <v>1</v>
      </c>
      <c r="AE199">
        <v>1</v>
      </c>
      <c r="AF199">
        <v>6</v>
      </c>
      <c r="AG199">
        <v>0</v>
      </c>
      <c r="AH199">
        <v>0</v>
      </c>
      <c r="AI199" s="5">
        <v>0.254</v>
      </c>
      <c r="AJ199" s="5">
        <v>0.32500000000000001</v>
      </c>
      <c r="AK199" s="5">
        <v>0.436</v>
      </c>
      <c r="AL199" s="5">
        <v>0.254</v>
      </c>
      <c r="AM199" s="5">
        <v>0.30199999999999999</v>
      </c>
      <c r="AN199">
        <v>-0.4</v>
      </c>
      <c r="AO199">
        <v>2.94</v>
      </c>
      <c r="AP199">
        <v>7</v>
      </c>
      <c r="AQ199">
        <v>-1.62</v>
      </c>
      <c r="AR199">
        <v>1</v>
      </c>
      <c r="AS199" t="s">
        <v>3776</v>
      </c>
      <c r="AT199">
        <v>1</v>
      </c>
      <c r="AU199">
        <v>8</v>
      </c>
      <c r="AV199">
        <v>3</v>
      </c>
      <c r="AW199">
        <v>19</v>
      </c>
      <c r="AX199">
        <v>16</v>
      </c>
      <c r="AY199">
        <v>31</v>
      </c>
      <c r="AZ199" t="s">
        <v>3777</v>
      </c>
      <c r="BA199">
        <v>53</v>
      </c>
      <c r="BB199" t="s">
        <v>36</v>
      </c>
      <c r="BC199" t="s">
        <v>35</v>
      </c>
      <c r="BD199" s="4">
        <f>HYPERLINK("http://mlb.mlb.com/team/player.jsp?player_id=623520",623520)</f>
        <v>623520</v>
      </c>
      <c r="BE199">
        <v>0</v>
      </c>
      <c r="BF199">
        <v>0</v>
      </c>
      <c r="BG199">
        <v>0</v>
      </c>
      <c r="BH199">
        <v>0</v>
      </c>
    </row>
    <row r="200" spans="1:60" x14ac:dyDescent="0.3">
      <c r="A200" s="4">
        <f>HYPERLINK("http://legacy.baseballprospectus.com/p/103695",103695)</f>
        <v>103695</v>
      </c>
      <c r="B200" t="s">
        <v>3780</v>
      </c>
      <c r="C200" t="s">
        <v>142</v>
      </c>
      <c r="D200" s="10">
        <v>33789</v>
      </c>
      <c r="E200" t="s">
        <v>50</v>
      </c>
      <c r="F200" t="s">
        <v>9</v>
      </c>
      <c r="G200" t="s">
        <v>33</v>
      </c>
      <c r="H200">
        <v>72</v>
      </c>
      <c r="I200">
        <v>225</v>
      </c>
      <c r="J200">
        <v>2018</v>
      </c>
      <c r="K200" s="4" t="str">
        <f>HYPERLINK("http://legacy.baseballprospectus.com/fantasy/dc/index.php?tm=NYA","NYA")</f>
        <v>NYA</v>
      </c>
      <c r="L200" t="s">
        <v>95</v>
      </c>
      <c r="M200" t="s">
        <v>34</v>
      </c>
      <c r="N200">
        <v>25</v>
      </c>
      <c r="O200">
        <v>250</v>
      </c>
      <c r="P200" t="s">
        <v>1680</v>
      </c>
      <c r="Q200">
        <v>210</v>
      </c>
      <c r="R200">
        <v>31</v>
      </c>
      <c r="S200">
        <v>31</v>
      </c>
      <c r="T200">
        <v>11</v>
      </c>
      <c r="U200">
        <v>0</v>
      </c>
      <c r="V200">
        <v>10</v>
      </c>
      <c r="W200">
        <v>52</v>
      </c>
      <c r="X200">
        <v>93</v>
      </c>
      <c r="Y200">
        <v>34</v>
      </c>
      <c r="Z200">
        <v>36</v>
      </c>
      <c r="AA200">
        <v>2</v>
      </c>
      <c r="AB200">
        <v>2</v>
      </c>
      <c r="AC200">
        <v>50</v>
      </c>
      <c r="AD200">
        <v>0</v>
      </c>
      <c r="AE200">
        <v>1</v>
      </c>
      <c r="AF200">
        <v>6</v>
      </c>
      <c r="AG200">
        <v>0</v>
      </c>
      <c r="AH200">
        <v>0</v>
      </c>
      <c r="AI200" s="5">
        <v>0.245</v>
      </c>
      <c r="AJ200" s="5">
        <v>0.35899999999999999</v>
      </c>
      <c r="AK200" s="5">
        <v>0.436</v>
      </c>
      <c r="AL200" s="5">
        <v>0.27100000000000002</v>
      </c>
      <c r="AM200" s="5">
        <v>0.27500000000000002</v>
      </c>
      <c r="AN200">
        <v>-0.5</v>
      </c>
      <c r="AO200">
        <v>-2.16</v>
      </c>
      <c r="AP200">
        <v>7</v>
      </c>
      <c r="AQ200">
        <v>2.89</v>
      </c>
      <c r="AR200">
        <v>1.4</v>
      </c>
      <c r="AS200" t="s">
        <v>1798</v>
      </c>
      <c r="AT200">
        <v>1</v>
      </c>
      <c r="AU200">
        <v>7.3</v>
      </c>
      <c r="AV200">
        <v>6</v>
      </c>
      <c r="AW200">
        <v>16</v>
      </c>
      <c r="AX200">
        <v>7</v>
      </c>
      <c r="AY200">
        <v>26</v>
      </c>
      <c r="AZ200" t="s">
        <v>3781</v>
      </c>
      <c r="BA200">
        <v>45</v>
      </c>
      <c r="BB200" t="s">
        <v>36</v>
      </c>
      <c r="BC200" t="s">
        <v>35</v>
      </c>
      <c r="BD200" s="4">
        <f>HYPERLINK("http://mlb.mlb.com/team/player.jsp?player_id=645801",645801)</f>
        <v>645801</v>
      </c>
      <c r="BE200">
        <v>432</v>
      </c>
      <c r="BF200">
        <v>1432</v>
      </c>
      <c r="BG200">
        <v>0</v>
      </c>
      <c r="BH200">
        <v>0</v>
      </c>
    </row>
    <row r="201" spans="1:60" x14ac:dyDescent="0.3">
      <c r="A201" s="4">
        <f>HYPERLINK("http://legacy.baseballprospectus.com/p/103985",103985)</f>
        <v>103985</v>
      </c>
      <c r="B201" t="s">
        <v>1865</v>
      </c>
      <c r="C201" t="s">
        <v>1866</v>
      </c>
      <c r="D201" s="10">
        <v>34929</v>
      </c>
      <c r="E201" t="s">
        <v>53</v>
      </c>
      <c r="F201" t="s">
        <v>33</v>
      </c>
      <c r="G201" t="s">
        <v>33</v>
      </c>
      <c r="H201">
        <v>73</v>
      </c>
      <c r="I201">
        <v>175</v>
      </c>
      <c r="J201">
        <v>2018</v>
      </c>
      <c r="K201" s="4" t="str">
        <f>HYPERLINK("http://legacy.baseballprospectus.com/fantasy/dc/index.php?tm=CLE","CLE")</f>
        <v>CLE</v>
      </c>
      <c r="L201" t="s">
        <v>95</v>
      </c>
      <c r="M201" t="s">
        <v>34</v>
      </c>
      <c r="N201">
        <v>22</v>
      </c>
      <c r="O201">
        <v>250</v>
      </c>
      <c r="P201" t="s">
        <v>1680</v>
      </c>
      <c r="Q201">
        <v>225</v>
      </c>
      <c r="R201">
        <v>28</v>
      </c>
      <c r="S201">
        <v>26</v>
      </c>
      <c r="T201">
        <v>11</v>
      </c>
      <c r="U201">
        <v>1</v>
      </c>
      <c r="V201">
        <v>10</v>
      </c>
      <c r="W201">
        <v>48</v>
      </c>
      <c r="X201">
        <v>91</v>
      </c>
      <c r="Y201">
        <v>33</v>
      </c>
      <c r="Z201">
        <v>19</v>
      </c>
      <c r="AA201">
        <v>1</v>
      </c>
      <c r="AB201">
        <v>3</v>
      </c>
      <c r="AC201">
        <v>77</v>
      </c>
      <c r="AD201">
        <v>2</v>
      </c>
      <c r="AE201">
        <v>1</v>
      </c>
      <c r="AF201">
        <v>6</v>
      </c>
      <c r="AG201">
        <v>3</v>
      </c>
      <c r="AH201">
        <v>1</v>
      </c>
      <c r="AI201" s="5">
        <v>0.216</v>
      </c>
      <c r="AJ201" s="5">
        <v>0.28299999999999997</v>
      </c>
      <c r="AK201" s="5">
        <v>0.41199999999999998</v>
      </c>
      <c r="AL201" s="5">
        <v>0.23300000000000001</v>
      </c>
      <c r="AM201" s="5">
        <v>0.27300000000000002</v>
      </c>
      <c r="AN201">
        <v>0</v>
      </c>
      <c r="AO201">
        <v>4.2300000000000004</v>
      </c>
      <c r="AP201">
        <v>7</v>
      </c>
      <c r="AQ201">
        <v>-7.14</v>
      </c>
      <c r="AR201">
        <v>5.3</v>
      </c>
      <c r="AS201" t="s">
        <v>3748</v>
      </c>
      <c r="AT201">
        <v>1</v>
      </c>
      <c r="AU201">
        <v>4.0999999999999996</v>
      </c>
      <c r="AV201">
        <v>2</v>
      </c>
      <c r="AW201">
        <v>22</v>
      </c>
      <c r="AX201">
        <v>4</v>
      </c>
      <c r="AY201">
        <v>16</v>
      </c>
      <c r="AZ201" t="s">
        <v>3749</v>
      </c>
      <c r="BA201">
        <v>32</v>
      </c>
      <c r="BB201" t="s">
        <v>36</v>
      </c>
      <c r="BC201" t="s">
        <v>35</v>
      </c>
      <c r="BD201" s="4">
        <f>HYPERLINK("http://mlb.mlb.com/team/player.jsp?player_id=644374",644374)</f>
        <v>644374</v>
      </c>
      <c r="BE201">
        <v>534</v>
      </c>
      <c r="BF201">
        <v>1534</v>
      </c>
      <c r="BG201">
        <v>0</v>
      </c>
      <c r="BH201">
        <v>0</v>
      </c>
    </row>
    <row r="202" spans="1:60" x14ac:dyDescent="0.3">
      <c r="A202" s="4">
        <f>HYPERLINK("http://legacy.baseballprospectus.com/p/68302",68302)</f>
        <v>68302</v>
      </c>
      <c r="B202" t="s">
        <v>194</v>
      </c>
      <c r="C202" t="s">
        <v>1100</v>
      </c>
      <c r="D202" s="10">
        <v>32982</v>
      </c>
      <c r="E202" t="s">
        <v>65</v>
      </c>
      <c r="F202" t="s">
        <v>9</v>
      </c>
      <c r="G202" t="s">
        <v>33</v>
      </c>
      <c r="H202">
        <v>70</v>
      </c>
      <c r="I202">
        <v>200</v>
      </c>
      <c r="J202">
        <v>2018</v>
      </c>
      <c r="K202" s="4" t="str">
        <f>HYPERLINK("http://legacy.baseballprospectus.com/fantasy/dc/index.php?tm=BOS","BOS")</f>
        <v>BOS</v>
      </c>
      <c r="L202" t="s">
        <v>95</v>
      </c>
      <c r="M202" t="s">
        <v>34</v>
      </c>
      <c r="N202">
        <v>28</v>
      </c>
      <c r="O202">
        <v>532</v>
      </c>
      <c r="P202">
        <v>145</v>
      </c>
      <c r="Q202">
        <v>474</v>
      </c>
      <c r="R202">
        <v>63</v>
      </c>
      <c r="S202">
        <v>73</v>
      </c>
      <c r="T202">
        <v>25</v>
      </c>
      <c r="U202">
        <v>4</v>
      </c>
      <c r="V202">
        <v>15</v>
      </c>
      <c r="W202">
        <v>117</v>
      </c>
      <c r="X202">
        <v>195</v>
      </c>
      <c r="Y202">
        <v>60</v>
      </c>
      <c r="Z202">
        <v>47</v>
      </c>
      <c r="AA202">
        <v>3</v>
      </c>
      <c r="AB202">
        <v>8</v>
      </c>
      <c r="AC202">
        <v>127</v>
      </c>
      <c r="AD202">
        <v>1</v>
      </c>
      <c r="AE202">
        <v>2</v>
      </c>
      <c r="AF202">
        <v>11</v>
      </c>
      <c r="AG202">
        <v>7</v>
      </c>
      <c r="AH202">
        <v>2</v>
      </c>
      <c r="AI202" s="5">
        <v>0.247</v>
      </c>
      <c r="AJ202" s="5">
        <v>0.32400000000000001</v>
      </c>
      <c r="AK202" s="5">
        <v>0.41099999999999998</v>
      </c>
      <c r="AL202" s="5">
        <v>0.25600000000000001</v>
      </c>
      <c r="AM202" s="5">
        <v>0.30299999999999999</v>
      </c>
      <c r="AN202">
        <v>0.2</v>
      </c>
      <c r="AO202">
        <v>0.78</v>
      </c>
      <c r="AP202">
        <v>14.28</v>
      </c>
      <c r="AQ202">
        <v>-2.09</v>
      </c>
      <c r="AR202">
        <v>-4.3</v>
      </c>
      <c r="AS202" t="s">
        <v>1015</v>
      </c>
      <c r="AT202">
        <v>0.9</v>
      </c>
      <c r="AU202">
        <v>13.2</v>
      </c>
      <c r="AV202">
        <v>0</v>
      </c>
      <c r="AW202">
        <v>45</v>
      </c>
      <c r="AX202">
        <v>8</v>
      </c>
      <c r="AY202">
        <v>17</v>
      </c>
      <c r="AZ202" t="s">
        <v>3758</v>
      </c>
      <c r="BA202">
        <v>95</v>
      </c>
      <c r="BB202" t="s">
        <v>35</v>
      </c>
      <c r="BC202" t="s">
        <v>36</v>
      </c>
      <c r="BD202" s="4">
        <f>HYPERLINK("http://mlb.mlb.com/team/player.jsp?player_id=598265",598265)</f>
        <v>598265</v>
      </c>
      <c r="BE202">
        <v>577</v>
      </c>
      <c r="BF202">
        <v>1577</v>
      </c>
      <c r="BG202">
        <v>541</v>
      </c>
      <c r="BH202">
        <v>482</v>
      </c>
    </row>
    <row r="203" spans="1:60" x14ac:dyDescent="0.3">
      <c r="A203" s="4">
        <f>HYPERLINK("http://legacy.baseballprospectus.com/p/48318",48318)</f>
        <v>48318</v>
      </c>
      <c r="B203" t="s">
        <v>543</v>
      </c>
      <c r="C203" t="s">
        <v>327</v>
      </c>
      <c r="D203" s="10">
        <v>31943</v>
      </c>
      <c r="E203" t="s">
        <v>58</v>
      </c>
      <c r="F203" t="s">
        <v>33</v>
      </c>
      <c r="G203" t="s">
        <v>33</v>
      </c>
      <c r="H203">
        <v>72</v>
      </c>
      <c r="I203">
        <v>195</v>
      </c>
      <c r="J203">
        <v>2018</v>
      </c>
      <c r="K203" s="4" t="str">
        <f>HYPERLINK("http://legacy.baseballprospectus.com/fantasy/dc/index.php?tm=BOS","BOS")</f>
        <v>BOS</v>
      </c>
      <c r="L203" t="s">
        <v>95</v>
      </c>
      <c r="M203" t="s">
        <v>34</v>
      </c>
      <c r="N203">
        <v>31</v>
      </c>
      <c r="O203">
        <v>381</v>
      </c>
      <c r="P203">
        <v>100</v>
      </c>
      <c r="Q203">
        <v>356</v>
      </c>
      <c r="R203">
        <v>45</v>
      </c>
      <c r="S203">
        <v>70</v>
      </c>
      <c r="T203">
        <v>19</v>
      </c>
      <c r="U203">
        <v>2</v>
      </c>
      <c r="V203">
        <v>7</v>
      </c>
      <c r="W203">
        <v>98</v>
      </c>
      <c r="X203">
        <v>142</v>
      </c>
      <c r="Y203">
        <v>38</v>
      </c>
      <c r="Z203">
        <v>18</v>
      </c>
      <c r="AA203">
        <v>1</v>
      </c>
      <c r="AB203">
        <v>3</v>
      </c>
      <c r="AC203">
        <v>56</v>
      </c>
      <c r="AD203">
        <v>2</v>
      </c>
      <c r="AE203">
        <v>2</v>
      </c>
      <c r="AF203">
        <v>8</v>
      </c>
      <c r="AG203">
        <v>20</v>
      </c>
      <c r="AH203">
        <v>6</v>
      </c>
      <c r="AI203" s="5">
        <v>0.27500000000000002</v>
      </c>
      <c r="AJ203" s="5">
        <v>0.314</v>
      </c>
      <c r="AK203" s="5">
        <v>0.39900000000000002</v>
      </c>
      <c r="AL203" s="5">
        <v>0.25</v>
      </c>
      <c r="AM203" s="5">
        <v>0.31</v>
      </c>
      <c r="AN203">
        <v>2.1</v>
      </c>
      <c r="AO203">
        <v>1.18</v>
      </c>
      <c r="AP203">
        <v>10.23</v>
      </c>
      <c r="AQ203">
        <v>-3.86</v>
      </c>
      <c r="AR203">
        <v>-1.1000000000000001</v>
      </c>
      <c r="AS203" t="s">
        <v>4891</v>
      </c>
      <c r="AT203">
        <v>0.9</v>
      </c>
      <c r="AU203">
        <v>9.6</v>
      </c>
      <c r="AV203">
        <v>2</v>
      </c>
      <c r="AW203">
        <v>32</v>
      </c>
      <c r="AX203">
        <v>12</v>
      </c>
      <c r="AY203">
        <v>14</v>
      </c>
      <c r="AZ203" t="s">
        <v>3663</v>
      </c>
      <c r="BA203">
        <v>91</v>
      </c>
      <c r="BB203" t="s">
        <v>35</v>
      </c>
      <c r="BC203" t="s">
        <v>36</v>
      </c>
      <c r="BD203" s="4">
        <f>HYPERLINK("http://mlb.mlb.com/team/player.jsp?player_id=456488",456488)</f>
        <v>456488</v>
      </c>
      <c r="BE203">
        <v>699</v>
      </c>
      <c r="BF203">
        <v>1699</v>
      </c>
      <c r="BG203">
        <v>491</v>
      </c>
      <c r="BH203">
        <v>467</v>
      </c>
    </row>
    <row r="204" spans="1:60" x14ac:dyDescent="0.3">
      <c r="A204" s="4">
        <f>HYPERLINK("http://legacy.baseballprospectus.com/p/70339",70339)</f>
        <v>70339</v>
      </c>
      <c r="B204" t="s">
        <v>1113</v>
      </c>
      <c r="C204" t="s">
        <v>586</v>
      </c>
      <c r="D204" s="10">
        <v>34440</v>
      </c>
      <c r="E204" t="s">
        <v>65</v>
      </c>
      <c r="F204" t="s">
        <v>33</v>
      </c>
      <c r="G204" t="s">
        <v>33</v>
      </c>
      <c r="H204">
        <v>74</v>
      </c>
      <c r="I204">
        <v>190</v>
      </c>
      <c r="J204">
        <v>2018</v>
      </c>
      <c r="K204" s="4" t="str">
        <f>HYPERLINK("http://legacy.baseballprospectus.com/fantasy/dc/index.php?tm=CHN","CHN")</f>
        <v>CHN</v>
      </c>
      <c r="L204" t="s">
        <v>100</v>
      </c>
      <c r="M204" t="s">
        <v>34</v>
      </c>
      <c r="N204">
        <v>24</v>
      </c>
      <c r="O204">
        <v>475</v>
      </c>
      <c r="P204">
        <v>154</v>
      </c>
      <c r="Q204">
        <v>444</v>
      </c>
      <c r="R204">
        <v>53</v>
      </c>
      <c r="S204">
        <v>81</v>
      </c>
      <c r="T204">
        <v>26</v>
      </c>
      <c r="U204">
        <v>2</v>
      </c>
      <c r="V204">
        <v>12</v>
      </c>
      <c r="W204">
        <v>121</v>
      </c>
      <c r="X204">
        <v>187</v>
      </c>
      <c r="Y204">
        <v>53</v>
      </c>
      <c r="Z204">
        <v>23</v>
      </c>
      <c r="AA204">
        <v>2</v>
      </c>
      <c r="AB204">
        <v>3</v>
      </c>
      <c r="AC204">
        <v>75</v>
      </c>
      <c r="AD204">
        <v>3</v>
      </c>
      <c r="AE204">
        <v>2</v>
      </c>
      <c r="AF204">
        <v>12</v>
      </c>
      <c r="AG204">
        <v>4</v>
      </c>
      <c r="AH204">
        <v>1</v>
      </c>
      <c r="AI204" s="5">
        <v>0.27300000000000002</v>
      </c>
      <c r="AJ204" s="5">
        <v>0.311</v>
      </c>
      <c r="AK204" s="5">
        <v>0.42099999999999999</v>
      </c>
      <c r="AL204" s="5">
        <v>0.252</v>
      </c>
      <c r="AM204" s="5">
        <v>0.30199999999999999</v>
      </c>
      <c r="AN204">
        <v>-0.3</v>
      </c>
      <c r="AO204">
        <v>0.44</v>
      </c>
      <c r="AP204">
        <v>12.75</v>
      </c>
      <c r="AQ204">
        <v>-4.18</v>
      </c>
      <c r="AR204">
        <v>0.4</v>
      </c>
      <c r="AS204" t="s">
        <v>1022</v>
      </c>
      <c r="AT204">
        <v>0.9</v>
      </c>
      <c r="AU204">
        <v>8.6999999999999993</v>
      </c>
      <c r="AV204">
        <v>8</v>
      </c>
      <c r="AW204">
        <v>45</v>
      </c>
      <c r="AX204">
        <v>5</v>
      </c>
      <c r="AY204">
        <v>14</v>
      </c>
      <c r="AZ204" t="s">
        <v>3759</v>
      </c>
      <c r="BA204">
        <v>82</v>
      </c>
      <c r="BB204" t="s">
        <v>35</v>
      </c>
      <c r="BC204" t="s">
        <v>36</v>
      </c>
      <c r="BD204" s="4">
        <f>HYPERLINK("http://mlb.mlb.com/team/player.jsp?player_id=546991",546991)</f>
        <v>546991</v>
      </c>
      <c r="BE204">
        <v>1612</v>
      </c>
      <c r="BF204">
        <v>612</v>
      </c>
      <c r="BG204">
        <v>323</v>
      </c>
      <c r="BH204">
        <v>299</v>
      </c>
    </row>
    <row r="205" spans="1:60" x14ac:dyDescent="0.3">
      <c r="A205" s="4">
        <f>HYPERLINK("http://legacy.baseballprospectus.com/p/56196",56196)</f>
        <v>56196</v>
      </c>
      <c r="B205" t="s">
        <v>310</v>
      </c>
      <c r="C205" t="s">
        <v>311</v>
      </c>
      <c r="D205" s="10">
        <v>31446</v>
      </c>
      <c r="E205" t="s">
        <v>50</v>
      </c>
      <c r="F205" t="s">
        <v>9</v>
      </c>
      <c r="G205" t="s">
        <v>33</v>
      </c>
      <c r="H205">
        <v>76</v>
      </c>
      <c r="I205">
        <v>255</v>
      </c>
      <c r="J205">
        <v>2018</v>
      </c>
      <c r="K205" s="4" t="str">
        <f>HYPERLINK("http://legacy.baseballprospectus.com/fantasy/dc/index.php?tm=KCA","KCA")</f>
        <v>KCA</v>
      </c>
      <c r="L205" t="s">
        <v>95</v>
      </c>
      <c r="M205" t="s">
        <v>34</v>
      </c>
      <c r="N205">
        <v>32</v>
      </c>
      <c r="O205">
        <v>506</v>
      </c>
      <c r="P205">
        <v>127</v>
      </c>
      <c r="Q205">
        <v>436</v>
      </c>
      <c r="R205">
        <v>66</v>
      </c>
      <c r="S205">
        <v>57</v>
      </c>
      <c r="T205">
        <v>24</v>
      </c>
      <c r="U205">
        <v>1</v>
      </c>
      <c r="V205">
        <v>23</v>
      </c>
      <c r="W205">
        <v>105</v>
      </c>
      <c r="X205">
        <v>200</v>
      </c>
      <c r="Y205">
        <v>73</v>
      </c>
      <c r="Z205">
        <v>59</v>
      </c>
      <c r="AA205">
        <v>5</v>
      </c>
      <c r="AB205">
        <v>8</v>
      </c>
      <c r="AC205">
        <v>122</v>
      </c>
      <c r="AD205">
        <v>0</v>
      </c>
      <c r="AE205">
        <v>3</v>
      </c>
      <c r="AF205">
        <v>11</v>
      </c>
      <c r="AG205">
        <v>1</v>
      </c>
      <c r="AH205">
        <v>1</v>
      </c>
      <c r="AI205" s="5">
        <v>0.24099999999999999</v>
      </c>
      <c r="AJ205" s="5">
        <v>0.34</v>
      </c>
      <c r="AK205" s="5">
        <v>0.45900000000000002</v>
      </c>
      <c r="AL205" s="5">
        <v>0.27200000000000002</v>
      </c>
      <c r="AM205" s="5">
        <v>0.27600000000000002</v>
      </c>
      <c r="AN205">
        <v>-1.3</v>
      </c>
      <c r="AO205">
        <v>-5.68</v>
      </c>
      <c r="AP205">
        <v>13.58</v>
      </c>
      <c r="AQ205">
        <v>6.57</v>
      </c>
      <c r="AR205">
        <v>-3.8</v>
      </c>
      <c r="AS205" t="s">
        <v>4884</v>
      </c>
      <c r="AT205">
        <v>0.9</v>
      </c>
      <c r="AU205">
        <v>13.2</v>
      </c>
      <c r="AV205">
        <v>1</v>
      </c>
      <c r="AW205">
        <v>24</v>
      </c>
      <c r="AX205">
        <v>6</v>
      </c>
      <c r="AY205">
        <v>9</v>
      </c>
      <c r="AZ205" t="s">
        <v>3767</v>
      </c>
      <c r="BA205">
        <v>92</v>
      </c>
      <c r="BB205" t="s">
        <v>35</v>
      </c>
      <c r="BC205" t="s">
        <v>36</v>
      </c>
      <c r="BD205" s="4">
        <f>HYPERLINK("http://mlb.mlb.com/team/player.jsp?player_id=446263",446263)</f>
        <v>446263</v>
      </c>
      <c r="BE205">
        <v>0</v>
      </c>
      <c r="BF205">
        <v>0</v>
      </c>
      <c r="BG205">
        <v>491</v>
      </c>
      <c r="BH205">
        <v>423</v>
      </c>
    </row>
    <row r="206" spans="1:60" x14ac:dyDescent="0.3">
      <c r="A206" s="4">
        <f>HYPERLINK("http://legacy.baseballprospectus.com/p/67175",67175)</f>
        <v>67175</v>
      </c>
      <c r="B206" t="s">
        <v>1817</v>
      </c>
      <c r="C206" t="s">
        <v>1818</v>
      </c>
      <c r="D206" s="10">
        <v>32532</v>
      </c>
      <c r="E206" t="s">
        <v>58</v>
      </c>
      <c r="F206" t="s">
        <v>33</v>
      </c>
      <c r="G206" t="s">
        <v>33</v>
      </c>
      <c r="H206">
        <v>72</v>
      </c>
      <c r="I206">
        <v>195</v>
      </c>
      <c r="J206">
        <v>2018</v>
      </c>
      <c r="K206" s="4" t="str">
        <f>HYPERLINK("http://legacy.baseballprospectus.com/fantasy/dc/index.php?tm=KCA","KCA")</f>
        <v>KCA</v>
      </c>
      <c r="L206" t="s">
        <v>95</v>
      </c>
      <c r="M206" t="s">
        <v>34</v>
      </c>
      <c r="N206">
        <v>29</v>
      </c>
      <c r="O206">
        <v>330</v>
      </c>
      <c r="P206">
        <v>82</v>
      </c>
      <c r="Q206">
        <v>306</v>
      </c>
      <c r="R206">
        <v>40</v>
      </c>
      <c r="S206">
        <v>55</v>
      </c>
      <c r="T206">
        <v>17</v>
      </c>
      <c r="U206">
        <v>2</v>
      </c>
      <c r="V206">
        <v>7</v>
      </c>
      <c r="W206">
        <v>81</v>
      </c>
      <c r="X206">
        <v>123</v>
      </c>
      <c r="Y206">
        <v>32</v>
      </c>
      <c r="Z206">
        <v>18</v>
      </c>
      <c r="AA206">
        <v>1</v>
      </c>
      <c r="AB206">
        <v>2</v>
      </c>
      <c r="AC206">
        <v>55</v>
      </c>
      <c r="AD206">
        <v>1</v>
      </c>
      <c r="AE206">
        <v>2</v>
      </c>
      <c r="AF206">
        <v>7</v>
      </c>
      <c r="AG206">
        <v>15</v>
      </c>
      <c r="AH206">
        <v>4</v>
      </c>
      <c r="AI206" s="5">
        <v>0.26500000000000001</v>
      </c>
      <c r="AJ206" s="5">
        <v>0.308</v>
      </c>
      <c r="AK206" s="5">
        <v>0.40200000000000002</v>
      </c>
      <c r="AL206" s="5">
        <v>0.246</v>
      </c>
      <c r="AM206" s="5">
        <v>0.29799999999999999</v>
      </c>
      <c r="AN206">
        <v>1.7</v>
      </c>
      <c r="AO206">
        <v>1.02</v>
      </c>
      <c r="AP206">
        <v>8.86</v>
      </c>
      <c r="AQ206">
        <v>-4.9800000000000004</v>
      </c>
      <c r="AR206">
        <v>2.1</v>
      </c>
      <c r="AS206" t="s">
        <v>2189</v>
      </c>
      <c r="AT206">
        <v>0.9</v>
      </c>
      <c r="AU206">
        <v>6.6</v>
      </c>
      <c r="AV206">
        <v>4</v>
      </c>
      <c r="AW206">
        <v>26</v>
      </c>
      <c r="AX206">
        <v>24</v>
      </c>
      <c r="AY206">
        <v>29</v>
      </c>
      <c r="AZ206" t="s">
        <v>1924</v>
      </c>
      <c r="BA206">
        <v>73</v>
      </c>
      <c r="BB206" t="s">
        <v>35</v>
      </c>
      <c r="BC206" t="s">
        <v>36</v>
      </c>
      <c r="BD206" s="4">
        <f>HYPERLINK("http://mlb.mlb.com/team/player.jsp?player_id=593160",593160)</f>
        <v>593160</v>
      </c>
      <c r="BE206">
        <v>445</v>
      </c>
      <c r="BF206">
        <v>1445</v>
      </c>
      <c r="BG206">
        <v>630</v>
      </c>
      <c r="BH206">
        <v>587</v>
      </c>
    </row>
    <row r="207" spans="1:60" x14ac:dyDescent="0.3">
      <c r="A207" s="4">
        <f>HYPERLINK("http://legacy.baseballprospectus.com/p/59660",59660)</f>
        <v>59660</v>
      </c>
      <c r="B207" t="s">
        <v>420</v>
      </c>
      <c r="C207" t="s">
        <v>1387</v>
      </c>
      <c r="D207" s="10">
        <v>33474</v>
      </c>
      <c r="E207" t="s">
        <v>59</v>
      </c>
      <c r="F207" t="s">
        <v>33</v>
      </c>
      <c r="G207" t="s">
        <v>33</v>
      </c>
      <c r="H207">
        <v>71</v>
      </c>
      <c r="I207">
        <v>200</v>
      </c>
      <c r="J207">
        <v>2018</v>
      </c>
      <c r="K207" s="4" t="str">
        <f>HYPERLINK("http://legacy.baseballprospectus.com/fantasy/dc/index.php?tm=LAN","LAN")</f>
        <v>LAN</v>
      </c>
      <c r="L207" t="s">
        <v>100</v>
      </c>
      <c r="M207" t="s">
        <v>34</v>
      </c>
      <c r="N207">
        <v>26</v>
      </c>
      <c r="O207">
        <v>359</v>
      </c>
      <c r="P207">
        <v>148</v>
      </c>
      <c r="Q207">
        <v>323</v>
      </c>
      <c r="R207">
        <v>41</v>
      </c>
      <c r="S207">
        <v>47</v>
      </c>
      <c r="T207">
        <v>18</v>
      </c>
      <c r="U207">
        <v>2</v>
      </c>
      <c r="V207">
        <v>11</v>
      </c>
      <c r="W207">
        <v>78</v>
      </c>
      <c r="X207">
        <v>133</v>
      </c>
      <c r="Y207">
        <v>41</v>
      </c>
      <c r="Z207">
        <v>31</v>
      </c>
      <c r="AA207">
        <v>1</v>
      </c>
      <c r="AB207">
        <v>2</v>
      </c>
      <c r="AC207">
        <v>74</v>
      </c>
      <c r="AD207">
        <v>1</v>
      </c>
      <c r="AE207">
        <v>2</v>
      </c>
      <c r="AF207">
        <v>8</v>
      </c>
      <c r="AG207">
        <v>3</v>
      </c>
      <c r="AH207">
        <v>1</v>
      </c>
      <c r="AI207" s="5">
        <v>0.24099999999999999</v>
      </c>
      <c r="AJ207" s="5">
        <v>0.31</v>
      </c>
      <c r="AK207" s="5">
        <v>0.41199999999999998</v>
      </c>
      <c r="AL207" s="5">
        <v>0.253</v>
      </c>
      <c r="AM207" s="5">
        <v>0.27700000000000002</v>
      </c>
      <c r="AN207">
        <v>-0.3</v>
      </c>
      <c r="AO207">
        <v>-0.13</v>
      </c>
      <c r="AP207">
        <v>9.64</v>
      </c>
      <c r="AQ207">
        <v>-2.81</v>
      </c>
      <c r="AR207">
        <v>2.9</v>
      </c>
      <c r="AS207" t="s">
        <v>4888</v>
      </c>
      <c r="AT207">
        <v>0.9</v>
      </c>
      <c r="AU207">
        <v>6.4</v>
      </c>
      <c r="AV207">
        <v>8</v>
      </c>
      <c r="AW207">
        <v>57</v>
      </c>
      <c r="AX207">
        <v>7</v>
      </c>
      <c r="AY207">
        <v>15</v>
      </c>
      <c r="AZ207" t="s">
        <v>3696</v>
      </c>
      <c r="BA207">
        <v>99</v>
      </c>
      <c r="BB207" t="s">
        <v>35</v>
      </c>
      <c r="BC207" t="s">
        <v>36</v>
      </c>
      <c r="BD207" s="4">
        <f>HYPERLINK("http://mlb.mlb.com/team/player.jsp?player_id=571771",571771)</f>
        <v>571771</v>
      </c>
      <c r="BE207">
        <v>1534</v>
      </c>
      <c r="BF207">
        <v>534</v>
      </c>
      <c r="BG207">
        <v>342</v>
      </c>
      <c r="BH207">
        <v>297</v>
      </c>
    </row>
    <row r="208" spans="1:60" x14ac:dyDescent="0.3">
      <c r="A208" s="4">
        <f>HYPERLINK("http://legacy.baseballprospectus.com/p/67072",67072)</f>
        <v>67072</v>
      </c>
      <c r="B208" t="s">
        <v>558</v>
      </c>
      <c r="C208" t="s">
        <v>559</v>
      </c>
      <c r="D208" s="10">
        <v>33715</v>
      </c>
      <c r="E208" t="s">
        <v>65</v>
      </c>
      <c r="F208" t="s">
        <v>9</v>
      </c>
      <c r="G208" t="s">
        <v>9</v>
      </c>
      <c r="H208">
        <v>73</v>
      </c>
      <c r="I208">
        <v>220</v>
      </c>
      <c r="J208">
        <v>2018</v>
      </c>
      <c r="K208" s="4" t="str">
        <f>HYPERLINK("http://legacy.baseballprospectus.com/fantasy/dc/index.php?tm=LAN","LAN")</f>
        <v>LAN</v>
      </c>
      <c r="L208" t="s">
        <v>100</v>
      </c>
      <c r="M208" t="s">
        <v>34</v>
      </c>
      <c r="N208">
        <v>26</v>
      </c>
      <c r="O208">
        <v>499</v>
      </c>
      <c r="P208">
        <v>154</v>
      </c>
      <c r="Q208">
        <v>417</v>
      </c>
      <c r="R208">
        <v>70</v>
      </c>
      <c r="S208">
        <v>52</v>
      </c>
      <c r="T208">
        <v>19</v>
      </c>
      <c r="U208">
        <v>1</v>
      </c>
      <c r="V208">
        <v>23</v>
      </c>
      <c r="W208">
        <v>95</v>
      </c>
      <c r="X208">
        <v>185</v>
      </c>
      <c r="Y208">
        <v>70</v>
      </c>
      <c r="Z208">
        <v>72</v>
      </c>
      <c r="AA208">
        <v>3</v>
      </c>
      <c r="AB208">
        <v>6</v>
      </c>
      <c r="AC208">
        <v>136</v>
      </c>
      <c r="AD208">
        <v>1</v>
      </c>
      <c r="AE208">
        <v>2</v>
      </c>
      <c r="AF208">
        <v>8</v>
      </c>
      <c r="AG208">
        <v>7</v>
      </c>
      <c r="AH208">
        <v>4</v>
      </c>
      <c r="AI208" s="5">
        <v>0.22800000000000001</v>
      </c>
      <c r="AJ208" s="5">
        <v>0.34799999999999998</v>
      </c>
      <c r="AK208" s="5">
        <v>0.44400000000000001</v>
      </c>
      <c r="AL208" s="5">
        <v>0.27700000000000002</v>
      </c>
      <c r="AM208" s="5">
        <v>0.27200000000000002</v>
      </c>
      <c r="AN208">
        <v>-1</v>
      </c>
      <c r="AO208">
        <v>0.23</v>
      </c>
      <c r="AP208">
        <v>13.4</v>
      </c>
      <c r="AQ208">
        <v>8.92</v>
      </c>
      <c r="AR208">
        <v>-12.7</v>
      </c>
      <c r="AS208" t="s">
        <v>4845</v>
      </c>
      <c r="AT208">
        <v>0.9</v>
      </c>
      <c r="AU208">
        <v>21.6</v>
      </c>
      <c r="AV208">
        <v>6</v>
      </c>
      <c r="AW208">
        <v>61</v>
      </c>
      <c r="AX208">
        <v>2</v>
      </c>
      <c r="AY208">
        <v>5</v>
      </c>
      <c r="AZ208" t="s">
        <v>3734</v>
      </c>
      <c r="BA208">
        <v>97</v>
      </c>
      <c r="BB208" t="s">
        <v>35</v>
      </c>
      <c r="BC208" t="s">
        <v>36</v>
      </c>
      <c r="BD208" s="4">
        <f>HYPERLINK("http://mlb.mlb.com/team/player.jsp?player_id=592626",592626)</f>
        <v>592626</v>
      </c>
      <c r="BE208">
        <v>1610</v>
      </c>
      <c r="BF208">
        <v>610</v>
      </c>
      <c r="BG208">
        <v>323</v>
      </c>
      <c r="BH208">
        <v>273</v>
      </c>
    </row>
    <row r="209" spans="1:60" x14ac:dyDescent="0.3">
      <c r="A209" s="4">
        <f>HYPERLINK("http://legacy.baseballprospectus.com/p/60423",60423)</f>
        <v>60423</v>
      </c>
      <c r="B209" t="s">
        <v>620</v>
      </c>
      <c r="C209" t="s">
        <v>621</v>
      </c>
      <c r="D209" s="10">
        <v>33821</v>
      </c>
      <c r="E209" t="s">
        <v>57</v>
      </c>
      <c r="F209" t="s">
        <v>33</v>
      </c>
      <c r="G209" t="s">
        <v>33</v>
      </c>
      <c r="H209">
        <v>77</v>
      </c>
      <c r="I209">
        <v>220</v>
      </c>
      <c r="J209">
        <v>2018</v>
      </c>
      <c r="K209" s="4" t="str">
        <f>HYPERLINK("http://legacy.baseballprospectus.com/fantasy/dc/index.php?tm=MIL","MIL")</f>
        <v>MIL</v>
      </c>
      <c r="L209" t="s">
        <v>100</v>
      </c>
      <c r="M209" t="s">
        <v>34</v>
      </c>
      <c r="N209">
        <v>25</v>
      </c>
      <c r="O209">
        <v>315</v>
      </c>
      <c r="P209">
        <v>132</v>
      </c>
      <c r="Q209">
        <v>275</v>
      </c>
      <c r="R209">
        <v>43</v>
      </c>
      <c r="S209">
        <v>43</v>
      </c>
      <c r="T209">
        <v>14</v>
      </c>
      <c r="U209">
        <v>1</v>
      </c>
      <c r="V209">
        <v>13</v>
      </c>
      <c r="W209">
        <v>71</v>
      </c>
      <c r="X209">
        <v>126</v>
      </c>
      <c r="Y209">
        <v>44</v>
      </c>
      <c r="Z209">
        <v>36</v>
      </c>
      <c r="AA209">
        <v>1</v>
      </c>
      <c r="AB209">
        <v>3</v>
      </c>
      <c r="AC209">
        <v>98</v>
      </c>
      <c r="AD209">
        <v>0</v>
      </c>
      <c r="AE209">
        <v>1</v>
      </c>
      <c r="AF209">
        <v>6</v>
      </c>
      <c r="AG209">
        <v>5</v>
      </c>
      <c r="AH209">
        <v>2</v>
      </c>
      <c r="AI209" s="5">
        <v>0.25800000000000001</v>
      </c>
      <c r="AJ209" s="5">
        <v>0.34899999999999998</v>
      </c>
      <c r="AK209" s="5">
        <v>0.45800000000000002</v>
      </c>
      <c r="AL209" s="5">
        <v>0.27800000000000002</v>
      </c>
      <c r="AM209" s="5">
        <v>0.34599999999999997</v>
      </c>
      <c r="AN209">
        <v>-0.3</v>
      </c>
      <c r="AO209">
        <v>-2.0099999999999998</v>
      </c>
      <c r="AP209">
        <v>8.4600000000000009</v>
      </c>
      <c r="AQ209">
        <v>6.03</v>
      </c>
      <c r="AR209">
        <v>-3.6</v>
      </c>
      <c r="AS209" t="s">
        <v>3745</v>
      </c>
      <c r="AT209">
        <v>0.9</v>
      </c>
      <c r="AU209">
        <v>12.2</v>
      </c>
      <c r="AV209">
        <v>2</v>
      </c>
      <c r="AW209">
        <v>53</v>
      </c>
      <c r="AX209">
        <v>4</v>
      </c>
      <c r="AY209">
        <v>7</v>
      </c>
      <c r="AZ209" t="s">
        <v>3790</v>
      </c>
      <c r="BA209">
        <v>92</v>
      </c>
      <c r="BB209" t="s">
        <v>35</v>
      </c>
      <c r="BC209" t="s">
        <v>36</v>
      </c>
      <c r="BD209" s="4">
        <f>HYPERLINK("http://mlb.mlb.com/team/player.jsp?player_id=570267",570267)</f>
        <v>570267</v>
      </c>
      <c r="BE209">
        <v>1582</v>
      </c>
      <c r="BF209">
        <v>582</v>
      </c>
      <c r="BG209">
        <v>607</v>
      </c>
      <c r="BH209">
        <v>525</v>
      </c>
    </row>
    <row r="210" spans="1:60" x14ac:dyDescent="0.3">
      <c r="A210" s="4">
        <f>HYPERLINK("http://legacy.baseballprospectus.com/p/59688",59688)</f>
        <v>59688</v>
      </c>
      <c r="B210" t="s">
        <v>681</v>
      </c>
      <c r="C210" t="s">
        <v>355</v>
      </c>
      <c r="D210" s="10">
        <v>33360</v>
      </c>
      <c r="E210" t="s">
        <v>58</v>
      </c>
      <c r="F210" t="s">
        <v>37</v>
      </c>
      <c r="G210" t="s">
        <v>33</v>
      </c>
      <c r="H210">
        <v>73</v>
      </c>
      <c r="I210">
        <v>215</v>
      </c>
      <c r="J210">
        <v>2018</v>
      </c>
      <c r="K210" s="4" t="str">
        <f>HYPERLINK("http://legacy.baseballprospectus.com/fantasy/dc/index.php?tm=MIL","MIL")</f>
        <v>MIL</v>
      </c>
      <c r="L210" t="s">
        <v>100</v>
      </c>
      <c r="M210" t="s">
        <v>34</v>
      </c>
      <c r="N210">
        <v>27</v>
      </c>
      <c r="O210">
        <v>465</v>
      </c>
      <c r="P210">
        <v>131</v>
      </c>
      <c r="Q210">
        <v>414</v>
      </c>
      <c r="R210">
        <v>69</v>
      </c>
      <c r="S210">
        <v>69</v>
      </c>
      <c r="T210">
        <v>20</v>
      </c>
      <c r="U210">
        <v>3</v>
      </c>
      <c r="V210">
        <v>11</v>
      </c>
      <c r="W210">
        <v>103</v>
      </c>
      <c r="X210">
        <v>162</v>
      </c>
      <c r="Y210">
        <v>41</v>
      </c>
      <c r="Z210">
        <v>41</v>
      </c>
      <c r="AA210">
        <v>2</v>
      </c>
      <c r="AB210">
        <v>2</v>
      </c>
      <c r="AC210">
        <v>128</v>
      </c>
      <c r="AD210">
        <v>6</v>
      </c>
      <c r="AE210">
        <v>2</v>
      </c>
      <c r="AF210">
        <v>10</v>
      </c>
      <c r="AG210">
        <v>33</v>
      </c>
      <c r="AH210">
        <v>10</v>
      </c>
      <c r="AI210" s="5">
        <v>0.249</v>
      </c>
      <c r="AJ210" s="5">
        <v>0.318</v>
      </c>
      <c r="AK210" s="5">
        <v>0.39100000000000001</v>
      </c>
      <c r="AL210" s="5">
        <v>0.24399999999999999</v>
      </c>
      <c r="AM210" s="5">
        <v>0.32300000000000001</v>
      </c>
      <c r="AN210">
        <v>3.6</v>
      </c>
      <c r="AO210">
        <v>1.94</v>
      </c>
      <c r="AP210">
        <v>12.48</v>
      </c>
      <c r="AQ210">
        <v>-7.69</v>
      </c>
      <c r="AR210">
        <v>-1.3</v>
      </c>
      <c r="AS210" t="s">
        <v>4068</v>
      </c>
      <c r="AT210">
        <v>0.9</v>
      </c>
      <c r="AU210">
        <v>10.3</v>
      </c>
      <c r="AV210">
        <v>6</v>
      </c>
      <c r="AW210">
        <v>34</v>
      </c>
      <c r="AX210">
        <v>11</v>
      </c>
      <c r="AY210">
        <v>17</v>
      </c>
      <c r="AZ210" t="s">
        <v>3832</v>
      </c>
      <c r="BA210">
        <v>92</v>
      </c>
      <c r="BB210" t="s">
        <v>35</v>
      </c>
      <c r="BC210" t="s">
        <v>36</v>
      </c>
      <c r="BD210" s="4">
        <f>HYPERLINK("http://mlb.mlb.com/team/player.jsp?player_id=542340",542340)</f>
        <v>542340</v>
      </c>
      <c r="BE210">
        <v>1458</v>
      </c>
      <c r="BF210">
        <v>458</v>
      </c>
      <c r="BG210">
        <v>436</v>
      </c>
      <c r="BH210">
        <v>403</v>
      </c>
    </row>
    <row r="211" spans="1:60" x14ac:dyDescent="0.3">
      <c r="A211" s="4">
        <f>HYPERLINK("http://legacy.baseballprospectus.com/p/67098",67098)</f>
        <v>67098</v>
      </c>
      <c r="B211" t="s">
        <v>609</v>
      </c>
      <c r="C211" t="s">
        <v>610</v>
      </c>
      <c r="D211" s="10">
        <v>33509</v>
      </c>
      <c r="E211" t="s">
        <v>59</v>
      </c>
      <c r="F211" t="s">
        <v>9</v>
      </c>
      <c r="G211" t="s">
        <v>33</v>
      </c>
      <c r="H211">
        <v>73</v>
      </c>
      <c r="I211">
        <v>180</v>
      </c>
      <c r="J211">
        <v>2018</v>
      </c>
      <c r="K211" s="4" t="str">
        <f>HYPERLINK("http://legacy.baseballprospectus.com/fantasy/dc/index.php?tm=MIN","MIN")</f>
        <v>MIN</v>
      </c>
      <c r="L211" t="s">
        <v>95</v>
      </c>
      <c r="M211" t="s">
        <v>34</v>
      </c>
      <c r="N211">
        <v>26</v>
      </c>
      <c r="O211">
        <v>586</v>
      </c>
      <c r="P211">
        <v>154</v>
      </c>
      <c r="Q211">
        <v>549</v>
      </c>
      <c r="R211">
        <v>73</v>
      </c>
      <c r="S211">
        <v>94</v>
      </c>
      <c r="T211">
        <v>28</v>
      </c>
      <c r="U211">
        <v>7</v>
      </c>
      <c r="V211">
        <v>22</v>
      </c>
      <c r="W211">
        <v>151</v>
      </c>
      <c r="X211">
        <v>259</v>
      </c>
      <c r="Y211">
        <v>79</v>
      </c>
      <c r="Z211">
        <v>29</v>
      </c>
      <c r="AA211">
        <v>4</v>
      </c>
      <c r="AB211">
        <v>2</v>
      </c>
      <c r="AC211">
        <v>125</v>
      </c>
      <c r="AD211">
        <v>3</v>
      </c>
      <c r="AE211">
        <v>3</v>
      </c>
      <c r="AF211">
        <v>11</v>
      </c>
      <c r="AG211">
        <v>10</v>
      </c>
      <c r="AH211">
        <v>6</v>
      </c>
      <c r="AI211" s="5">
        <v>0.27500000000000002</v>
      </c>
      <c r="AJ211" s="5">
        <v>0.312</v>
      </c>
      <c r="AK211" s="5">
        <v>0.47199999999999998</v>
      </c>
      <c r="AL211" s="5">
        <v>0.25700000000000001</v>
      </c>
      <c r="AM211" s="5">
        <v>0.314</v>
      </c>
      <c r="AN211">
        <v>-0.1</v>
      </c>
      <c r="AO211">
        <v>-1.28</v>
      </c>
      <c r="AP211">
        <v>15.73</v>
      </c>
      <c r="AQ211">
        <v>-1.77</v>
      </c>
      <c r="AR211">
        <v>-3.5</v>
      </c>
      <c r="AS211" t="s">
        <v>4850</v>
      </c>
      <c r="AT211">
        <v>0.9</v>
      </c>
      <c r="AU211">
        <v>12.6</v>
      </c>
      <c r="AV211">
        <v>6</v>
      </c>
      <c r="AW211">
        <v>59</v>
      </c>
      <c r="AX211">
        <v>2</v>
      </c>
      <c r="AY211">
        <v>13</v>
      </c>
      <c r="AZ211" t="s">
        <v>3791</v>
      </c>
      <c r="BA211">
        <v>94</v>
      </c>
      <c r="BB211" t="s">
        <v>35</v>
      </c>
      <c r="BC211" t="s">
        <v>36</v>
      </c>
      <c r="BD211" s="4">
        <f>HYPERLINK("http://mlb.mlb.com/team/player.jsp?player_id=592696",592696)</f>
        <v>592696</v>
      </c>
      <c r="BE211">
        <v>572</v>
      </c>
      <c r="BF211">
        <v>1572</v>
      </c>
      <c r="BG211">
        <v>589</v>
      </c>
      <c r="BH211">
        <v>542</v>
      </c>
    </row>
    <row r="212" spans="1:60" x14ac:dyDescent="0.3">
      <c r="A212" s="4">
        <f>HYPERLINK("http://legacy.baseballprospectus.com/p/57268",57268)</f>
        <v>57268</v>
      </c>
      <c r="B212" t="s">
        <v>1350</v>
      </c>
      <c r="C212" t="s">
        <v>119</v>
      </c>
      <c r="D212" s="10">
        <v>32833</v>
      </c>
      <c r="E212" t="s">
        <v>59</v>
      </c>
      <c r="F212" t="s">
        <v>33</v>
      </c>
      <c r="G212" t="s">
        <v>33</v>
      </c>
      <c r="H212">
        <v>72</v>
      </c>
      <c r="I212">
        <v>220</v>
      </c>
      <c r="J212">
        <v>2018</v>
      </c>
      <c r="K212" s="4" t="str">
        <f>HYPERLINK("http://legacy.baseballprospectus.com/fantasy/dc/index.php?tm=SDN","SDN")</f>
        <v>SDN</v>
      </c>
      <c r="L212" t="s">
        <v>100</v>
      </c>
      <c r="M212" t="s">
        <v>34</v>
      </c>
      <c r="N212">
        <v>28</v>
      </c>
      <c r="O212">
        <v>376</v>
      </c>
      <c r="P212">
        <v>146</v>
      </c>
      <c r="Q212">
        <v>346</v>
      </c>
      <c r="R212">
        <v>47</v>
      </c>
      <c r="S212">
        <v>60</v>
      </c>
      <c r="T212">
        <v>17</v>
      </c>
      <c r="U212">
        <v>4</v>
      </c>
      <c r="V212">
        <v>9</v>
      </c>
      <c r="W212">
        <v>90</v>
      </c>
      <c r="X212">
        <v>142</v>
      </c>
      <c r="Y212">
        <v>38</v>
      </c>
      <c r="Z212">
        <v>24</v>
      </c>
      <c r="AA212">
        <v>1</v>
      </c>
      <c r="AB212">
        <v>2</v>
      </c>
      <c r="AC212">
        <v>69</v>
      </c>
      <c r="AD212">
        <v>1</v>
      </c>
      <c r="AE212">
        <v>2</v>
      </c>
      <c r="AF212">
        <v>10</v>
      </c>
      <c r="AG212">
        <v>6</v>
      </c>
      <c r="AH212">
        <v>3</v>
      </c>
      <c r="AI212" s="5">
        <v>0.26</v>
      </c>
      <c r="AJ212" s="5">
        <v>0.31</v>
      </c>
      <c r="AK212" s="5">
        <v>0.41</v>
      </c>
      <c r="AL212" s="5">
        <v>0.25900000000000001</v>
      </c>
      <c r="AM212" s="5">
        <v>0.29799999999999999</v>
      </c>
      <c r="AN212">
        <v>0</v>
      </c>
      <c r="AO212">
        <v>-1.04</v>
      </c>
      <c r="AP212">
        <v>10.09</v>
      </c>
      <c r="AQ212">
        <v>-0.24</v>
      </c>
      <c r="AR212">
        <v>0.3</v>
      </c>
      <c r="AS212" t="s">
        <v>4989</v>
      </c>
      <c r="AT212">
        <v>0.9</v>
      </c>
      <c r="AU212">
        <v>8.8000000000000007</v>
      </c>
      <c r="AV212">
        <v>4</v>
      </c>
      <c r="AW212">
        <v>33</v>
      </c>
      <c r="AX212">
        <v>15</v>
      </c>
      <c r="AY212">
        <v>31</v>
      </c>
      <c r="AZ212" t="s">
        <v>3659</v>
      </c>
      <c r="BA212">
        <v>68</v>
      </c>
      <c r="BB212" t="s">
        <v>35</v>
      </c>
      <c r="BC212" t="s">
        <v>36</v>
      </c>
      <c r="BD212" s="4">
        <f>HYPERLINK("http://mlb.mlb.com/team/player.jsp?player_id=517369",517369)</f>
        <v>517369</v>
      </c>
      <c r="BE212">
        <v>1606</v>
      </c>
      <c r="BF212">
        <v>606</v>
      </c>
      <c r="BG212">
        <v>344</v>
      </c>
      <c r="BH212">
        <v>312</v>
      </c>
    </row>
    <row r="213" spans="1:60" x14ac:dyDescent="0.3">
      <c r="A213" s="4">
        <f>HYPERLINK("http://legacy.baseballprospectus.com/p/70301",70301)</f>
        <v>70301</v>
      </c>
      <c r="B213" t="s">
        <v>270</v>
      </c>
      <c r="C213" t="s">
        <v>271</v>
      </c>
      <c r="D213" s="10">
        <v>32878</v>
      </c>
      <c r="E213" t="s">
        <v>50</v>
      </c>
      <c r="F213" t="s">
        <v>33</v>
      </c>
      <c r="G213" t="s">
        <v>33</v>
      </c>
      <c r="H213">
        <v>76</v>
      </c>
      <c r="I213">
        <v>235</v>
      </c>
      <c r="J213">
        <v>2018</v>
      </c>
      <c r="K213" s="4" t="str">
        <f>HYPERLINK("http://legacy.baseballprospectus.com/fantasy/dc/index.php?tm=TBA","TBA")</f>
        <v>TBA</v>
      </c>
      <c r="L213" t="s">
        <v>95</v>
      </c>
      <c r="M213" t="s">
        <v>34</v>
      </c>
      <c r="N213">
        <v>28</v>
      </c>
      <c r="O213">
        <v>553</v>
      </c>
      <c r="P213">
        <v>150</v>
      </c>
      <c r="Q213">
        <v>510</v>
      </c>
      <c r="R213">
        <v>63</v>
      </c>
      <c r="S213">
        <v>80</v>
      </c>
      <c r="T213">
        <v>26</v>
      </c>
      <c r="U213">
        <v>2</v>
      </c>
      <c r="V213">
        <v>20</v>
      </c>
      <c r="W213">
        <v>128</v>
      </c>
      <c r="X213">
        <v>218</v>
      </c>
      <c r="Y213">
        <v>72</v>
      </c>
      <c r="Z213">
        <v>32</v>
      </c>
      <c r="AA213">
        <v>2</v>
      </c>
      <c r="AB213">
        <v>8</v>
      </c>
      <c r="AC213">
        <v>124</v>
      </c>
      <c r="AD213">
        <v>0</v>
      </c>
      <c r="AE213">
        <v>3</v>
      </c>
      <c r="AF213">
        <v>14</v>
      </c>
      <c r="AG213">
        <v>4</v>
      </c>
      <c r="AH213">
        <v>2</v>
      </c>
      <c r="AI213" s="5">
        <v>0.251</v>
      </c>
      <c r="AJ213" s="5">
        <v>0.30399999999999999</v>
      </c>
      <c r="AK213" s="5">
        <v>0.42699999999999999</v>
      </c>
      <c r="AL213" s="5">
        <v>0.26100000000000001</v>
      </c>
      <c r="AM213" s="5">
        <v>0.29199999999999998</v>
      </c>
      <c r="AN213">
        <v>-0.8</v>
      </c>
      <c r="AO213">
        <v>-5.68</v>
      </c>
      <c r="AP213">
        <v>14.85</v>
      </c>
      <c r="AQ213">
        <v>0.38</v>
      </c>
      <c r="AR213">
        <v>0.5</v>
      </c>
      <c r="AS213" t="s">
        <v>77</v>
      </c>
      <c r="AT213">
        <v>0.9</v>
      </c>
      <c r="AU213">
        <v>8.8000000000000007</v>
      </c>
      <c r="AV213">
        <v>2</v>
      </c>
      <c r="AW213">
        <v>41</v>
      </c>
      <c r="AX213">
        <v>2</v>
      </c>
      <c r="AY213">
        <v>14</v>
      </c>
      <c r="AZ213" t="s">
        <v>3824</v>
      </c>
      <c r="BA213">
        <v>93</v>
      </c>
      <c r="BB213" t="s">
        <v>35</v>
      </c>
      <c r="BC213" t="s">
        <v>36</v>
      </c>
      <c r="BD213" s="4">
        <f>HYPERLINK("http://mlb.mlb.com/team/player.jsp?player_id=543068",543068)</f>
        <v>543068</v>
      </c>
      <c r="BE213">
        <v>415</v>
      </c>
      <c r="BF213">
        <v>1415</v>
      </c>
      <c r="BG213">
        <v>373</v>
      </c>
      <c r="BH213">
        <v>339</v>
      </c>
    </row>
    <row r="214" spans="1:60" x14ac:dyDescent="0.3">
      <c r="A214" s="4">
        <f>HYPERLINK("http://legacy.baseballprospectus.com/p/36252",36252)</f>
        <v>36252</v>
      </c>
      <c r="B214" t="s">
        <v>387</v>
      </c>
      <c r="C214" t="s">
        <v>388</v>
      </c>
      <c r="D214" s="10">
        <v>29661</v>
      </c>
      <c r="E214" t="s">
        <v>59</v>
      </c>
      <c r="F214" t="s">
        <v>9</v>
      </c>
      <c r="G214" t="s">
        <v>33</v>
      </c>
      <c r="H214">
        <v>73</v>
      </c>
      <c r="I214">
        <v>200</v>
      </c>
      <c r="J214">
        <v>2018</v>
      </c>
      <c r="K214" s="4" t="str">
        <f>HYPERLINK("http://legacy.baseballprospectus.com/fantasy/dc/index.php?tm=TOR","TOR")</f>
        <v>TOR</v>
      </c>
      <c r="L214" t="s">
        <v>95</v>
      </c>
      <c r="M214" t="s">
        <v>34</v>
      </c>
      <c r="N214">
        <v>37</v>
      </c>
      <c r="O214">
        <v>529</v>
      </c>
      <c r="P214">
        <v>125</v>
      </c>
      <c r="Q214">
        <v>457</v>
      </c>
      <c r="R214">
        <v>73</v>
      </c>
      <c r="S214">
        <v>61</v>
      </c>
      <c r="T214">
        <v>22</v>
      </c>
      <c r="U214">
        <v>3</v>
      </c>
      <c r="V214">
        <v>19</v>
      </c>
      <c r="W214">
        <v>105</v>
      </c>
      <c r="X214">
        <v>190</v>
      </c>
      <c r="Y214">
        <v>61</v>
      </c>
      <c r="Z214">
        <v>63</v>
      </c>
      <c r="AA214">
        <v>2</v>
      </c>
      <c r="AB214">
        <v>5</v>
      </c>
      <c r="AC214">
        <v>119</v>
      </c>
      <c r="AD214">
        <v>1</v>
      </c>
      <c r="AE214">
        <v>3</v>
      </c>
      <c r="AF214">
        <v>9</v>
      </c>
      <c r="AG214">
        <v>6</v>
      </c>
      <c r="AH214">
        <v>2</v>
      </c>
      <c r="AI214" s="5">
        <v>0.23</v>
      </c>
      <c r="AJ214" s="5">
        <v>0.32800000000000001</v>
      </c>
      <c r="AK214" s="5">
        <v>0.41599999999999998</v>
      </c>
      <c r="AL214" s="5">
        <v>0.26</v>
      </c>
      <c r="AM214" s="5">
        <v>0.26700000000000002</v>
      </c>
      <c r="AN214">
        <v>-0.3</v>
      </c>
      <c r="AO214">
        <v>-0.75</v>
      </c>
      <c r="AP214">
        <v>14.2</v>
      </c>
      <c r="AQ214">
        <v>-0.1</v>
      </c>
      <c r="AR214">
        <v>-3.9</v>
      </c>
      <c r="AS214" t="s">
        <v>4978</v>
      </c>
      <c r="AT214">
        <v>0.9</v>
      </c>
      <c r="AU214">
        <v>13</v>
      </c>
      <c r="AV214">
        <v>0</v>
      </c>
      <c r="AW214">
        <v>22</v>
      </c>
      <c r="AX214">
        <v>12</v>
      </c>
      <c r="AY214">
        <v>11</v>
      </c>
      <c r="AZ214" t="s">
        <v>3744</v>
      </c>
      <c r="BA214">
        <v>80</v>
      </c>
      <c r="BB214" t="s">
        <v>35</v>
      </c>
      <c r="BC214" t="s">
        <v>36</v>
      </c>
      <c r="BD214" s="4">
        <f>HYPERLINK("http://mlb.mlb.com/team/player.jsp?player_id=434158",434158)</f>
        <v>434158</v>
      </c>
      <c r="BE214">
        <v>688</v>
      </c>
      <c r="BF214">
        <v>1688</v>
      </c>
      <c r="BG214">
        <v>527</v>
      </c>
      <c r="BH214">
        <v>449</v>
      </c>
    </row>
    <row r="215" spans="1:60" x14ac:dyDescent="0.3">
      <c r="A215" s="4">
        <f>HYPERLINK("http://legacy.baseballprospectus.com/p/58692",58692)</f>
        <v>58692</v>
      </c>
      <c r="B215" t="s">
        <v>639</v>
      </c>
      <c r="C215" t="s">
        <v>254</v>
      </c>
      <c r="D215" s="10">
        <v>31751</v>
      </c>
      <c r="E215" t="s">
        <v>50</v>
      </c>
      <c r="F215" t="s">
        <v>37</v>
      </c>
      <c r="G215" t="s">
        <v>9</v>
      </c>
      <c r="H215">
        <v>76</v>
      </c>
      <c r="I215">
        <v>220</v>
      </c>
      <c r="J215">
        <v>2018</v>
      </c>
      <c r="K215" s="4" t="str">
        <f>HYPERLINK("http://legacy.baseballprospectus.com/fantasy/dc/index.php?tm=TOR","TOR")</f>
        <v>TOR</v>
      </c>
      <c r="L215" t="s">
        <v>95</v>
      </c>
      <c r="M215" t="s">
        <v>34</v>
      </c>
      <c r="N215">
        <v>31</v>
      </c>
      <c r="O215">
        <v>608</v>
      </c>
      <c r="P215">
        <v>154</v>
      </c>
      <c r="Q215">
        <v>536</v>
      </c>
      <c r="R215">
        <v>74</v>
      </c>
      <c r="S215">
        <v>78</v>
      </c>
      <c r="T215">
        <v>25</v>
      </c>
      <c r="U215">
        <v>1</v>
      </c>
      <c r="V215">
        <v>25</v>
      </c>
      <c r="W215">
        <v>129</v>
      </c>
      <c r="X215">
        <v>231</v>
      </c>
      <c r="Y215">
        <v>83</v>
      </c>
      <c r="Z215">
        <v>66</v>
      </c>
      <c r="AA215">
        <v>2</v>
      </c>
      <c r="AB215">
        <v>4</v>
      </c>
      <c r="AC215">
        <v>146</v>
      </c>
      <c r="AD215">
        <v>0</v>
      </c>
      <c r="AE215">
        <v>3</v>
      </c>
      <c r="AF215">
        <v>17</v>
      </c>
      <c r="AG215">
        <v>1</v>
      </c>
      <c r="AH215">
        <v>1</v>
      </c>
      <c r="AI215" s="5">
        <v>0.24099999999999999</v>
      </c>
      <c r="AJ215" s="5">
        <v>0.32700000000000001</v>
      </c>
      <c r="AK215" s="5">
        <v>0.43099999999999999</v>
      </c>
      <c r="AL215" s="5">
        <v>0.26600000000000001</v>
      </c>
      <c r="AM215" s="5">
        <v>0.28399999999999997</v>
      </c>
      <c r="AN215">
        <v>-1.4</v>
      </c>
      <c r="AO215">
        <v>-6.96</v>
      </c>
      <c r="AP215">
        <v>16.32</v>
      </c>
      <c r="AQ215">
        <v>3.53</v>
      </c>
      <c r="AR215">
        <v>-2.5</v>
      </c>
      <c r="AS215" t="s">
        <v>1026</v>
      </c>
      <c r="AT215">
        <v>0.9</v>
      </c>
      <c r="AU215">
        <v>11.4</v>
      </c>
      <c r="AV215">
        <v>0</v>
      </c>
      <c r="AW215">
        <v>41</v>
      </c>
      <c r="AX215">
        <v>9</v>
      </c>
      <c r="AY215">
        <v>13</v>
      </c>
      <c r="AZ215" t="s">
        <v>3852</v>
      </c>
      <c r="BA215">
        <v>89</v>
      </c>
      <c r="BB215" t="s">
        <v>35</v>
      </c>
      <c r="BC215" t="s">
        <v>36</v>
      </c>
      <c r="BD215" s="4">
        <f>HYPERLINK("http://mlb.mlb.com/team/player.jsp?player_id=475253",475253)</f>
        <v>475253</v>
      </c>
      <c r="BE215">
        <v>405</v>
      </c>
      <c r="BF215">
        <v>1405</v>
      </c>
      <c r="BG215">
        <v>637</v>
      </c>
      <c r="BH215">
        <v>560</v>
      </c>
    </row>
    <row r="216" spans="1:60" x14ac:dyDescent="0.3">
      <c r="A216" s="4">
        <f>HYPERLINK("http://legacy.baseballprospectus.com/p/102668",102668)</f>
        <v>102668</v>
      </c>
      <c r="B216" t="s">
        <v>1264</v>
      </c>
      <c r="C216" t="s">
        <v>102</v>
      </c>
      <c r="D216" s="10">
        <v>34682</v>
      </c>
      <c r="E216" t="s">
        <v>50</v>
      </c>
      <c r="F216" t="s">
        <v>9</v>
      </c>
      <c r="G216" t="s">
        <v>33</v>
      </c>
      <c r="H216">
        <v>74</v>
      </c>
      <c r="I216">
        <v>185</v>
      </c>
      <c r="J216">
        <v>2018</v>
      </c>
      <c r="K216" s="4" t="str">
        <f>HYPERLINK("http://legacy.baseballprospectus.com/fantasy/dc/index.php?tm=COL","COL")</f>
        <v>COL</v>
      </c>
      <c r="L216" t="s">
        <v>100</v>
      </c>
      <c r="M216" t="s">
        <v>34</v>
      </c>
      <c r="N216">
        <v>23</v>
      </c>
      <c r="O216">
        <v>432</v>
      </c>
      <c r="P216">
        <v>143</v>
      </c>
      <c r="Q216">
        <v>389</v>
      </c>
      <c r="R216">
        <v>54</v>
      </c>
      <c r="S216">
        <v>61</v>
      </c>
      <c r="T216">
        <v>24</v>
      </c>
      <c r="U216">
        <v>3</v>
      </c>
      <c r="V216">
        <v>14</v>
      </c>
      <c r="W216">
        <v>102</v>
      </c>
      <c r="X216">
        <v>174</v>
      </c>
      <c r="Y216">
        <v>53</v>
      </c>
      <c r="Z216">
        <v>37</v>
      </c>
      <c r="AA216">
        <v>3</v>
      </c>
      <c r="AB216">
        <v>3</v>
      </c>
      <c r="AC216">
        <v>122</v>
      </c>
      <c r="AD216">
        <v>1</v>
      </c>
      <c r="AE216">
        <v>3</v>
      </c>
      <c r="AF216">
        <v>11</v>
      </c>
      <c r="AG216">
        <v>5</v>
      </c>
      <c r="AH216">
        <v>2</v>
      </c>
      <c r="AI216" s="5">
        <v>0.26200000000000001</v>
      </c>
      <c r="AJ216" s="5">
        <v>0.32900000000000001</v>
      </c>
      <c r="AK216" s="5">
        <v>0.44700000000000001</v>
      </c>
      <c r="AL216" s="5">
        <v>0.25800000000000001</v>
      </c>
      <c r="AM216" s="5">
        <v>0.34200000000000003</v>
      </c>
      <c r="AN216">
        <v>-0.4</v>
      </c>
      <c r="AO216">
        <v>-3.65</v>
      </c>
      <c r="AP216">
        <v>11.6</v>
      </c>
      <c r="AQ216">
        <v>-0.74</v>
      </c>
      <c r="AR216">
        <v>2</v>
      </c>
      <c r="AS216" t="s">
        <v>3854</v>
      </c>
      <c r="AT216">
        <v>0.9</v>
      </c>
      <c r="AU216">
        <v>6.8</v>
      </c>
      <c r="AV216">
        <v>5</v>
      </c>
      <c r="AW216">
        <v>20</v>
      </c>
      <c r="AX216">
        <v>7</v>
      </c>
      <c r="AY216">
        <v>22</v>
      </c>
      <c r="AZ216" t="s">
        <v>3855</v>
      </c>
      <c r="BA216">
        <v>41</v>
      </c>
      <c r="BB216" t="s">
        <v>35</v>
      </c>
      <c r="BC216" t="s">
        <v>35</v>
      </c>
      <c r="BD216" s="4">
        <f>HYPERLINK("http://mlb.mlb.com/team/player.jsp?player_id=641857",641857)</f>
        <v>641857</v>
      </c>
      <c r="BE216">
        <v>1507</v>
      </c>
      <c r="BF216">
        <v>507</v>
      </c>
      <c r="BG216">
        <v>24</v>
      </c>
      <c r="BH216">
        <v>19</v>
      </c>
    </row>
    <row r="217" spans="1:60" x14ac:dyDescent="0.3">
      <c r="A217" s="4">
        <f>HYPERLINK("http://legacy.baseballprospectus.com/p/103203",103203)</f>
        <v>103203</v>
      </c>
      <c r="B217" t="s">
        <v>609</v>
      </c>
      <c r="C217" t="s">
        <v>1272</v>
      </c>
      <c r="D217" s="10">
        <v>35023</v>
      </c>
      <c r="E217" t="s">
        <v>53</v>
      </c>
      <c r="F217" t="s">
        <v>33</v>
      </c>
      <c r="G217" t="s">
        <v>33</v>
      </c>
      <c r="H217">
        <v>74</v>
      </c>
      <c r="I217">
        <v>189</v>
      </c>
      <c r="J217">
        <v>2018</v>
      </c>
      <c r="K217" s="4" t="str">
        <f>HYPERLINK("http://legacy.baseballprospectus.com/fantasy/dc/index.php?tm=NYN","NYN")</f>
        <v>NYN</v>
      </c>
      <c r="L217" t="s">
        <v>100</v>
      </c>
      <c r="M217" t="s">
        <v>34</v>
      </c>
      <c r="N217">
        <v>22</v>
      </c>
      <c r="O217">
        <v>538</v>
      </c>
      <c r="P217">
        <v>154</v>
      </c>
      <c r="Q217">
        <v>504</v>
      </c>
      <c r="R217">
        <v>60</v>
      </c>
      <c r="S217">
        <v>91</v>
      </c>
      <c r="T217">
        <v>21</v>
      </c>
      <c r="U217">
        <v>6</v>
      </c>
      <c r="V217">
        <v>11</v>
      </c>
      <c r="W217">
        <v>129</v>
      </c>
      <c r="X217">
        <v>195</v>
      </c>
      <c r="Y217">
        <v>53</v>
      </c>
      <c r="Z217">
        <v>26</v>
      </c>
      <c r="AA217">
        <v>2</v>
      </c>
      <c r="AB217">
        <v>4</v>
      </c>
      <c r="AC217">
        <v>127</v>
      </c>
      <c r="AD217">
        <v>1</v>
      </c>
      <c r="AE217">
        <v>3</v>
      </c>
      <c r="AF217">
        <v>14</v>
      </c>
      <c r="AG217">
        <v>15</v>
      </c>
      <c r="AH217">
        <v>6</v>
      </c>
      <c r="AI217" s="5">
        <v>0.25600000000000001</v>
      </c>
      <c r="AJ217" s="5">
        <v>0.29599999999999999</v>
      </c>
      <c r="AK217" s="5">
        <v>0.38700000000000001</v>
      </c>
      <c r="AL217" s="5">
        <v>0.24</v>
      </c>
      <c r="AM217" s="5">
        <v>0.31900000000000001</v>
      </c>
      <c r="AN217">
        <v>1.5</v>
      </c>
      <c r="AO217">
        <v>3.71</v>
      </c>
      <c r="AP217">
        <v>14.44</v>
      </c>
      <c r="AQ217">
        <v>-11.04</v>
      </c>
      <c r="AR217">
        <v>0.5</v>
      </c>
      <c r="AS217" t="s">
        <v>61</v>
      </c>
      <c r="AT217">
        <v>0.9</v>
      </c>
      <c r="AU217">
        <v>8.6</v>
      </c>
      <c r="AV217">
        <v>4</v>
      </c>
      <c r="AW217">
        <v>34</v>
      </c>
      <c r="AX217">
        <v>4</v>
      </c>
      <c r="AY217">
        <v>14</v>
      </c>
      <c r="AZ217" t="s">
        <v>3778</v>
      </c>
      <c r="BA217">
        <v>46</v>
      </c>
      <c r="BB217" t="s">
        <v>35</v>
      </c>
      <c r="BC217" t="s">
        <v>36</v>
      </c>
      <c r="BD217" s="4">
        <f>HYPERLINK("http://mlb.mlb.com/team/player.jsp?player_id=642708",642708)</f>
        <v>642708</v>
      </c>
      <c r="BE217">
        <v>1542</v>
      </c>
      <c r="BF217">
        <v>542</v>
      </c>
      <c r="BG217">
        <v>170</v>
      </c>
      <c r="BH217">
        <v>165</v>
      </c>
    </row>
    <row r="218" spans="1:60" x14ac:dyDescent="0.3">
      <c r="A218" s="4">
        <f>HYPERLINK("http://legacy.baseballprospectus.com/p/102034",102034)</f>
        <v>102034</v>
      </c>
      <c r="B218" t="s">
        <v>1891</v>
      </c>
      <c r="C218" t="s">
        <v>1892</v>
      </c>
      <c r="D218" s="10">
        <v>33613</v>
      </c>
      <c r="E218" t="s">
        <v>50</v>
      </c>
      <c r="F218" t="s">
        <v>33</v>
      </c>
      <c r="G218" t="s">
        <v>33</v>
      </c>
      <c r="H218">
        <v>77</v>
      </c>
      <c r="I218">
        <v>225</v>
      </c>
      <c r="J218">
        <v>2018</v>
      </c>
      <c r="K218" s="4" t="str">
        <f>HYPERLINK("http://legacy.baseballprospectus.com/fantasy/dc/index.php?tm=SEA","SEA")</f>
        <v>SEA</v>
      </c>
      <c r="L218" t="s">
        <v>95</v>
      </c>
      <c r="M218" t="s">
        <v>34</v>
      </c>
      <c r="N218">
        <v>26</v>
      </c>
      <c r="O218">
        <v>477</v>
      </c>
      <c r="P218">
        <v>125</v>
      </c>
      <c r="Q218">
        <v>449</v>
      </c>
      <c r="R218">
        <v>54</v>
      </c>
      <c r="S218">
        <v>78</v>
      </c>
      <c r="T218">
        <v>25</v>
      </c>
      <c r="U218">
        <v>1</v>
      </c>
      <c r="V218">
        <v>18</v>
      </c>
      <c r="W218">
        <v>122</v>
      </c>
      <c r="X218">
        <v>203</v>
      </c>
      <c r="Y218">
        <v>65</v>
      </c>
      <c r="Z218">
        <v>23</v>
      </c>
      <c r="AA218">
        <v>2</v>
      </c>
      <c r="AB218">
        <v>3</v>
      </c>
      <c r="AC218">
        <v>109</v>
      </c>
      <c r="AD218">
        <v>1</v>
      </c>
      <c r="AE218">
        <v>2</v>
      </c>
      <c r="AF218">
        <v>13</v>
      </c>
      <c r="AG218">
        <v>0</v>
      </c>
      <c r="AH218">
        <v>0</v>
      </c>
      <c r="AI218" s="5">
        <v>0.27200000000000002</v>
      </c>
      <c r="AJ218" s="5">
        <v>0.31</v>
      </c>
      <c r="AK218" s="5">
        <v>0.45200000000000001</v>
      </c>
      <c r="AL218" s="5">
        <v>0.26400000000000001</v>
      </c>
      <c r="AM218" s="5">
        <v>0.31900000000000001</v>
      </c>
      <c r="AN218">
        <v>-1.1000000000000001</v>
      </c>
      <c r="AO218">
        <v>-5.46</v>
      </c>
      <c r="AP218">
        <v>12.81</v>
      </c>
      <c r="AQ218">
        <v>1.89</v>
      </c>
      <c r="AR218">
        <v>0.8</v>
      </c>
      <c r="AS218" t="s">
        <v>77</v>
      </c>
      <c r="AT218">
        <v>0.9</v>
      </c>
      <c r="AU218">
        <v>8.1</v>
      </c>
      <c r="AV218">
        <v>3</v>
      </c>
      <c r="AW218">
        <v>51</v>
      </c>
      <c r="AX218">
        <v>4</v>
      </c>
      <c r="AY218">
        <v>16</v>
      </c>
      <c r="AZ218" t="s">
        <v>3794</v>
      </c>
      <c r="BA218">
        <v>83</v>
      </c>
      <c r="BB218" t="s">
        <v>35</v>
      </c>
      <c r="BC218" t="s">
        <v>36</v>
      </c>
      <c r="BD218" s="4">
        <f>HYPERLINK("http://mlb.mlb.com/team/player.jsp?player_id=592387",592387)</f>
        <v>592387</v>
      </c>
      <c r="BE218">
        <v>466</v>
      </c>
      <c r="BF218">
        <v>1466</v>
      </c>
      <c r="BG218">
        <v>605</v>
      </c>
      <c r="BH218">
        <v>576</v>
      </c>
    </row>
    <row r="219" spans="1:60" x14ac:dyDescent="0.3">
      <c r="A219" s="4">
        <f>HYPERLINK("http://legacy.baseballprospectus.com/p/58488",58488)</f>
        <v>58488</v>
      </c>
      <c r="B219" t="s">
        <v>1080</v>
      </c>
      <c r="C219" t="s">
        <v>232</v>
      </c>
      <c r="D219" s="10">
        <v>30369</v>
      </c>
      <c r="E219" t="s">
        <v>59</v>
      </c>
      <c r="F219" t="s">
        <v>37</v>
      </c>
      <c r="G219" t="s">
        <v>9</v>
      </c>
      <c r="H219">
        <v>71</v>
      </c>
      <c r="I219">
        <v>200</v>
      </c>
      <c r="J219">
        <v>2018</v>
      </c>
      <c r="K219" s="4" t="str">
        <f>HYPERLINK("http://legacy.baseballprospectus.com/fantasy/dc/index.php?tm=PHI","PHI")</f>
        <v>PHI</v>
      </c>
      <c r="L219" t="s">
        <v>100</v>
      </c>
      <c r="M219" t="s">
        <v>34</v>
      </c>
      <c r="N219">
        <v>35</v>
      </c>
      <c r="O219">
        <v>250</v>
      </c>
      <c r="P219" t="s">
        <v>1680</v>
      </c>
      <c r="Q219">
        <v>218</v>
      </c>
      <c r="R219">
        <v>31</v>
      </c>
      <c r="S219">
        <v>40</v>
      </c>
      <c r="T219">
        <v>10</v>
      </c>
      <c r="U219">
        <v>0</v>
      </c>
      <c r="V219">
        <v>6</v>
      </c>
      <c r="W219">
        <v>56</v>
      </c>
      <c r="X219">
        <v>84</v>
      </c>
      <c r="Y219">
        <v>24</v>
      </c>
      <c r="Z219">
        <v>24</v>
      </c>
      <c r="AA219">
        <v>0</v>
      </c>
      <c r="AB219">
        <v>6</v>
      </c>
      <c r="AC219">
        <v>52</v>
      </c>
      <c r="AD219">
        <v>1</v>
      </c>
      <c r="AE219">
        <v>2</v>
      </c>
      <c r="AF219">
        <v>6</v>
      </c>
      <c r="AG219">
        <v>1</v>
      </c>
      <c r="AH219">
        <v>0</v>
      </c>
      <c r="AI219" s="5">
        <v>0.25700000000000001</v>
      </c>
      <c r="AJ219" s="5">
        <v>0.34399999999999997</v>
      </c>
      <c r="AK219" s="5">
        <v>0.38300000000000001</v>
      </c>
      <c r="AL219" s="5">
        <v>0.251</v>
      </c>
      <c r="AM219" s="5">
        <v>0.309</v>
      </c>
      <c r="AN219">
        <v>-0.2</v>
      </c>
      <c r="AO219">
        <v>0.75</v>
      </c>
      <c r="AP219">
        <v>7</v>
      </c>
      <c r="AQ219">
        <v>-2.4500000000000002</v>
      </c>
      <c r="AR219">
        <v>3.3</v>
      </c>
      <c r="AS219" t="s">
        <v>3768</v>
      </c>
      <c r="AT219">
        <v>0.9</v>
      </c>
      <c r="AU219">
        <v>5.0999999999999996</v>
      </c>
      <c r="AV219">
        <v>1</v>
      </c>
      <c r="AW219">
        <v>17</v>
      </c>
      <c r="AX219">
        <v>12</v>
      </c>
      <c r="AY219">
        <v>20</v>
      </c>
      <c r="AZ219" t="s">
        <v>3769</v>
      </c>
      <c r="BA219">
        <v>63</v>
      </c>
      <c r="BB219" t="s">
        <v>36</v>
      </c>
      <c r="BC219" t="s">
        <v>36</v>
      </c>
      <c r="BD219" s="4">
        <f>HYPERLINK("http://mlb.mlb.com/team/player.jsp?player_id=537953",537953)</f>
        <v>537953</v>
      </c>
      <c r="BE219">
        <v>1743</v>
      </c>
      <c r="BF219">
        <v>743</v>
      </c>
      <c r="BG219">
        <v>214</v>
      </c>
      <c r="BH219">
        <v>183</v>
      </c>
    </row>
    <row r="220" spans="1:60" x14ac:dyDescent="0.3">
      <c r="A220" s="4">
        <f>HYPERLINK("http://legacy.baseballprospectus.com/p/68192",68192)</f>
        <v>68192</v>
      </c>
      <c r="B220" t="s">
        <v>1370</v>
      </c>
      <c r="C220" t="s">
        <v>1371</v>
      </c>
      <c r="D220" s="10">
        <v>33377</v>
      </c>
      <c r="E220" t="s">
        <v>50</v>
      </c>
      <c r="F220" t="s">
        <v>9</v>
      </c>
      <c r="G220" t="s">
        <v>33</v>
      </c>
      <c r="H220">
        <v>73</v>
      </c>
      <c r="I220">
        <v>230</v>
      </c>
      <c r="J220">
        <v>2018</v>
      </c>
      <c r="K220" s="4" t="str">
        <f>HYPERLINK("http://legacy.baseballprospectus.com/fantasy/dc/index.php?tm=MIL","MIL")</f>
        <v>MIL</v>
      </c>
      <c r="L220" t="s">
        <v>95</v>
      </c>
      <c r="M220" t="s">
        <v>34</v>
      </c>
      <c r="N220">
        <v>27</v>
      </c>
      <c r="O220">
        <v>250</v>
      </c>
      <c r="P220" t="s">
        <v>1680</v>
      </c>
      <c r="Q220">
        <v>215</v>
      </c>
      <c r="R220">
        <v>32</v>
      </c>
      <c r="S220">
        <v>30</v>
      </c>
      <c r="T220">
        <v>12</v>
      </c>
      <c r="U220">
        <v>0</v>
      </c>
      <c r="V220">
        <v>11</v>
      </c>
      <c r="W220">
        <v>53</v>
      </c>
      <c r="X220">
        <v>98</v>
      </c>
      <c r="Y220">
        <v>35</v>
      </c>
      <c r="Z220">
        <v>31</v>
      </c>
      <c r="AA220">
        <v>2</v>
      </c>
      <c r="AB220">
        <v>2</v>
      </c>
      <c r="AC220">
        <v>62</v>
      </c>
      <c r="AD220">
        <v>1</v>
      </c>
      <c r="AE220">
        <v>2</v>
      </c>
      <c r="AF220">
        <v>5</v>
      </c>
      <c r="AG220">
        <v>3</v>
      </c>
      <c r="AH220">
        <v>2</v>
      </c>
      <c r="AI220" s="5">
        <v>0.248</v>
      </c>
      <c r="AJ220" s="5">
        <v>0.34399999999999997</v>
      </c>
      <c r="AK220" s="5">
        <v>0.45700000000000002</v>
      </c>
      <c r="AL220" s="5">
        <v>0.26800000000000002</v>
      </c>
      <c r="AM220" s="5">
        <v>0.29499999999999998</v>
      </c>
      <c r="AN220">
        <v>-0.6</v>
      </c>
      <c r="AO220">
        <v>-2.17</v>
      </c>
      <c r="AP220">
        <v>7</v>
      </c>
      <c r="AQ220">
        <v>2.15</v>
      </c>
      <c r="AR220">
        <v>2.2000000000000002</v>
      </c>
      <c r="AS220" t="s">
        <v>1893</v>
      </c>
      <c r="AT220">
        <v>0.9</v>
      </c>
      <c r="AU220">
        <v>6.3</v>
      </c>
      <c r="AV220">
        <v>3</v>
      </c>
      <c r="AW220">
        <v>20</v>
      </c>
      <c r="AX220">
        <v>20</v>
      </c>
      <c r="AY220">
        <v>25</v>
      </c>
      <c r="AZ220" t="s">
        <v>3770</v>
      </c>
      <c r="BA220">
        <v>53</v>
      </c>
      <c r="BB220" t="s">
        <v>36</v>
      </c>
      <c r="BC220" t="s">
        <v>35</v>
      </c>
      <c r="BD220" s="4">
        <f>HYPERLINK("http://mlb.mlb.com/team/player.jsp?player_id=596847",596847)</f>
        <v>596847</v>
      </c>
      <c r="BE220">
        <v>1750</v>
      </c>
      <c r="BF220">
        <v>750</v>
      </c>
      <c r="BG220">
        <v>18</v>
      </c>
      <c r="BH220">
        <v>15</v>
      </c>
    </row>
    <row r="221" spans="1:60" x14ac:dyDescent="0.3">
      <c r="A221" s="4">
        <f>HYPERLINK("http://legacy.baseballprospectus.com/p/69012",69012)</f>
        <v>69012</v>
      </c>
      <c r="B221" t="s">
        <v>421</v>
      </c>
      <c r="C221" t="s">
        <v>1102</v>
      </c>
      <c r="D221" s="10">
        <v>34396</v>
      </c>
      <c r="E221" t="s">
        <v>58</v>
      </c>
      <c r="F221" t="s">
        <v>33</v>
      </c>
      <c r="G221" t="s">
        <v>33</v>
      </c>
      <c r="H221">
        <v>70</v>
      </c>
      <c r="I221">
        <v>210</v>
      </c>
      <c r="J221">
        <v>2018</v>
      </c>
      <c r="K221" s="4" t="str">
        <f>HYPERLINK("http://legacy.baseballprospectus.com/fantasy/dc/index.php?tm=CIN","CIN")</f>
        <v>CIN</v>
      </c>
      <c r="L221" t="s">
        <v>100</v>
      </c>
      <c r="M221" t="s">
        <v>34</v>
      </c>
      <c r="N221">
        <v>24</v>
      </c>
      <c r="O221">
        <v>275</v>
      </c>
      <c r="P221" t="s">
        <v>1680</v>
      </c>
      <c r="Q221">
        <v>246</v>
      </c>
      <c r="R221">
        <v>35</v>
      </c>
      <c r="S221">
        <v>39</v>
      </c>
      <c r="T221">
        <v>12</v>
      </c>
      <c r="U221">
        <v>1</v>
      </c>
      <c r="V221">
        <v>10</v>
      </c>
      <c r="W221">
        <v>62</v>
      </c>
      <c r="X221">
        <v>106</v>
      </c>
      <c r="Y221">
        <v>34</v>
      </c>
      <c r="Z221">
        <v>23</v>
      </c>
      <c r="AA221">
        <v>1</v>
      </c>
      <c r="AB221">
        <v>3</v>
      </c>
      <c r="AC221">
        <v>65</v>
      </c>
      <c r="AD221">
        <v>2</v>
      </c>
      <c r="AE221">
        <v>2</v>
      </c>
      <c r="AF221">
        <v>6</v>
      </c>
      <c r="AG221">
        <v>4</v>
      </c>
      <c r="AH221">
        <v>3</v>
      </c>
      <c r="AI221" s="5">
        <v>0.254</v>
      </c>
      <c r="AJ221" s="5">
        <v>0.32200000000000001</v>
      </c>
      <c r="AK221" s="5">
        <v>0.437</v>
      </c>
      <c r="AL221" s="5">
        <v>0.25</v>
      </c>
      <c r="AM221" s="5">
        <v>0.29899999999999999</v>
      </c>
      <c r="AN221">
        <v>-0.6</v>
      </c>
      <c r="AO221">
        <v>3.77</v>
      </c>
      <c r="AP221">
        <v>7.7</v>
      </c>
      <c r="AQ221">
        <v>-2.89</v>
      </c>
      <c r="AR221">
        <v>0</v>
      </c>
      <c r="AS221" t="s">
        <v>1721</v>
      </c>
      <c r="AT221">
        <v>0.9</v>
      </c>
      <c r="AU221">
        <v>8</v>
      </c>
      <c r="AV221">
        <v>4</v>
      </c>
      <c r="AW221">
        <v>28</v>
      </c>
      <c r="AX221">
        <v>10</v>
      </c>
      <c r="AY221">
        <v>30</v>
      </c>
      <c r="AZ221" t="s">
        <v>3946</v>
      </c>
      <c r="BA221">
        <v>56</v>
      </c>
      <c r="BB221" t="s">
        <v>36</v>
      </c>
      <c r="BC221" t="s">
        <v>35</v>
      </c>
      <c r="BD221" s="4">
        <f>HYPERLINK("http://mlb.mlb.com/team/player.jsp?player_id=599096",599096)</f>
        <v>599096</v>
      </c>
      <c r="BE221">
        <v>1475</v>
      </c>
      <c r="BF221">
        <v>475</v>
      </c>
      <c r="BG221">
        <v>0</v>
      </c>
      <c r="BH221">
        <v>0</v>
      </c>
    </row>
    <row r="222" spans="1:60" x14ac:dyDescent="0.3">
      <c r="A222" s="4">
        <f>HYPERLINK("http://legacy.baseballprospectus.com/p/100321",100321)</f>
        <v>100321</v>
      </c>
      <c r="B222" t="s">
        <v>3773</v>
      </c>
      <c r="C222" t="s">
        <v>247</v>
      </c>
      <c r="D222" s="10">
        <v>33506</v>
      </c>
      <c r="E222" t="s">
        <v>53</v>
      </c>
      <c r="F222" t="s">
        <v>33</v>
      </c>
      <c r="G222" t="s">
        <v>33</v>
      </c>
      <c r="H222">
        <v>72</v>
      </c>
      <c r="I222">
        <v>190</v>
      </c>
      <c r="J222">
        <v>2018</v>
      </c>
      <c r="K222" s="4" t="str">
        <f>HYPERLINK("http://legacy.baseballprospectus.com/fantasy/dc/index.php?tm=CLE","CLE")</f>
        <v>CLE</v>
      </c>
      <c r="L222" t="s">
        <v>95</v>
      </c>
      <c r="M222" t="s">
        <v>34</v>
      </c>
      <c r="N222">
        <v>26</v>
      </c>
      <c r="O222">
        <v>250</v>
      </c>
      <c r="P222" t="s">
        <v>1680</v>
      </c>
      <c r="Q222">
        <v>223</v>
      </c>
      <c r="R222">
        <v>28</v>
      </c>
      <c r="S222">
        <v>31</v>
      </c>
      <c r="T222">
        <v>12</v>
      </c>
      <c r="U222">
        <v>1</v>
      </c>
      <c r="V222">
        <v>8</v>
      </c>
      <c r="W222">
        <v>52</v>
      </c>
      <c r="X222">
        <v>90</v>
      </c>
      <c r="Y222">
        <v>28</v>
      </c>
      <c r="Z222">
        <v>18</v>
      </c>
      <c r="AA222">
        <v>1</v>
      </c>
      <c r="AB222">
        <v>4</v>
      </c>
      <c r="AC222">
        <v>63</v>
      </c>
      <c r="AD222">
        <v>3</v>
      </c>
      <c r="AE222">
        <v>2</v>
      </c>
      <c r="AF222">
        <v>4</v>
      </c>
      <c r="AG222">
        <v>3</v>
      </c>
      <c r="AH222">
        <v>1</v>
      </c>
      <c r="AI222" s="5">
        <v>0.23100000000000001</v>
      </c>
      <c r="AJ222" s="5">
        <v>0.29799999999999999</v>
      </c>
      <c r="AK222" s="5">
        <v>0.39500000000000002</v>
      </c>
      <c r="AL222" s="5">
        <v>0.23300000000000001</v>
      </c>
      <c r="AM222" s="5">
        <v>0.27900000000000003</v>
      </c>
      <c r="AN222">
        <v>0.2</v>
      </c>
      <c r="AO222">
        <v>3.95</v>
      </c>
      <c r="AP222">
        <v>7</v>
      </c>
      <c r="AQ222">
        <v>-7.2</v>
      </c>
      <c r="AR222">
        <v>4.5</v>
      </c>
      <c r="AS222" t="s">
        <v>1973</v>
      </c>
      <c r="AT222">
        <v>0.9</v>
      </c>
      <c r="AU222">
        <v>3.9</v>
      </c>
      <c r="AV222">
        <v>4</v>
      </c>
      <c r="AW222">
        <v>20</v>
      </c>
      <c r="AX222">
        <v>5</v>
      </c>
      <c r="AY222">
        <v>19</v>
      </c>
      <c r="AZ222" t="s">
        <v>3774</v>
      </c>
      <c r="BA222">
        <v>35</v>
      </c>
      <c r="BB222" t="s">
        <v>36</v>
      </c>
      <c r="BC222" t="s">
        <v>35</v>
      </c>
      <c r="BD222" s="4">
        <f>HYPERLINK("http://mlb.mlb.com/team/player.jsp?player_id=608715",608715)</f>
        <v>608715</v>
      </c>
      <c r="BE222">
        <v>535</v>
      </c>
      <c r="BF222">
        <v>1535</v>
      </c>
      <c r="BG222">
        <v>0</v>
      </c>
      <c r="BH222">
        <v>0</v>
      </c>
    </row>
    <row r="223" spans="1:60" x14ac:dyDescent="0.3">
      <c r="A223" s="4">
        <f>HYPERLINK("http://legacy.baseballprospectus.com/p/102265",102265)</f>
        <v>102265</v>
      </c>
      <c r="B223" t="s">
        <v>1036</v>
      </c>
      <c r="C223" t="s">
        <v>119</v>
      </c>
      <c r="D223" s="10">
        <v>32260</v>
      </c>
      <c r="E223" t="s">
        <v>58</v>
      </c>
      <c r="F223" t="s">
        <v>9</v>
      </c>
      <c r="G223" t="s">
        <v>33</v>
      </c>
      <c r="H223">
        <v>70</v>
      </c>
      <c r="I223">
        <v>185</v>
      </c>
      <c r="J223">
        <v>2018</v>
      </c>
      <c r="K223" s="4" t="str">
        <f>HYPERLINK("http://legacy.baseballprospectus.com/fantasy/dc/index.php?tm=ANA","ANA")</f>
        <v>ANA</v>
      </c>
      <c r="L223" t="s">
        <v>100</v>
      </c>
      <c r="M223" t="s">
        <v>34</v>
      </c>
      <c r="N223">
        <v>30</v>
      </c>
      <c r="O223">
        <v>250</v>
      </c>
      <c r="P223" t="s">
        <v>1680</v>
      </c>
      <c r="Q223">
        <v>228</v>
      </c>
      <c r="R223">
        <v>30</v>
      </c>
      <c r="S223">
        <v>37</v>
      </c>
      <c r="T223">
        <v>12</v>
      </c>
      <c r="U223">
        <v>0</v>
      </c>
      <c r="V223">
        <v>11</v>
      </c>
      <c r="W223">
        <v>60</v>
      </c>
      <c r="X223">
        <v>105</v>
      </c>
      <c r="Y223">
        <v>35</v>
      </c>
      <c r="Z223">
        <v>17</v>
      </c>
      <c r="AA223">
        <v>1</v>
      </c>
      <c r="AB223">
        <v>4</v>
      </c>
      <c r="AC223">
        <v>44</v>
      </c>
      <c r="AD223">
        <v>0</v>
      </c>
      <c r="AE223">
        <v>1</v>
      </c>
      <c r="AF223">
        <v>7</v>
      </c>
      <c r="AG223">
        <v>0</v>
      </c>
      <c r="AH223">
        <v>0</v>
      </c>
      <c r="AI223" s="5">
        <v>0.26</v>
      </c>
      <c r="AJ223" s="5">
        <v>0.32</v>
      </c>
      <c r="AK223" s="5">
        <v>0.45600000000000002</v>
      </c>
      <c r="AL223" s="5">
        <v>0.26300000000000001</v>
      </c>
      <c r="AM223" s="5">
        <v>0.27700000000000002</v>
      </c>
      <c r="AN223">
        <v>-0.5</v>
      </c>
      <c r="AO223">
        <v>2.41</v>
      </c>
      <c r="AP223">
        <v>7</v>
      </c>
      <c r="AQ223">
        <v>0.87</v>
      </c>
      <c r="AR223">
        <v>-1.9</v>
      </c>
      <c r="AS223" t="s">
        <v>3796</v>
      </c>
      <c r="AT223">
        <v>0.9</v>
      </c>
      <c r="AU223">
        <v>9.6999999999999993</v>
      </c>
      <c r="AV223">
        <v>1</v>
      </c>
      <c r="AW223">
        <v>11</v>
      </c>
      <c r="AX223">
        <v>2</v>
      </c>
      <c r="AY223">
        <v>8</v>
      </c>
      <c r="AZ223" t="s">
        <v>3797</v>
      </c>
      <c r="BA223">
        <v>23</v>
      </c>
      <c r="BB223" t="s">
        <v>36</v>
      </c>
      <c r="BC223" t="s">
        <v>35</v>
      </c>
      <c r="BD223" s="4">
        <f>HYPERLINK("http://mlb.mlb.com/team/player.jsp?player_id=628336",628336)</f>
        <v>628336</v>
      </c>
      <c r="BE223">
        <v>0</v>
      </c>
      <c r="BF223">
        <v>0</v>
      </c>
      <c r="BG223">
        <v>0</v>
      </c>
      <c r="BH223">
        <v>0</v>
      </c>
    </row>
    <row r="224" spans="1:60" x14ac:dyDescent="0.3">
      <c r="A224" s="4">
        <f>HYPERLINK("http://legacy.baseballprospectus.com/p/102566",102566)</f>
        <v>102566</v>
      </c>
      <c r="B224" t="s">
        <v>3798</v>
      </c>
      <c r="C224" t="s">
        <v>207</v>
      </c>
      <c r="D224" s="10">
        <v>34607</v>
      </c>
      <c r="E224" t="s">
        <v>58</v>
      </c>
      <c r="F224" t="s">
        <v>33</v>
      </c>
      <c r="G224" t="s">
        <v>33</v>
      </c>
      <c r="H224">
        <v>72</v>
      </c>
      <c r="I224">
        <v>180</v>
      </c>
      <c r="J224">
        <v>2018</v>
      </c>
      <c r="K224" s="4" t="str">
        <f>HYPERLINK("http://legacy.baseballprospectus.com/fantasy/dc/index.php?tm=ATL","ATL")</f>
        <v>ATL</v>
      </c>
      <c r="L224" t="s">
        <v>100</v>
      </c>
      <c r="M224" t="s">
        <v>34</v>
      </c>
      <c r="N224">
        <v>23</v>
      </c>
      <c r="O224">
        <v>250</v>
      </c>
      <c r="P224" t="s">
        <v>1680</v>
      </c>
      <c r="Q224">
        <v>223</v>
      </c>
      <c r="R224">
        <v>29</v>
      </c>
      <c r="S224">
        <v>27</v>
      </c>
      <c r="T224">
        <v>10</v>
      </c>
      <c r="U224">
        <v>1</v>
      </c>
      <c r="V224">
        <v>10</v>
      </c>
      <c r="W224">
        <v>48</v>
      </c>
      <c r="X224">
        <v>90</v>
      </c>
      <c r="Y224">
        <v>32</v>
      </c>
      <c r="Z224">
        <v>24</v>
      </c>
      <c r="AA224">
        <v>1</v>
      </c>
      <c r="AB224">
        <v>1</v>
      </c>
      <c r="AC224">
        <v>87</v>
      </c>
      <c r="AD224">
        <v>1</v>
      </c>
      <c r="AE224">
        <v>1</v>
      </c>
      <c r="AF224">
        <v>6</v>
      </c>
      <c r="AG224">
        <v>2</v>
      </c>
      <c r="AH224">
        <v>1</v>
      </c>
      <c r="AI224" s="5">
        <v>0.217</v>
      </c>
      <c r="AJ224" s="5">
        <v>0.29399999999999998</v>
      </c>
      <c r="AK224" s="5">
        <v>0.41</v>
      </c>
      <c r="AL224" s="5">
        <v>0.23899999999999999</v>
      </c>
      <c r="AM224" s="5">
        <v>0.30099999999999999</v>
      </c>
      <c r="AN224">
        <v>-0.2</v>
      </c>
      <c r="AO224">
        <v>2.76</v>
      </c>
      <c r="AP224">
        <v>7</v>
      </c>
      <c r="AQ224">
        <v>-5.45</v>
      </c>
      <c r="AR224">
        <v>4.4000000000000004</v>
      </c>
      <c r="AS224" t="s">
        <v>4890</v>
      </c>
      <c r="AT224">
        <v>0.9</v>
      </c>
      <c r="AU224">
        <v>4.0999999999999996</v>
      </c>
      <c r="AV224">
        <v>8</v>
      </c>
      <c r="AW224">
        <v>20</v>
      </c>
      <c r="AX224">
        <v>4</v>
      </c>
      <c r="AY224">
        <v>13</v>
      </c>
      <c r="AZ224" t="s">
        <v>3799</v>
      </c>
      <c r="BA224">
        <v>39</v>
      </c>
      <c r="BB224" t="s">
        <v>36</v>
      </c>
      <c r="BC224" t="s">
        <v>35</v>
      </c>
      <c r="BD224" s="4">
        <f>HYPERLINK("http://mlb.mlb.com/team/player.jsp?player_id=641513",641513)</f>
        <v>641513</v>
      </c>
      <c r="BE224">
        <v>1748</v>
      </c>
      <c r="BF224">
        <v>748</v>
      </c>
      <c r="BG224">
        <v>0</v>
      </c>
      <c r="BH224">
        <v>0</v>
      </c>
    </row>
    <row r="225" spans="1:60" x14ac:dyDescent="0.3">
      <c r="A225" s="4">
        <f>HYPERLINK("http://legacy.baseballprospectus.com/p/103432",103432)</f>
        <v>103432</v>
      </c>
      <c r="B225" t="s">
        <v>2132</v>
      </c>
      <c r="C225" t="s">
        <v>3801</v>
      </c>
      <c r="D225" s="10">
        <v>34933</v>
      </c>
      <c r="E225" t="s">
        <v>58</v>
      </c>
      <c r="F225" t="s">
        <v>9</v>
      </c>
      <c r="G225" t="s">
        <v>33</v>
      </c>
      <c r="H225">
        <v>68</v>
      </c>
      <c r="I225">
        <v>180</v>
      </c>
      <c r="J225">
        <v>2018</v>
      </c>
      <c r="K225" s="4" t="str">
        <f>HYPERLINK("http://legacy.baseballprospectus.com/fantasy/dc/index.php?tm=CIN","CIN")</f>
        <v>CIN</v>
      </c>
      <c r="L225" t="s">
        <v>100</v>
      </c>
      <c r="M225" t="s">
        <v>34</v>
      </c>
      <c r="N225">
        <v>22</v>
      </c>
      <c r="O225">
        <v>250</v>
      </c>
      <c r="P225" t="s">
        <v>1680</v>
      </c>
      <c r="Q225">
        <v>223</v>
      </c>
      <c r="R225">
        <v>34</v>
      </c>
      <c r="S225">
        <v>32</v>
      </c>
      <c r="T225">
        <v>11</v>
      </c>
      <c r="U225">
        <v>1</v>
      </c>
      <c r="V225">
        <v>10</v>
      </c>
      <c r="W225">
        <v>54</v>
      </c>
      <c r="X225">
        <v>97</v>
      </c>
      <c r="Y225">
        <v>31</v>
      </c>
      <c r="Z225">
        <v>23</v>
      </c>
      <c r="AA225">
        <v>1</v>
      </c>
      <c r="AB225">
        <v>2</v>
      </c>
      <c r="AC225">
        <v>67</v>
      </c>
      <c r="AD225">
        <v>1</v>
      </c>
      <c r="AE225">
        <v>1</v>
      </c>
      <c r="AF225">
        <v>5</v>
      </c>
      <c r="AG225">
        <v>3</v>
      </c>
      <c r="AH225">
        <v>1</v>
      </c>
      <c r="AI225" s="5">
        <v>0.24199999999999999</v>
      </c>
      <c r="AJ225" s="5">
        <v>0.316</v>
      </c>
      <c r="AK225" s="5">
        <v>0.441</v>
      </c>
      <c r="AL225" s="5">
        <v>0.249</v>
      </c>
      <c r="AM225" s="5">
        <v>0.29399999999999998</v>
      </c>
      <c r="AN225">
        <v>-0.1</v>
      </c>
      <c r="AO225">
        <v>3.4</v>
      </c>
      <c r="AP225">
        <v>7</v>
      </c>
      <c r="AQ225">
        <v>-2.76</v>
      </c>
      <c r="AR225">
        <v>0.6</v>
      </c>
      <c r="AS225" t="s">
        <v>69</v>
      </c>
      <c r="AT225">
        <v>0.9</v>
      </c>
      <c r="AU225">
        <v>7.6</v>
      </c>
      <c r="AV225">
        <v>2</v>
      </c>
      <c r="AW225">
        <v>37</v>
      </c>
      <c r="AX225">
        <v>4</v>
      </c>
      <c r="AY225">
        <v>19</v>
      </c>
      <c r="AZ225" t="s">
        <v>3802</v>
      </c>
      <c r="BA225">
        <v>55</v>
      </c>
      <c r="BB225" t="s">
        <v>36</v>
      </c>
      <c r="BC225" t="s">
        <v>35</v>
      </c>
      <c r="BD225" s="4">
        <f>HYPERLINK("http://mlb.mlb.com/team/player.jsp?player_id=643418",643418)</f>
        <v>643418</v>
      </c>
      <c r="BE225">
        <v>1476</v>
      </c>
      <c r="BF225">
        <v>476</v>
      </c>
      <c r="BG225">
        <v>0</v>
      </c>
      <c r="BH225">
        <v>0</v>
      </c>
    </row>
    <row r="226" spans="1:60" x14ac:dyDescent="0.3">
      <c r="A226" s="4">
        <f>HYPERLINK("http://legacy.baseballprospectus.com/p/105440",105440)</f>
        <v>105440</v>
      </c>
      <c r="B226" t="s">
        <v>652</v>
      </c>
      <c r="C226" t="s">
        <v>745</v>
      </c>
      <c r="D226" s="10">
        <v>34303</v>
      </c>
      <c r="E226" t="s">
        <v>59</v>
      </c>
      <c r="F226" t="s">
        <v>9</v>
      </c>
      <c r="G226" t="s">
        <v>33</v>
      </c>
      <c r="H226">
        <v>72</v>
      </c>
      <c r="I226">
        <v>230</v>
      </c>
      <c r="J226">
        <v>2018</v>
      </c>
      <c r="K226" s="4" t="str">
        <f>HYPERLINK("http://legacy.baseballprospectus.com/fantasy/dc/index.php?tm=BAL","BAL")</f>
        <v>BAL</v>
      </c>
      <c r="L226" t="s">
        <v>95</v>
      </c>
      <c r="M226" t="s">
        <v>34</v>
      </c>
      <c r="N226">
        <v>24</v>
      </c>
      <c r="O226">
        <v>250</v>
      </c>
      <c r="P226" t="s">
        <v>1680</v>
      </c>
      <c r="Q226">
        <v>216</v>
      </c>
      <c r="R226">
        <v>32</v>
      </c>
      <c r="S226">
        <v>31</v>
      </c>
      <c r="T226">
        <v>10</v>
      </c>
      <c r="U226">
        <v>1</v>
      </c>
      <c r="V226">
        <v>9</v>
      </c>
      <c r="W226">
        <v>51</v>
      </c>
      <c r="X226">
        <v>90</v>
      </c>
      <c r="Y226">
        <v>32</v>
      </c>
      <c r="Z226">
        <v>28</v>
      </c>
      <c r="AA226">
        <v>1</v>
      </c>
      <c r="AB226">
        <v>3</v>
      </c>
      <c r="AC226">
        <v>61</v>
      </c>
      <c r="AD226">
        <v>1</v>
      </c>
      <c r="AE226">
        <v>1</v>
      </c>
      <c r="AF226">
        <v>6</v>
      </c>
      <c r="AG226">
        <v>6</v>
      </c>
      <c r="AH226">
        <v>2</v>
      </c>
      <c r="AI226" s="5">
        <v>0.23400000000000001</v>
      </c>
      <c r="AJ226" s="5">
        <v>0.33100000000000002</v>
      </c>
      <c r="AK226" s="5">
        <v>0.41699999999999998</v>
      </c>
      <c r="AL226" s="5">
        <v>0.251</v>
      </c>
      <c r="AM226" s="5">
        <v>0.27900000000000003</v>
      </c>
      <c r="AN226">
        <v>0.3</v>
      </c>
      <c r="AO226">
        <v>1.24</v>
      </c>
      <c r="AP226">
        <v>7</v>
      </c>
      <c r="AQ226">
        <v>-2.2400000000000002</v>
      </c>
      <c r="AR226">
        <v>2.2999999999999998</v>
      </c>
      <c r="AS226" t="s">
        <v>3782</v>
      </c>
      <c r="AT226">
        <v>0.9</v>
      </c>
      <c r="AU226">
        <v>6.3</v>
      </c>
      <c r="AV226">
        <v>2</v>
      </c>
      <c r="AW226">
        <v>16</v>
      </c>
      <c r="AX226">
        <v>12</v>
      </c>
      <c r="AY226">
        <v>23</v>
      </c>
      <c r="AZ226" t="s">
        <v>3783</v>
      </c>
      <c r="BA226">
        <v>36</v>
      </c>
      <c r="BB226" t="s">
        <v>36</v>
      </c>
      <c r="BC226" t="s">
        <v>35</v>
      </c>
      <c r="BD226" s="4">
        <f>HYPERLINK("http://mlb.mlb.com/team/player.jsp?player_id=621466",621466)</f>
        <v>621466</v>
      </c>
      <c r="BE226">
        <v>0</v>
      </c>
      <c r="BF226">
        <v>0</v>
      </c>
      <c r="BG226">
        <v>0</v>
      </c>
      <c r="BH226">
        <v>0</v>
      </c>
    </row>
    <row r="227" spans="1:60" x14ac:dyDescent="0.3">
      <c r="A227" s="4">
        <f>HYPERLINK("http://legacy.baseballprospectus.com/p/36436",36436)</f>
        <v>36436</v>
      </c>
      <c r="B227" t="s">
        <v>398</v>
      </c>
      <c r="C227" t="s">
        <v>348</v>
      </c>
      <c r="D227" s="10">
        <v>30368</v>
      </c>
      <c r="E227" t="s">
        <v>59</v>
      </c>
      <c r="F227" t="s">
        <v>33</v>
      </c>
      <c r="G227" t="s">
        <v>33</v>
      </c>
      <c r="H227">
        <v>74</v>
      </c>
      <c r="I227">
        <v>200</v>
      </c>
      <c r="J227">
        <v>2018</v>
      </c>
      <c r="K227" s="4" t="str">
        <f>HYPERLINK("http://legacy.baseballprospectus.com/fantasy/dc/index.php?tm=LAN","LAN")</f>
        <v>LAN</v>
      </c>
      <c r="L227" t="s">
        <v>100</v>
      </c>
      <c r="M227" t="s">
        <v>34</v>
      </c>
      <c r="N227">
        <v>35</v>
      </c>
      <c r="O227">
        <v>250</v>
      </c>
      <c r="P227" t="s">
        <v>1680</v>
      </c>
      <c r="Q227">
        <v>225</v>
      </c>
      <c r="R227">
        <v>30</v>
      </c>
      <c r="S227">
        <v>30</v>
      </c>
      <c r="T227">
        <v>11</v>
      </c>
      <c r="U227">
        <v>0</v>
      </c>
      <c r="V227">
        <v>11</v>
      </c>
      <c r="W227">
        <v>52</v>
      </c>
      <c r="X227">
        <v>96</v>
      </c>
      <c r="Y227">
        <v>35</v>
      </c>
      <c r="Z227">
        <v>21</v>
      </c>
      <c r="AA227">
        <v>0</v>
      </c>
      <c r="AB227">
        <v>2</v>
      </c>
      <c r="AC227">
        <v>74</v>
      </c>
      <c r="AD227">
        <v>0</v>
      </c>
      <c r="AE227">
        <v>1</v>
      </c>
      <c r="AF227">
        <v>6</v>
      </c>
      <c r="AG227">
        <v>1</v>
      </c>
      <c r="AH227">
        <v>0</v>
      </c>
      <c r="AI227" s="5">
        <v>0.23599999999999999</v>
      </c>
      <c r="AJ227" s="5">
        <v>0.30499999999999999</v>
      </c>
      <c r="AK227" s="5">
        <v>0.437</v>
      </c>
      <c r="AL227" s="5">
        <v>0.253</v>
      </c>
      <c r="AM227" s="5">
        <v>0.29399999999999998</v>
      </c>
      <c r="AN227">
        <v>0.4</v>
      </c>
      <c r="AO227">
        <v>1.17</v>
      </c>
      <c r="AP227">
        <v>7</v>
      </c>
      <c r="AQ227">
        <v>-1.9</v>
      </c>
      <c r="AR227">
        <v>0.8</v>
      </c>
      <c r="AS227" t="s">
        <v>1543</v>
      </c>
      <c r="AT227">
        <v>0.8</v>
      </c>
      <c r="AU227">
        <v>6.7</v>
      </c>
      <c r="AV227">
        <v>1</v>
      </c>
      <c r="AW227">
        <v>21</v>
      </c>
      <c r="AX227">
        <v>10</v>
      </c>
      <c r="AY227">
        <v>26</v>
      </c>
      <c r="AZ227" t="s">
        <v>3795</v>
      </c>
      <c r="BA227">
        <v>81</v>
      </c>
      <c r="BB227" t="s">
        <v>36</v>
      </c>
      <c r="BC227" t="s">
        <v>36</v>
      </c>
      <c r="BD227" s="4">
        <f>HYPERLINK("http://mlb.mlb.com/team/player.jsp?player_id=429711",429711)</f>
        <v>429711</v>
      </c>
      <c r="BE227">
        <v>0</v>
      </c>
      <c r="BF227">
        <v>0</v>
      </c>
      <c r="BG227">
        <v>63</v>
      </c>
      <c r="BH227">
        <v>56</v>
      </c>
    </row>
    <row r="228" spans="1:60" x14ac:dyDescent="0.3">
      <c r="A228" s="4">
        <f>HYPERLINK("http://legacy.baseballprospectus.com/p/48037",48037)</f>
        <v>48037</v>
      </c>
      <c r="B228" t="s">
        <v>474</v>
      </c>
      <c r="C228" t="s">
        <v>313</v>
      </c>
      <c r="D228" s="10">
        <v>30514</v>
      </c>
      <c r="E228" t="s">
        <v>50</v>
      </c>
      <c r="F228" t="s">
        <v>9</v>
      </c>
      <c r="G228" t="s">
        <v>9</v>
      </c>
      <c r="H228">
        <v>74</v>
      </c>
      <c r="I228">
        <v>195</v>
      </c>
      <c r="J228">
        <v>2018</v>
      </c>
      <c r="K228" s="4" t="str">
        <f>HYPERLINK("http://legacy.baseballprospectus.com/fantasy/dc/index.php?tm=WAS","WAS")</f>
        <v>WAS</v>
      </c>
      <c r="L228" t="s">
        <v>100</v>
      </c>
      <c r="M228" t="s">
        <v>34</v>
      </c>
      <c r="N228">
        <v>34</v>
      </c>
      <c r="O228">
        <v>308</v>
      </c>
      <c r="P228" t="s">
        <v>1680</v>
      </c>
      <c r="Q228">
        <v>276</v>
      </c>
      <c r="R228">
        <v>37</v>
      </c>
      <c r="S228">
        <v>49</v>
      </c>
      <c r="T228">
        <v>15</v>
      </c>
      <c r="U228">
        <v>0</v>
      </c>
      <c r="V228">
        <v>12</v>
      </c>
      <c r="W228">
        <v>76</v>
      </c>
      <c r="X228">
        <v>127</v>
      </c>
      <c r="Y228">
        <v>43</v>
      </c>
      <c r="Z228">
        <v>29</v>
      </c>
      <c r="AA228">
        <v>4</v>
      </c>
      <c r="AB228">
        <v>1</v>
      </c>
      <c r="AC228">
        <v>59</v>
      </c>
      <c r="AD228">
        <v>0</v>
      </c>
      <c r="AE228">
        <v>2</v>
      </c>
      <c r="AF228">
        <v>9</v>
      </c>
      <c r="AG228">
        <v>0</v>
      </c>
      <c r="AH228">
        <v>0</v>
      </c>
      <c r="AI228" s="5">
        <v>0.27600000000000002</v>
      </c>
      <c r="AJ228" s="5">
        <v>0.34399999999999997</v>
      </c>
      <c r="AK228" s="5">
        <v>0.46300000000000002</v>
      </c>
      <c r="AL228" s="5">
        <v>0.26500000000000001</v>
      </c>
      <c r="AM228" s="5">
        <v>0.309</v>
      </c>
      <c r="AN228">
        <v>-0.4</v>
      </c>
      <c r="AO228">
        <v>-1.07</v>
      </c>
      <c r="AP228">
        <v>8.6199999999999992</v>
      </c>
      <c r="AQ228">
        <v>1.56</v>
      </c>
      <c r="AR228">
        <v>-1.8</v>
      </c>
      <c r="AS228" t="s">
        <v>3803</v>
      </c>
      <c r="AT228">
        <v>0.8</v>
      </c>
      <c r="AU228">
        <v>8.8000000000000007</v>
      </c>
      <c r="AV228">
        <v>0</v>
      </c>
      <c r="AW228">
        <v>36</v>
      </c>
      <c r="AX228">
        <v>6</v>
      </c>
      <c r="AY228">
        <v>18</v>
      </c>
      <c r="AZ228" t="s">
        <v>3804</v>
      </c>
      <c r="BA228">
        <v>95</v>
      </c>
      <c r="BB228" t="s">
        <v>36</v>
      </c>
      <c r="BC228" t="s">
        <v>36</v>
      </c>
      <c r="BD228" s="4">
        <f>HYPERLINK("http://mlb.mlb.com/team/player.jsp?player_id=452252",452252)</f>
        <v>452252</v>
      </c>
      <c r="BE228">
        <v>0</v>
      </c>
      <c r="BF228">
        <v>0</v>
      </c>
      <c r="BG228">
        <v>301</v>
      </c>
      <c r="BH228">
        <v>267</v>
      </c>
    </row>
    <row r="229" spans="1:60" x14ac:dyDescent="0.3">
      <c r="A229" s="4">
        <f>HYPERLINK("http://legacy.baseballprospectus.com/p/56615",56615)</f>
        <v>56615</v>
      </c>
      <c r="B229" t="s">
        <v>597</v>
      </c>
      <c r="C229" t="s">
        <v>345</v>
      </c>
      <c r="D229" s="10">
        <v>32266</v>
      </c>
      <c r="E229" t="s">
        <v>59</v>
      </c>
      <c r="F229" t="s">
        <v>9</v>
      </c>
      <c r="G229" t="s">
        <v>33</v>
      </c>
      <c r="H229">
        <v>69</v>
      </c>
      <c r="I229">
        <v>175</v>
      </c>
      <c r="J229">
        <v>2018</v>
      </c>
      <c r="K229" s="4" t="str">
        <f>HYPERLINK("http://legacy.baseballprospectus.com/fantasy/dc/index.php?tm=ANA","ANA")</f>
        <v>ANA</v>
      </c>
      <c r="L229" t="s">
        <v>95</v>
      </c>
      <c r="M229" t="s">
        <v>34</v>
      </c>
      <c r="N229">
        <v>30</v>
      </c>
      <c r="O229">
        <v>305</v>
      </c>
      <c r="P229" t="s">
        <v>1680</v>
      </c>
      <c r="Q229">
        <v>284</v>
      </c>
      <c r="R229">
        <v>38</v>
      </c>
      <c r="S229">
        <v>64</v>
      </c>
      <c r="T229">
        <v>10</v>
      </c>
      <c r="U229">
        <v>3</v>
      </c>
      <c r="V229">
        <v>3</v>
      </c>
      <c r="W229">
        <v>80</v>
      </c>
      <c r="X229">
        <v>105</v>
      </c>
      <c r="Y229">
        <v>23</v>
      </c>
      <c r="Z229">
        <v>15</v>
      </c>
      <c r="AA229">
        <v>0</v>
      </c>
      <c r="AB229">
        <v>2</v>
      </c>
      <c r="AC229">
        <v>30</v>
      </c>
      <c r="AD229">
        <v>3</v>
      </c>
      <c r="AE229">
        <v>2</v>
      </c>
      <c r="AF229">
        <v>9</v>
      </c>
      <c r="AG229">
        <v>17</v>
      </c>
      <c r="AH229">
        <v>4</v>
      </c>
      <c r="AI229" s="5">
        <v>0.28100000000000003</v>
      </c>
      <c r="AJ229" s="5">
        <v>0.318</v>
      </c>
      <c r="AK229" s="5">
        <v>0.37</v>
      </c>
      <c r="AL229" s="5">
        <v>0.23699999999999999</v>
      </c>
      <c r="AM229" s="5">
        <v>0.29899999999999999</v>
      </c>
      <c r="AN229">
        <v>3.3</v>
      </c>
      <c r="AO229">
        <v>1.76</v>
      </c>
      <c r="AP229">
        <v>8.5399999999999991</v>
      </c>
      <c r="AQ229">
        <v>-7.42</v>
      </c>
      <c r="AR229">
        <v>0.8</v>
      </c>
      <c r="AS229" t="s">
        <v>1330</v>
      </c>
      <c r="AT229">
        <v>0.8</v>
      </c>
      <c r="AU229">
        <v>6.2</v>
      </c>
      <c r="AV229">
        <v>2</v>
      </c>
      <c r="AW229">
        <v>36</v>
      </c>
      <c r="AX229">
        <v>13</v>
      </c>
      <c r="AY229">
        <v>17</v>
      </c>
      <c r="AZ229" t="s">
        <v>3806</v>
      </c>
      <c r="BA229">
        <v>94</v>
      </c>
      <c r="BB229" t="s">
        <v>36</v>
      </c>
      <c r="BC229" t="s">
        <v>36</v>
      </c>
      <c r="BD229" s="4">
        <f>HYPERLINK("http://mlb.mlb.com/team/player.jsp?player_id=519184",519184)</f>
        <v>519184</v>
      </c>
      <c r="BE229">
        <v>0</v>
      </c>
      <c r="BF229">
        <v>0</v>
      </c>
      <c r="BG229">
        <v>308</v>
      </c>
      <c r="BH229">
        <v>291</v>
      </c>
    </row>
    <row r="230" spans="1:60" x14ac:dyDescent="0.3">
      <c r="A230" s="4">
        <f>HYPERLINK("http://legacy.baseballprospectus.com/p/59617",59617)</f>
        <v>59617</v>
      </c>
      <c r="B230" t="s">
        <v>1694</v>
      </c>
      <c r="C230" t="s">
        <v>1695</v>
      </c>
      <c r="D230" s="10">
        <v>33046</v>
      </c>
      <c r="E230" t="s">
        <v>65</v>
      </c>
      <c r="F230" t="s">
        <v>9</v>
      </c>
      <c r="G230" t="s">
        <v>9</v>
      </c>
      <c r="H230">
        <v>73</v>
      </c>
      <c r="I230">
        <v>220</v>
      </c>
      <c r="J230">
        <v>2018</v>
      </c>
      <c r="K230" s="4" t="str">
        <f>HYPERLINK("http://legacy.baseballprospectus.com/fantasy/dc/index.php?tm=TOR","TOR")</f>
        <v>TOR</v>
      </c>
      <c r="L230" t="s">
        <v>95</v>
      </c>
      <c r="M230" t="s">
        <v>34</v>
      </c>
      <c r="N230">
        <v>28</v>
      </c>
      <c r="O230">
        <v>250</v>
      </c>
      <c r="P230" t="s">
        <v>1680</v>
      </c>
      <c r="Q230">
        <v>227</v>
      </c>
      <c r="R230">
        <v>34</v>
      </c>
      <c r="S230">
        <v>34</v>
      </c>
      <c r="T230">
        <v>12</v>
      </c>
      <c r="U230">
        <v>1</v>
      </c>
      <c r="V230">
        <v>8</v>
      </c>
      <c r="W230">
        <v>55</v>
      </c>
      <c r="X230">
        <v>93</v>
      </c>
      <c r="Y230">
        <v>27</v>
      </c>
      <c r="Z230">
        <v>19</v>
      </c>
      <c r="AA230">
        <v>1</v>
      </c>
      <c r="AB230">
        <v>2</v>
      </c>
      <c r="AC230">
        <v>64</v>
      </c>
      <c r="AD230">
        <v>0</v>
      </c>
      <c r="AE230">
        <v>2</v>
      </c>
      <c r="AF230">
        <v>7</v>
      </c>
      <c r="AG230">
        <v>8</v>
      </c>
      <c r="AH230">
        <v>2</v>
      </c>
      <c r="AI230" s="5">
        <v>0.246</v>
      </c>
      <c r="AJ230" s="5">
        <v>0.308</v>
      </c>
      <c r="AK230" s="5">
        <v>0.42099999999999999</v>
      </c>
      <c r="AL230" s="5">
        <v>0.245</v>
      </c>
      <c r="AM230" s="5">
        <v>0.30199999999999999</v>
      </c>
      <c r="AN230">
        <v>0.5</v>
      </c>
      <c r="AO230">
        <v>1.63</v>
      </c>
      <c r="AP230">
        <v>7</v>
      </c>
      <c r="AQ230">
        <v>-3.84</v>
      </c>
      <c r="AR230">
        <v>1.8</v>
      </c>
      <c r="AS230" t="s">
        <v>3807</v>
      </c>
      <c r="AT230">
        <v>0.8</v>
      </c>
      <c r="AU230">
        <v>5.3</v>
      </c>
      <c r="AV230">
        <v>5</v>
      </c>
      <c r="AW230">
        <v>15</v>
      </c>
      <c r="AX230">
        <v>12</v>
      </c>
      <c r="AY230">
        <v>29</v>
      </c>
      <c r="AZ230" t="s">
        <v>3808</v>
      </c>
      <c r="BA230">
        <v>41</v>
      </c>
      <c r="BB230" t="s">
        <v>36</v>
      </c>
      <c r="BC230" t="s">
        <v>35</v>
      </c>
      <c r="BD230" s="4">
        <f>HYPERLINK("http://mlb.mlb.com/team/player.jsp?player_id=571553",571553)</f>
        <v>571553</v>
      </c>
      <c r="BE230">
        <v>0</v>
      </c>
      <c r="BF230">
        <v>0</v>
      </c>
      <c r="BG230">
        <v>5</v>
      </c>
      <c r="BH230">
        <v>5</v>
      </c>
    </row>
    <row r="231" spans="1:60" x14ac:dyDescent="0.3">
      <c r="A231" s="4">
        <f>HYPERLINK("http://legacy.baseballprospectus.com/p/60794",60794)</f>
        <v>60794</v>
      </c>
      <c r="B231" t="s">
        <v>335</v>
      </c>
      <c r="C231" t="s">
        <v>241</v>
      </c>
      <c r="D231" s="10">
        <v>33689</v>
      </c>
      <c r="E231" t="s">
        <v>57</v>
      </c>
      <c r="F231" t="s">
        <v>9</v>
      </c>
      <c r="G231" t="s">
        <v>9</v>
      </c>
      <c r="H231">
        <v>70</v>
      </c>
      <c r="I231">
        <v>190</v>
      </c>
      <c r="J231">
        <v>2018</v>
      </c>
      <c r="K231" s="4" t="str">
        <f>HYPERLINK("http://legacy.baseballprospectus.com/fantasy/dc/index.php?tm=ARI","ARI")</f>
        <v>ARI</v>
      </c>
      <c r="L231" t="s">
        <v>95</v>
      </c>
      <c r="M231" t="s">
        <v>34</v>
      </c>
      <c r="N231">
        <v>26</v>
      </c>
      <c r="O231">
        <v>250</v>
      </c>
      <c r="P231" t="s">
        <v>1680</v>
      </c>
      <c r="Q231">
        <v>216</v>
      </c>
      <c r="R231">
        <v>29</v>
      </c>
      <c r="S231">
        <v>38</v>
      </c>
      <c r="T231">
        <v>10</v>
      </c>
      <c r="U231">
        <v>1</v>
      </c>
      <c r="V231">
        <v>7</v>
      </c>
      <c r="W231">
        <v>56</v>
      </c>
      <c r="X231">
        <v>89</v>
      </c>
      <c r="Y231">
        <v>29</v>
      </c>
      <c r="Z231">
        <v>29</v>
      </c>
      <c r="AA231">
        <v>1</v>
      </c>
      <c r="AB231">
        <v>2</v>
      </c>
      <c r="AC231">
        <v>47</v>
      </c>
      <c r="AD231">
        <v>2</v>
      </c>
      <c r="AE231">
        <v>2</v>
      </c>
      <c r="AF231">
        <v>7</v>
      </c>
      <c r="AG231">
        <v>2</v>
      </c>
      <c r="AH231">
        <v>1</v>
      </c>
      <c r="AI231" s="5">
        <v>0.253</v>
      </c>
      <c r="AJ231" s="5">
        <v>0.34399999999999997</v>
      </c>
      <c r="AK231" s="5">
        <v>0.39900000000000002</v>
      </c>
      <c r="AL231" s="5">
        <v>0.25700000000000001</v>
      </c>
      <c r="AM231" s="5">
        <v>0.28999999999999998</v>
      </c>
      <c r="AN231">
        <v>0.7</v>
      </c>
      <c r="AO231">
        <v>0.63</v>
      </c>
      <c r="AP231">
        <v>7</v>
      </c>
      <c r="AQ231">
        <v>-0.87</v>
      </c>
      <c r="AR231">
        <v>-0.5</v>
      </c>
      <c r="AS231" t="s">
        <v>3720</v>
      </c>
      <c r="AT231">
        <v>0.8</v>
      </c>
      <c r="AU231">
        <v>7.5</v>
      </c>
      <c r="AV231">
        <v>7</v>
      </c>
      <c r="AW231">
        <v>36</v>
      </c>
      <c r="AX231">
        <v>7</v>
      </c>
      <c r="AY231">
        <v>18</v>
      </c>
      <c r="AZ231" t="s">
        <v>3809</v>
      </c>
      <c r="BA231">
        <v>60</v>
      </c>
      <c r="BB231" t="s">
        <v>36</v>
      </c>
      <c r="BC231" t="s">
        <v>36</v>
      </c>
      <c r="BD231" s="4">
        <f>HYPERLINK("http://mlb.mlb.com/team/player.jsp?player_id=570717",570717)</f>
        <v>570717</v>
      </c>
      <c r="BE231">
        <v>0</v>
      </c>
      <c r="BF231">
        <v>0</v>
      </c>
      <c r="BG231">
        <v>9</v>
      </c>
      <c r="BH231">
        <v>8</v>
      </c>
    </row>
    <row r="232" spans="1:60" x14ac:dyDescent="0.3">
      <c r="A232" s="4">
        <f>HYPERLINK("http://legacy.baseballprospectus.com/p/65816",65816)</f>
        <v>65816</v>
      </c>
      <c r="B232" t="s">
        <v>350</v>
      </c>
      <c r="C232" t="s">
        <v>142</v>
      </c>
      <c r="D232" s="10">
        <v>31993</v>
      </c>
      <c r="E232" t="s">
        <v>53</v>
      </c>
      <c r="F232" t="s">
        <v>9</v>
      </c>
      <c r="G232" t="s">
        <v>33</v>
      </c>
      <c r="H232">
        <v>72</v>
      </c>
      <c r="I232">
        <v>190</v>
      </c>
      <c r="J232">
        <v>2018</v>
      </c>
      <c r="K232" s="4" t="str">
        <f>HYPERLINK("http://legacy.baseballprospectus.com/fantasy/dc/index.php?tm=CHN","CHN")</f>
        <v>CHN</v>
      </c>
      <c r="L232" t="s">
        <v>100</v>
      </c>
      <c r="M232" t="s">
        <v>34</v>
      </c>
      <c r="N232">
        <v>30</v>
      </c>
      <c r="O232">
        <v>250</v>
      </c>
      <c r="P232" t="s">
        <v>1680</v>
      </c>
      <c r="Q232">
        <v>223</v>
      </c>
      <c r="R232">
        <v>30</v>
      </c>
      <c r="S232">
        <v>41</v>
      </c>
      <c r="T232">
        <v>10</v>
      </c>
      <c r="U232">
        <v>2</v>
      </c>
      <c r="V232">
        <v>5</v>
      </c>
      <c r="W232">
        <v>58</v>
      </c>
      <c r="X232">
        <v>87</v>
      </c>
      <c r="Y232">
        <v>23</v>
      </c>
      <c r="Z232">
        <v>22</v>
      </c>
      <c r="AA232">
        <v>2</v>
      </c>
      <c r="AB232">
        <v>2</v>
      </c>
      <c r="AC232">
        <v>56</v>
      </c>
      <c r="AD232">
        <v>1</v>
      </c>
      <c r="AE232">
        <v>1</v>
      </c>
      <c r="AF232">
        <v>6</v>
      </c>
      <c r="AG232">
        <v>4</v>
      </c>
      <c r="AH232">
        <v>0</v>
      </c>
      <c r="AI232" s="5">
        <v>0.254</v>
      </c>
      <c r="AJ232" s="5">
        <v>0.32700000000000001</v>
      </c>
      <c r="AK232" s="5">
        <v>0.374</v>
      </c>
      <c r="AL232" s="5">
        <v>0.23400000000000001</v>
      </c>
      <c r="AM232" s="5">
        <v>0.316</v>
      </c>
      <c r="AN232">
        <v>0.4</v>
      </c>
      <c r="AO232">
        <v>2.81</v>
      </c>
      <c r="AP232">
        <v>7</v>
      </c>
      <c r="AQ232">
        <v>-6.72</v>
      </c>
      <c r="AR232">
        <v>3.4</v>
      </c>
      <c r="AS232" t="s">
        <v>3810</v>
      </c>
      <c r="AT232">
        <v>0.8</v>
      </c>
      <c r="AU232">
        <v>3.5</v>
      </c>
      <c r="AV232">
        <v>2</v>
      </c>
      <c r="AW232">
        <v>9</v>
      </c>
      <c r="AX232">
        <v>8</v>
      </c>
      <c r="AY232">
        <v>20</v>
      </c>
      <c r="AZ232" t="s">
        <v>3811</v>
      </c>
      <c r="BA232">
        <v>32</v>
      </c>
      <c r="BB232" t="s">
        <v>36</v>
      </c>
      <c r="BC232" t="s">
        <v>35</v>
      </c>
      <c r="BD232" s="4">
        <f>HYPERLINK("http://mlb.mlb.com/team/player.jsp?player_id=502273",502273)</f>
        <v>502273</v>
      </c>
      <c r="BE232">
        <v>1740</v>
      </c>
      <c r="BF232">
        <v>740</v>
      </c>
      <c r="BG232">
        <v>66</v>
      </c>
      <c r="BH232">
        <v>60</v>
      </c>
    </row>
    <row r="233" spans="1:60" x14ac:dyDescent="0.3">
      <c r="A233" s="4">
        <f>HYPERLINK("http://legacy.baseballprospectus.com/p/106423",106423)</f>
        <v>106423</v>
      </c>
      <c r="B233" t="s">
        <v>871</v>
      </c>
      <c r="C233" t="s">
        <v>169</v>
      </c>
      <c r="D233" s="10">
        <v>34388</v>
      </c>
      <c r="E233" t="s">
        <v>50</v>
      </c>
      <c r="F233" t="s">
        <v>9</v>
      </c>
      <c r="G233" t="s">
        <v>9</v>
      </c>
      <c r="H233">
        <v>75</v>
      </c>
      <c r="I233">
        <v>225</v>
      </c>
      <c r="J233">
        <v>2018</v>
      </c>
      <c r="K233" s="4" t="str">
        <f>HYPERLINK("http://legacy.baseballprospectus.com/fantasy/dc/index.php?tm=TBA","TBA")</f>
        <v>TBA</v>
      </c>
      <c r="L233" t="s">
        <v>95</v>
      </c>
      <c r="M233" t="s">
        <v>34</v>
      </c>
      <c r="N233">
        <v>24</v>
      </c>
      <c r="O233">
        <v>250</v>
      </c>
      <c r="P233" t="s">
        <v>1680</v>
      </c>
      <c r="Q233">
        <v>212</v>
      </c>
      <c r="R233">
        <v>29</v>
      </c>
      <c r="S233">
        <v>32</v>
      </c>
      <c r="T233">
        <v>11</v>
      </c>
      <c r="U233">
        <v>2</v>
      </c>
      <c r="V233">
        <v>6</v>
      </c>
      <c r="W233">
        <v>51</v>
      </c>
      <c r="X233">
        <v>84</v>
      </c>
      <c r="Y233">
        <v>28</v>
      </c>
      <c r="Z233">
        <v>32</v>
      </c>
      <c r="AA233">
        <v>1</v>
      </c>
      <c r="AB233">
        <v>3</v>
      </c>
      <c r="AC233">
        <v>57</v>
      </c>
      <c r="AD233">
        <v>1</v>
      </c>
      <c r="AE233">
        <v>1</v>
      </c>
      <c r="AF233">
        <v>5</v>
      </c>
      <c r="AG233">
        <v>5</v>
      </c>
      <c r="AH233">
        <v>1</v>
      </c>
      <c r="AI233" s="5">
        <v>0.23899999999999999</v>
      </c>
      <c r="AJ233" s="5">
        <v>0.34699999999999998</v>
      </c>
      <c r="AK233" s="5">
        <v>0.39100000000000001</v>
      </c>
      <c r="AL233" s="5">
        <v>0.26100000000000001</v>
      </c>
      <c r="AM233" s="5">
        <v>0.29699999999999999</v>
      </c>
      <c r="AN233">
        <v>0.3</v>
      </c>
      <c r="AO233">
        <v>-0.47</v>
      </c>
      <c r="AP233">
        <v>7</v>
      </c>
      <c r="AQ233">
        <v>0.22</v>
      </c>
      <c r="AR233">
        <v>-0.2</v>
      </c>
      <c r="AS233" t="s">
        <v>3803</v>
      </c>
      <c r="AT233">
        <v>0.8</v>
      </c>
      <c r="AU233">
        <v>7.1</v>
      </c>
      <c r="AV233">
        <v>2</v>
      </c>
      <c r="AW233">
        <v>14</v>
      </c>
      <c r="AX233">
        <v>9</v>
      </c>
      <c r="AY233">
        <v>26</v>
      </c>
      <c r="AZ233" t="s">
        <v>3819</v>
      </c>
      <c r="BA233">
        <v>38</v>
      </c>
      <c r="BB233" t="s">
        <v>36</v>
      </c>
      <c r="BC233" t="s">
        <v>35</v>
      </c>
      <c r="BD233" s="4">
        <f>HYPERLINK("http://mlb.mlb.com/team/player.jsp?player_id=663411",663411)</f>
        <v>663411</v>
      </c>
      <c r="BE233">
        <v>0</v>
      </c>
      <c r="BF233">
        <v>0</v>
      </c>
      <c r="BG233">
        <v>0</v>
      </c>
      <c r="BH233">
        <v>0</v>
      </c>
    </row>
    <row r="234" spans="1:60" x14ac:dyDescent="0.3">
      <c r="A234" s="4">
        <f>HYPERLINK("http://legacy.baseballprospectus.com/p/107858",107858)</f>
        <v>107858</v>
      </c>
      <c r="B234" t="s">
        <v>371</v>
      </c>
      <c r="C234" t="s">
        <v>180</v>
      </c>
      <c r="D234" s="10">
        <v>36042</v>
      </c>
      <c r="E234" t="s">
        <v>53</v>
      </c>
      <c r="F234" t="s">
        <v>9</v>
      </c>
      <c r="G234" t="s">
        <v>33</v>
      </c>
      <c r="H234">
        <v>71</v>
      </c>
      <c r="I234">
        <v>176</v>
      </c>
      <c r="J234">
        <v>2018</v>
      </c>
      <c r="K234" s="4" t="str">
        <f>HYPERLINK("http://legacy.baseballprospectus.com/fantasy/dc/index.php?tm=NYN","NYN")</f>
        <v>NYN</v>
      </c>
      <c r="L234" t="s">
        <v>100</v>
      </c>
      <c r="M234" t="s">
        <v>34</v>
      </c>
      <c r="N234">
        <v>19</v>
      </c>
      <c r="O234">
        <v>250</v>
      </c>
      <c r="P234" t="s">
        <v>1680</v>
      </c>
      <c r="Q234">
        <v>223</v>
      </c>
      <c r="R234">
        <v>30</v>
      </c>
      <c r="S234">
        <v>36</v>
      </c>
      <c r="T234">
        <v>9</v>
      </c>
      <c r="U234">
        <v>1</v>
      </c>
      <c r="V234">
        <v>7</v>
      </c>
      <c r="W234">
        <v>53</v>
      </c>
      <c r="X234">
        <v>85</v>
      </c>
      <c r="Y234">
        <v>25</v>
      </c>
      <c r="Z234">
        <v>18</v>
      </c>
      <c r="AA234">
        <v>1</v>
      </c>
      <c r="AB234">
        <v>5</v>
      </c>
      <c r="AC234">
        <v>58</v>
      </c>
      <c r="AD234">
        <v>2</v>
      </c>
      <c r="AE234">
        <v>1</v>
      </c>
      <c r="AF234">
        <v>5</v>
      </c>
      <c r="AG234">
        <v>3</v>
      </c>
      <c r="AH234">
        <v>2</v>
      </c>
      <c r="AI234" s="5">
        <v>0.23499999999999999</v>
      </c>
      <c r="AJ234" s="5">
        <v>0.30499999999999999</v>
      </c>
      <c r="AK234" s="5">
        <v>0.375</v>
      </c>
      <c r="AL234" s="5">
        <v>0.23300000000000001</v>
      </c>
      <c r="AM234" s="5">
        <v>0.28199999999999997</v>
      </c>
      <c r="AN234">
        <v>-0.3</v>
      </c>
      <c r="AO234">
        <v>4.24</v>
      </c>
      <c r="AP234">
        <v>7</v>
      </c>
      <c r="AQ234">
        <v>-7.19</v>
      </c>
      <c r="AR234">
        <v>3.2</v>
      </c>
      <c r="AS234" t="s">
        <v>84</v>
      </c>
      <c r="AT234">
        <v>0.8</v>
      </c>
      <c r="AU234">
        <v>3.8</v>
      </c>
      <c r="AV234">
        <v>0</v>
      </c>
      <c r="AW234">
        <v>7</v>
      </c>
      <c r="AX234">
        <v>1</v>
      </c>
      <c r="AY234">
        <v>28</v>
      </c>
      <c r="AZ234" t="s">
        <v>3820</v>
      </c>
      <c r="BA234">
        <v>35</v>
      </c>
      <c r="BB234" t="s">
        <v>36</v>
      </c>
      <c r="BC234" t="s">
        <v>35</v>
      </c>
      <c r="BD234" s="4">
        <f>HYPERLINK("http://mlb.mlb.com/team/player.jsp?player_id=665926",665926)</f>
        <v>665926</v>
      </c>
      <c r="BE234">
        <v>1560</v>
      </c>
      <c r="BF234">
        <v>560</v>
      </c>
      <c r="BG234">
        <v>0</v>
      </c>
      <c r="BH234">
        <v>0</v>
      </c>
    </row>
    <row r="235" spans="1:60" x14ac:dyDescent="0.3">
      <c r="A235" s="4">
        <f>HYPERLINK("http://legacy.baseballprospectus.com/p/108507",108507)</f>
        <v>108507</v>
      </c>
      <c r="B235" t="s">
        <v>922</v>
      </c>
      <c r="C235" t="s">
        <v>344</v>
      </c>
      <c r="D235" s="10">
        <v>34807</v>
      </c>
      <c r="E235" t="s">
        <v>54</v>
      </c>
      <c r="F235" t="s">
        <v>33</v>
      </c>
      <c r="G235" t="s">
        <v>33</v>
      </c>
      <c r="H235">
        <v>73</v>
      </c>
      <c r="I235">
        <v>190</v>
      </c>
      <c r="J235">
        <v>2018</v>
      </c>
      <c r="K235" s="4" t="str">
        <f>HYPERLINK("http://legacy.baseballprospectus.com/fantasy/dc/index.php?tm=DET","DET")</f>
        <v>DET</v>
      </c>
      <c r="L235" t="s">
        <v>95</v>
      </c>
      <c r="M235" t="s">
        <v>34</v>
      </c>
      <c r="N235">
        <v>23</v>
      </c>
      <c r="O235">
        <v>250</v>
      </c>
      <c r="P235" t="s">
        <v>1680</v>
      </c>
      <c r="Q235">
        <v>223</v>
      </c>
      <c r="R235">
        <v>30</v>
      </c>
      <c r="S235">
        <v>31</v>
      </c>
      <c r="T235">
        <v>11</v>
      </c>
      <c r="U235">
        <v>1</v>
      </c>
      <c r="V235">
        <v>10</v>
      </c>
      <c r="W235">
        <v>53</v>
      </c>
      <c r="X235">
        <v>96</v>
      </c>
      <c r="Y235">
        <v>33</v>
      </c>
      <c r="Z235">
        <v>22</v>
      </c>
      <c r="AA235">
        <v>2</v>
      </c>
      <c r="AB235">
        <v>3</v>
      </c>
      <c r="AC235">
        <v>66</v>
      </c>
      <c r="AD235">
        <v>1</v>
      </c>
      <c r="AE235">
        <v>2</v>
      </c>
      <c r="AF235">
        <v>6</v>
      </c>
      <c r="AG235">
        <v>4</v>
      </c>
      <c r="AH235">
        <v>2</v>
      </c>
      <c r="AI235" s="5">
        <v>0.23499999999999999</v>
      </c>
      <c r="AJ235" s="5">
        <v>0.31</v>
      </c>
      <c r="AK235" s="5">
        <v>0.42599999999999999</v>
      </c>
      <c r="AL235" s="5">
        <v>0.24199999999999999</v>
      </c>
      <c r="AM235" s="5">
        <v>0.28499999999999998</v>
      </c>
      <c r="AN235">
        <v>-0.2</v>
      </c>
      <c r="AO235">
        <v>5.01</v>
      </c>
      <c r="AP235">
        <v>7</v>
      </c>
      <c r="AQ235">
        <v>-4.8499999999999996</v>
      </c>
      <c r="AR235">
        <v>0.3</v>
      </c>
      <c r="AS235" t="s">
        <v>71</v>
      </c>
      <c r="AT235">
        <v>0.8</v>
      </c>
      <c r="AU235">
        <v>7</v>
      </c>
      <c r="AV235">
        <v>7</v>
      </c>
      <c r="AW235">
        <v>14</v>
      </c>
      <c r="AX235">
        <v>4</v>
      </c>
      <c r="AY235">
        <v>17</v>
      </c>
      <c r="AZ235" t="s">
        <v>3821</v>
      </c>
      <c r="BA235">
        <v>29</v>
      </c>
      <c r="BB235" t="s">
        <v>36</v>
      </c>
      <c r="BC235" t="s">
        <v>35</v>
      </c>
      <c r="BD235" s="4">
        <f>HYPERLINK("http://mlb.mlb.com/team/player.jsp?player_id=668670",668670)</f>
        <v>668670</v>
      </c>
      <c r="BE235">
        <v>394</v>
      </c>
      <c r="BF235">
        <v>1394</v>
      </c>
      <c r="BG235">
        <v>0</v>
      </c>
      <c r="BH235">
        <v>0</v>
      </c>
    </row>
    <row r="236" spans="1:60" x14ac:dyDescent="0.3">
      <c r="A236" s="4">
        <f>HYPERLINK("http://legacy.baseballprospectus.com/p/109161",109161)</f>
        <v>109161</v>
      </c>
      <c r="B236" t="s">
        <v>3822</v>
      </c>
      <c r="C236" t="s">
        <v>755</v>
      </c>
      <c r="D236" s="10">
        <v>34758</v>
      </c>
      <c r="E236" t="s">
        <v>59</v>
      </c>
      <c r="F236" t="s">
        <v>33</v>
      </c>
      <c r="G236" t="s">
        <v>33</v>
      </c>
      <c r="H236">
        <v>71</v>
      </c>
      <c r="I236">
        <v>170</v>
      </c>
      <c r="J236">
        <v>2018</v>
      </c>
      <c r="K236" s="4" t="str">
        <f>HYPERLINK("http://legacy.baseballprospectus.com/fantasy/dc/index.php?tm=SLN","SLN")</f>
        <v>SLN</v>
      </c>
      <c r="L236" t="s">
        <v>100</v>
      </c>
      <c r="M236" t="s">
        <v>34</v>
      </c>
      <c r="N236">
        <v>23</v>
      </c>
      <c r="O236">
        <v>250</v>
      </c>
      <c r="P236" t="s">
        <v>1680</v>
      </c>
      <c r="Q236">
        <v>221</v>
      </c>
      <c r="R236">
        <v>34</v>
      </c>
      <c r="S236">
        <v>32</v>
      </c>
      <c r="T236">
        <v>12</v>
      </c>
      <c r="U236">
        <v>1</v>
      </c>
      <c r="V236">
        <v>8</v>
      </c>
      <c r="W236">
        <v>53</v>
      </c>
      <c r="X236">
        <v>91</v>
      </c>
      <c r="Y236">
        <v>27</v>
      </c>
      <c r="Z236">
        <v>22</v>
      </c>
      <c r="AA236">
        <v>1</v>
      </c>
      <c r="AB236">
        <v>5</v>
      </c>
      <c r="AC236">
        <v>57</v>
      </c>
      <c r="AD236">
        <v>1</v>
      </c>
      <c r="AE236">
        <v>2</v>
      </c>
      <c r="AF236">
        <v>6</v>
      </c>
      <c r="AG236">
        <v>6</v>
      </c>
      <c r="AH236">
        <v>2</v>
      </c>
      <c r="AI236" s="5">
        <v>0.24399999999999999</v>
      </c>
      <c r="AJ236" s="5">
        <v>0.32300000000000001</v>
      </c>
      <c r="AK236" s="5">
        <v>0.41899999999999998</v>
      </c>
      <c r="AL236" s="5">
        <v>0.251</v>
      </c>
      <c r="AM236" s="5">
        <v>0.28899999999999998</v>
      </c>
      <c r="AN236">
        <v>0.1</v>
      </c>
      <c r="AO236">
        <v>1.45</v>
      </c>
      <c r="AP236">
        <v>7</v>
      </c>
      <c r="AQ236">
        <v>-2.29</v>
      </c>
      <c r="AR236">
        <v>0.9</v>
      </c>
      <c r="AS236" t="s">
        <v>1696</v>
      </c>
      <c r="AT236">
        <v>0.8</v>
      </c>
      <c r="AU236">
        <v>6.3</v>
      </c>
      <c r="AV236">
        <v>3</v>
      </c>
      <c r="AW236">
        <v>20</v>
      </c>
      <c r="AX236">
        <v>5</v>
      </c>
      <c r="AY236">
        <v>14</v>
      </c>
      <c r="AZ236" t="s">
        <v>3823</v>
      </c>
      <c r="BA236">
        <v>36</v>
      </c>
      <c r="BB236" t="s">
        <v>36</v>
      </c>
      <c r="BC236" t="s">
        <v>35</v>
      </c>
      <c r="BD236" s="4">
        <f>HYPERLINK("http://mlb.mlb.com/team/player.jsp?player_id=668227",668227)</f>
        <v>668227</v>
      </c>
      <c r="BE236">
        <v>1682</v>
      </c>
      <c r="BF236">
        <v>682</v>
      </c>
      <c r="BG236">
        <v>0</v>
      </c>
      <c r="BH236">
        <v>0</v>
      </c>
    </row>
    <row r="237" spans="1:60" x14ac:dyDescent="0.3">
      <c r="A237" s="4">
        <f>HYPERLINK("http://legacy.baseballprospectus.com/p/66539",66539)</f>
        <v>66539</v>
      </c>
      <c r="B237" t="s">
        <v>364</v>
      </c>
      <c r="C237" t="s">
        <v>365</v>
      </c>
      <c r="D237" s="10">
        <v>32994</v>
      </c>
      <c r="E237" t="s">
        <v>58</v>
      </c>
      <c r="F237" t="s">
        <v>9</v>
      </c>
      <c r="G237" t="s">
        <v>33</v>
      </c>
      <c r="H237">
        <v>70</v>
      </c>
      <c r="I237">
        <v>185</v>
      </c>
      <c r="J237">
        <v>2018</v>
      </c>
      <c r="K237" s="4" t="str">
        <f>HYPERLINK("http://legacy.baseballprospectus.com/fantasy/dc/index.php?tm=CIN","CIN")</f>
        <v>CIN</v>
      </c>
      <c r="L237" t="s">
        <v>100</v>
      </c>
      <c r="M237" t="s">
        <v>34</v>
      </c>
      <c r="N237">
        <v>28</v>
      </c>
      <c r="O237">
        <v>465</v>
      </c>
      <c r="P237">
        <v>119</v>
      </c>
      <c r="Q237">
        <v>431</v>
      </c>
      <c r="R237">
        <v>52</v>
      </c>
      <c r="S237">
        <v>78</v>
      </c>
      <c r="T237">
        <v>23</v>
      </c>
      <c r="U237">
        <v>3</v>
      </c>
      <c r="V237">
        <v>14</v>
      </c>
      <c r="W237">
        <v>118</v>
      </c>
      <c r="X237">
        <v>189</v>
      </c>
      <c r="Y237">
        <v>58</v>
      </c>
      <c r="Z237">
        <v>26</v>
      </c>
      <c r="AA237">
        <v>3</v>
      </c>
      <c r="AB237">
        <v>3</v>
      </c>
      <c r="AC237">
        <v>88</v>
      </c>
      <c r="AD237">
        <v>2</v>
      </c>
      <c r="AE237">
        <v>2</v>
      </c>
      <c r="AF237">
        <v>13</v>
      </c>
      <c r="AG237">
        <v>4</v>
      </c>
      <c r="AH237">
        <v>2</v>
      </c>
      <c r="AI237" s="5">
        <v>0.27400000000000002</v>
      </c>
      <c r="AJ237" s="5">
        <v>0.318</v>
      </c>
      <c r="AK237" s="5">
        <v>0.439</v>
      </c>
      <c r="AL237" s="5">
        <v>0.254</v>
      </c>
      <c r="AM237" s="5">
        <v>0.309</v>
      </c>
      <c r="AN237">
        <v>-0.4</v>
      </c>
      <c r="AO237">
        <v>2.41</v>
      </c>
      <c r="AP237">
        <v>12.48</v>
      </c>
      <c r="AQ237">
        <v>-2.84</v>
      </c>
      <c r="AR237">
        <v>-3.3</v>
      </c>
      <c r="AS237" t="s">
        <v>79</v>
      </c>
      <c r="AT237">
        <v>0.8</v>
      </c>
      <c r="AU237">
        <v>11.6</v>
      </c>
      <c r="AV237">
        <v>2</v>
      </c>
      <c r="AW237">
        <v>46</v>
      </c>
      <c r="AX237">
        <v>5</v>
      </c>
      <c r="AY237">
        <v>5</v>
      </c>
      <c r="AZ237" t="s">
        <v>3784</v>
      </c>
      <c r="BA237">
        <v>97</v>
      </c>
      <c r="BB237" t="s">
        <v>35</v>
      </c>
      <c r="BC237" t="s">
        <v>36</v>
      </c>
      <c r="BD237" s="4">
        <f>HYPERLINK("http://mlb.mlb.com/team/player.jsp?player_id=571697",571697)</f>
        <v>571697</v>
      </c>
      <c r="BE237">
        <v>1452</v>
      </c>
      <c r="BF237">
        <v>452</v>
      </c>
      <c r="BG237">
        <v>497</v>
      </c>
      <c r="BH237">
        <v>461</v>
      </c>
    </row>
    <row r="238" spans="1:60" x14ac:dyDescent="0.3">
      <c r="A238" s="4">
        <f>HYPERLINK("http://legacy.baseballprospectus.com/p/50609",50609)</f>
        <v>50609</v>
      </c>
      <c r="B238" t="s">
        <v>380</v>
      </c>
      <c r="C238" t="s">
        <v>382</v>
      </c>
      <c r="D238" s="10">
        <v>32581</v>
      </c>
      <c r="E238" t="s">
        <v>50</v>
      </c>
      <c r="F238" t="s">
        <v>37</v>
      </c>
      <c r="G238" t="s">
        <v>33</v>
      </c>
      <c r="H238">
        <v>73</v>
      </c>
      <c r="I238">
        <v>205</v>
      </c>
      <c r="J238">
        <v>2018</v>
      </c>
      <c r="K238" s="4" t="str">
        <f>HYPERLINK("http://legacy.baseballprospectus.com/fantasy/dc/index.php?tm=HOU","HOU")</f>
        <v>HOU</v>
      </c>
      <c r="L238" t="s">
        <v>95</v>
      </c>
      <c r="M238" t="s">
        <v>34</v>
      </c>
      <c r="N238">
        <v>29</v>
      </c>
      <c r="O238">
        <v>510</v>
      </c>
      <c r="P238">
        <v>144</v>
      </c>
      <c r="Q238">
        <v>467</v>
      </c>
      <c r="R238">
        <v>61</v>
      </c>
      <c r="S238">
        <v>81</v>
      </c>
      <c r="T238">
        <v>26</v>
      </c>
      <c r="U238">
        <v>1</v>
      </c>
      <c r="V238">
        <v>15</v>
      </c>
      <c r="W238">
        <v>123</v>
      </c>
      <c r="X238">
        <v>196</v>
      </c>
      <c r="Y238">
        <v>58</v>
      </c>
      <c r="Z238">
        <v>31</v>
      </c>
      <c r="AA238">
        <v>2</v>
      </c>
      <c r="AB238">
        <v>5</v>
      </c>
      <c r="AC238">
        <v>101</v>
      </c>
      <c r="AD238">
        <v>6</v>
      </c>
      <c r="AE238">
        <v>1</v>
      </c>
      <c r="AF238">
        <v>14</v>
      </c>
      <c r="AG238">
        <v>8</v>
      </c>
      <c r="AH238">
        <v>4</v>
      </c>
      <c r="AI238" s="5">
        <v>0.26300000000000001</v>
      </c>
      <c r="AJ238" s="5">
        <v>0.315</v>
      </c>
      <c r="AK238" s="5">
        <v>0.42</v>
      </c>
      <c r="AL238" s="5">
        <v>0.255</v>
      </c>
      <c r="AM238" s="5">
        <v>0.30299999999999999</v>
      </c>
      <c r="AN238">
        <v>-0.6</v>
      </c>
      <c r="AO238">
        <v>-1.1499999999999999</v>
      </c>
      <c r="AP238">
        <v>13.69</v>
      </c>
      <c r="AQ238">
        <v>-2.9</v>
      </c>
      <c r="AR238">
        <v>-1.4</v>
      </c>
      <c r="AS238" t="s">
        <v>4461</v>
      </c>
      <c r="AT238">
        <v>0.8</v>
      </c>
      <c r="AU238">
        <v>9</v>
      </c>
      <c r="AV238">
        <v>5</v>
      </c>
      <c r="AW238">
        <v>44</v>
      </c>
      <c r="AX238">
        <v>8</v>
      </c>
      <c r="AY238">
        <v>18</v>
      </c>
      <c r="AZ238" t="s">
        <v>3845</v>
      </c>
      <c r="BA238">
        <v>93</v>
      </c>
      <c r="BB238" t="s">
        <v>35</v>
      </c>
      <c r="BC238" t="s">
        <v>36</v>
      </c>
      <c r="BD238" s="4">
        <f>HYPERLINK("http://mlb.mlb.com/team/player.jsp?player_id=503556",503556)</f>
        <v>503556</v>
      </c>
      <c r="BE238">
        <v>503</v>
      </c>
      <c r="BF238">
        <v>1503</v>
      </c>
      <c r="BG238">
        <v>515</v>
      </c>
      <c r="BH238">
        <v>455</v>
      </c>
    </row>
    <row r="239" spans="1:60" x14ac:dyDescent="0.3">
      <c r="A239" s="4">
        <f>HYPERLINK("http://legacy.baseballprospectus.com/p/59603",59603)</f>
        <v>59603</v>
      </c>
      <c r="B239" t="s">
        <v>1375</v>
      </c>
      <c r="C239" t="s">
        <v>254</v>
      </c>
      <c r="D239" s="10">
        <v>32291</v>
      </c>
      <c r="E239" t="s">
        <v>50</v>
      </c>
      <c r="F239" t="s">
        <v>9</v>
      </c>
      <c r="G239" t="s">
        <v>33</v>
      </c>
      <c r="H239">
        <v>75</v>
      </c>
      <c r="I239">
        <v>265</v>
      </c>
      <c r="J239">
        <v>2018</v>
      </c>
      <c r="K239" s="4" t="str">
        <f>HYPERLINK("http://legacy.baseballprospectus.com/fantasy/dc/index.php?tm=MIA","MIA")</f>
        <v>MIA</v>
      </c>
      <c r="L239" t="s">
        <v>100</v>
      </c>
      <c r="M239" t="s">
        <v>34</v>
      </c>
      <c r="N239">
        <v>30</v>
      </c>
      <c r="O239">
        <v>553</v>
      </c>
      <c r="P239">
        <v>146</v>
      </c>
      <c r="Q239">
        <v>496</v>
      </c>
      <c r="R239">
        <v>72</v>
      </c>
      <c r="S239">
        <v>84</v>
      </c>
      <c r="T239">
        <v>22</v>
      </c>
      <c r="U239">
        <v>1</v>
      </c>
      <c r="V239">
        <v>25</v>
      </c>
      <c r="W239">
        <v>132</v>
      </c>
      <c r="X239">
        <v>231</v>
      </c>
      <c r="Y239">
        <v>81</v>
      </c>
      <c r="Z239">
        <v>53</v>
      </c>
      <c r="AA239">
        <v>9</v>
      </c>
      <c r="AB239">
        <v>2</v>
      </c>
      <c r="AC239">
        <v>109</v>
      </c>
      <c r="AD239">
        <v>0</v>
      </c>
      <c r="AE239">
        <v>3</v>
      </c>
      <c r="AF239">
        <v>14</v>
      </c>
      <c r="AG239">
        <v>1</v>
      </c>
      <c r="AH239">
        <v>0</v>
      </c>
      <c r="AI239" s="5">
        <v>0.26600000000000001</v>
      </c>
      <c r="AJ239" s="5">
        <v>0.33800000000000002</v>
      </c>
      <c r="AK239" s="5">
        <v>0.46600000000000003</v>
      </c>
      <c r="AL239" s="5">
        <v>0.27700000000000002</v>
      </c>
      <c r="AM239" s="5">
        <v>0.29099999999999998</v>
      </c>
      <c r="AN239">
        <v>-1.1000000000000001</v>
      </c>
      <c r="AO239">
        <v>-6.33</v>
      </c>
      <c r="AP239">
        <v>14.85</v>
      </c>
      <c r="AQ239">
        <v>9.67</v>
      </c>
      <c r="AR239">
        <v>-8.8000000000000007</v>
      </c>
      <c r="AS239" t="s">
        <v>3927</v>
      </c>
      <c r="AT239">
        <v>0.8</v>
      </c>
      <c r="AU239">
        <v>17.100000000000001</v>
      </c>
      <c r="AV239">
        <v>1</v>
      </c>
      <c r="AW239">
        <v>38</v>
      </c>
      <c r="AX239">
        <v>7</v>
      </c>
      <c r="AY239">
        <v>19</v>
      </c>
      <c r="AZ239" t="s">
        <v>3928</v>
      </c>
      <c r="BA239">
        <v>90</v>
      </c>
      <c r="BB239" t="s">
        <v>35</v>
      </c>
      <c r="BC239" t="s">
        <v>36</v>
      </c>
      <c r="BD239" s="4">
        <f>HYPERLINK("http://mlb.mlb.com/team/player.jsp?player_id=571506",571506)</f>
        <v>571506</v>
      </c>
      <c r="BE239">
        <v>1433</v>
      </c>
      <c r="BF239">
        <v>433</v>
      </c>
      <c r="BG239">
        <v>429</v>
      </c>
      <c r="BH239">
        <v>377</v>
      </c>
    </row>
    <row r="240" spans="1:60" x14ac:dyDescent="0.3">
      <c r="A240" s="4">
        <f>HYPERLINK("http://legacy.baseballprospectus.com/p/70408",70408)</f>
        <v>70408</v>
      </c>
      <c r="B240" t="s">
        <v>1117</v>
      </c>
      <c r="C240" t="s">
        <v>449</v>
      </c>
      <c r="D240" s="10">
        <v>33955</v>
      </c>
      <c r="E240" t="s">
        <v>50</v>
      </c>
      <c r="F240" t="s">
        <v>9</v>
      </c>
      <c r="G240" t="s">
        <v>33</v>
      </c>
      <c r="H240">
        <v>72</v>
      </c>
      <c r="I240">
        <v>250</v>
      </c>
      <c r="J240">
        <v>2018</v>
      </c>
      <c r="K240" s="4" t="str">
        <f>HYPERLINK("http://legacy.baseballprospectus.com/fantasy/dc/index.php?tm=SEA","SEA")</f>
        <v>SEA</v>
      </c>
      <c r="L240" t="s">
        <v>95</v>
      </c>
      <c r="M240" t="s">
        <v>34</v>
      </c>
      <c r="N240">
        <v>25</v>
      </c>
      <c r="O240">
        <v>304</v>
      </c>
      <c r="P240">
        <v>94</v>
      </c>
      <c r="Q240">
        <v>258</v>
      </c>
      <c r="R240">
        <v>38</v>
      </c>
      <c r="S240">
        <v>41</v>
      </c>
      <c r="T240">
        <v>12</v>
      </c>
      <c r="U240">
        <v>0</v>
      </c>
      <c r="V240">
        <v>11</v>
      </c>
      <c r="W240">
        <v>64</v>
      </c>
      <c r="X240">
        <v>109</v>
      </c>
      <c r="Y240">
        <v>39</v>
      </c>
      <c r="Z240">
        <v>43</v>
      </c>
      <c r="AA240">
        <v>2</v>
      </c>
      <c r="AB240">
        <v>2</v>
      </c>
      <c r="AC240">
        <v>68</v>
      </c>
      <c r="AD240">
        <v>0</v>
      </c>
      <c r="AE240">
        <v>1</v>
      </c>
      <c r="AF240">
        <v>10</v>
      </c>
      <c r="AG240">
        <v>0</v>
      </c>
      <c r="AH240">
        <v>0</v>
      </c>
      <c r="AI240" s="5">
        <v>0.248</v>
      </c>
      <c r="AJ240" s="5">
        <v>0.35899999999999999</v>
      </c>
      <c r="AK240" s="5">
        <v>0.42199999999999999</v>
      </c>
      <c r="AL240" s="5">
        <v>0.27800000000000002</v>
      </c>
      <c r="AM240" s="5">
        <v>0.29899999999999999</v>
      </c>
      <c r="AN240">
        <v>-0.7</v>
      </c>
      <c r="AO240">
        <v>-3.26</v>
      </c>
      <c r="AP240">
        <v>8.16</v>
      </c>
      <c r="AQ240">
        <v>5.84</v>
      </c>
      <c r="AR240">
        <v>-2.2999999999999998</v>
      </c>
      <c r="AS240" t="s">
        <v>1023</v>
      </c>
      <c r="AT240">
        <v>0.8</v>
      </c>
      <c r="AU240">
        <v>10.1</v>
      </c>
      <c r="AV240">
        <v>6</v>
      </c>
      <c r="AW240">
        <v>24</v>
      </c>
      <c r="AX240">
        <v>6</v>
      </c>
      <c r="AY240">
        <v>25</v>
      </c>
      <c r="AZ240" t="s">
        <v>3957</v>
      </c>
      <c r="BA240">
        <v>53</v>
      </c>
      <c r="BB240" t="s">
        <v>35</v>
      </c>
      <c r="BC240" t="s">
        <v>35</v>
      </c>
      <c r="BD240" s="4">
        <f>HYPERLINK("http://mlb.mlb.com/team/player.jsp?player_id=596129",596129)</f>
        <v>596129</v>
      </c>
      <c r="BE240">
        <v>423</v>
      </c>
      <c r="BF240">
        <v>1423</v>
      </c>
      <c r="BG240">
        <v>31</v>
      </c>
      <c r="BH240">
        <v>28</v>
      </c>
    </row>
    <row r="241" spans="1:60" x14ac:dyDescent="0.3">
      <c r="A241" s="4">
        <f>HYPERLINK("http://legacy.baseballprospectus.com/p/45379",45379)</f>
        <v>45379</v>
      </c>
      <c r="B241" t="s">
        <v>523</v>
      </c>
      <c r="C241" t="s">
        <v>524</v>
      </c>
      <c r="D241" s="10">
        <v>30487</v>
      </c>
      <c r="E241" t="s">
        <v>1682</v>
      </c>
      <c r="F241" t="s">
        <v>37</v>
      </c>
      <c r="G241" t="s">
        <v>33</v>
      </c>
      <c r="H241">
        <v>73</v>
      </c>
      <c r="I241">
        <v>225</v>
      </c>
      <c r="J241">
        <v>2018</v>
      </c>
      <c r="K241" s="4" t="str">
        <f>HYPERLINK("http://legacy.baseballprospectus.com/fantasy/dc/index.php?tm=TOR","TOR")</f>
        <v>TOR</v>
      </c>
      <c r="L241" t="s">
        <v>95</v>
      </c>
      <c r="M241" t="s">
        <v>34</v>
      </c>
      <c r="N241">
        <v>35</v>
      </c>
      <c r="O241">
        <v>599</v>
      </c>
      <c r="P241">
        <v>147</v>
      </c>
      <c r="Q241">
        <v>544</v>
      </c>
      <c r="R241">
        <v>68</v>
      </c>
      <c r="S241">
        <v>89</v>
      </c>
      <c r="T241">
        <v>28</v>
      </c>
      <c r="U241">
        <v>1</v>
      </c>
      <c r="V241">
        <v>21</v>
      </c>
      <c r="W241">
        <v>139</v>
      </c>
      <c r="X241">
        <v>232</v>
      </c>
      <c r="Y241">
        <v>78</v>
      </c>
      <c r="Z241">
        <v>46</v>
      </c>
      <c r="AA241">
        <v>3</v>
      </c>
      <c r="AB241">
        <v>6</v>
      </c>
      <c r="AC241">
        <v>115</v>
      </c>
      <c r="AD241">
        <v>0</v>
      </c>
      <c r="AE241">
        <v>3</v>
      </c>
      <c r="AF241">
        <v>22</v>
      </c>
      <c r="AG241">
        <v>0</v>
      </c>
      <c r="AH241">
        <v>0</v>
      </c>
      <c r="AI241" s="5">
        <v>0.25600000000000001</v>
      </c>
      <c r="AJ241" s="5">
        <v>0.31900000000000001</v>
      </c>
      <c r="AK241" s="5">
        <v>0.42599999999999999</v>
      </c>
      <c r="AL241" s="5">
        <v>0.25900000000000001</v>
      </c>
      <c r="AM241" s="5">
        <v>0.28599999999999998</v>
      </c>
      <c r="AN241">
        <v>-1.4</v>
      </c>
      <c r="AO241">
        <v>-5.84</v>
      </c>
      <c r="AP241">
        <v>16.079999999999998</v>
      </c>
      <c r="AQ241">
        <v>-0.42</v>
      </c>
      <c r="AR241">
        <v>0</v>
      </c>
      <c r="AT241">
        <v>0.8</v>
      </c>
      <c r="AU241">
        <v>8.4</v>
      </c>
      <c r="AV241">
        <v>0</v>
      </c>
      <c r="AW241">
        <v>20</v>
      </c>
      <c r="AX241">
        <v>10</v>
      </c>
      <c r="AY241">
        <v>30</v>
      </c>
      <c r="AZ241" t="s">
        <v>3838</v>
      </c>
      <c r="BA241">
        <v>87</v>
      </c>
      <c r="BB241" t="s">
        <v>35</v>
      </c>
      <c r="BC241" t="s">
        <v>36</v>
      </c>
      <c r="BD241" s="4">
        <f>HYPERLINK("http://mlb.mlb.com/team/player.jsp?player_id=434778",434778)</f>
        <v>434778</v>
      </c>
      <c r="BE241">
        <v>680</v>
      </c>
      <c r="BF241">
        <v>1680</v>
      </c>
      <c r="BG241">
        <v>608</v>
      </c>
      <c r="BH241">
        <v>557</v>
      </c>
    </row>
    <row r="242" spans="1:60" x14ac:dyDescent="0.3">
      <c r="A242" s="4">
        <f>HYPERLINK("http://legacy.baseballprospectus.com/p/48428",48428)</f>
        <v>48428</v>
      </c>
      <c r="B242" t="s">
        <v>557</v>
      </c>
      <c r="C242" t="s">
        <v>255</v>
      </c>
      <c r="D242" s="10">
        <v>30419</v>
      </c>
      <c r="E242" t="s">
        <v>57</v>
      </c>
      <c r="F242" t="s">
        <v>33</v>
      </c>
      <c r="G242" t="s">
        <v>33</v>
      </c>
      <c r="H242">
        <v>71</v>
      </c>
      <c r="I242">
        <v>200</v>
      </c>
      <c r="J242">
        <v>2018</v>
      </c>
      <c r="K242" s="4" t="str">
        <f>HYPERLINK("http://legacy.baseballprospectus.com/fantasy/dc/index.php?tm=TOR","TOR")</f>
        <v>TOR</v>
      </c>
      <c r="L242" t="s">
        <v>95</v>
      </c>
      <c r="M242" t="s">
        <v>34</v>
      </c>
      <c r="N242">
        <v>35</v>
      </c>
      <c r="O242">
        <v>312</v>
      </c>
      <c r="P242">
        <v>83</v>
      </c>
      <c r="Q242">
        <v>278</v>
      </c>
      <c r="R242">
        <v>38</v>
      </c>
      <c r="S242">
        <v>43</v>
      </c>
      <c r="T242">
        <v>15</v>
      </c>
      <c r="U242">
        <v>1</v>
      </c>
      <c r="V242">
        <v>12</v>
      </c>
      <c r="W242">
        <v>71</v>
      </c>
      <c r="X242">
        <v>124</v>
      </c>
      <c r="Y242">
        <v>42</v>
      </c>
      <c r="Z242">
        <v>28</v>
      </c>
      <c r="AA242">
        <v>1</v>
      </c>
      <c r="AB242">
        <v>5</v>
      </c>
      <c r="AC242">
        <v>63</v>
      </c>
      <c r="AD242">
        <v>0</v>
      </c>
      <c r="AE242">
        <v>1</v>
      </c>
      <c r="AF242">
        <v>8</v>
      </c>
      <c r="AG242">
        <v>1</v>
      </c>
      <c r="AH242">
        <v>1</v>
      </c>
      <c r="AI242" s="5">
        <v>0.255</v>
      </c>
      <c r="AJ242" s="5">
        <v>0.33300000000000002</v>
      </c>
      <c r="AK242" s="5">
        <v>0.44600000000000001</v>
      </c>
      <c r="AL242" s="5">
        <v>0.27</v>
      </c>
      <c r="AM242" s="5">
        <v>0.28699999999999998</v>
      </c>
      <c r="AN242">
        <v>-0.8</v>
      </c>
      <c r="AO242">
        <v>-1.7</v>
      </c>
      <c r="AP242">
        <v>8.3800000000000008</v>
      </c>
      <c r="AQ242">
        <v>3.25</v>
      </c>
      <c r="AR242">
        <v>-1.1000000000000001</v>
      </c>
      <c r="AS242" t="s">
        <v>4979</v>
      </c>
      <c r="AT242">
        <v>0.8</v>
      </c>
      <c r="AU242">
        <v>9.1</v>
      </c>
      <c r="AV242">
        <v>3</v>
      </c>
      <c r="AW242">
        <v>22</v>
      </c>
      <c r="AX242">
        <v>11</v>
      </c>
      <c r="AY242">
        <v>19</v>
      </c>
      <c r="AZ242" t="s">
        <v>3644</v>
      </c>
      <c r="BA242">
        <v>82</v>
      </c>
      <c r="BB242" t="s">
        <v>35</v>
      </c>
      <c r="BC242" t="s">
        <v>36</v>
      </c>
      <c r="BD242" s="4">
        <f>HYPERLINK("http://mlb.mlb.com/team/player.jsp?player_id=456665",456665)</f>
        <v>456665</v>
      </c>
      <c r="BE242">
        <v>595</v>
      </c>
      <c r="BF242">
        <v>1595</v>
      </c>
      <c r="BG242">
        <v>348</v>
      </c>
      <c r="BH242">
        <v>313</v>
      </c>
    </row>
    <row r="243" spans="1:60" x14ac:dyDescent="0.3">
      <c r="A243" s="4">
        <f>HYPERLINK("http://legacy.baseballprospectus.com/p/70093",70093)</f>
        <v>70093</v>
      </c>
      <c r="B243" t="s">
        <v>1111</v>
      </c>
      <c r="C243" t="s">
        <v>459</v>
      </c>
      <c r="D243" s="10">
        <v>32512</v>
      </c>
      <c r="E243" t="s">
        <v>65</v>
      </c>
      <c r="F243" t="s">
        <v>33</v>
      </c>
      <c r="G243" t="s">
        <v>33</v>
      </c>
      <c r="H243">
        <v>72</v>
      </c>
      <c r="I243">
        <v>205</v>
      </c>
      <c r="J243">
        <v>2018</v>
      </c>
      <c r="K243" s="4" t="str">
        <f>HYPERLINK("http://legacy.baseballprospectus.com/fantasy/dc/index.php?tm=TOR","TOR")</f>
        <v>TOR</v>
      </c>
      <c r="L243" t="s">
        <v>95</v>
      </c>
      <c r="M243" t="s">
        <v>34</v>
      </c>
      <c r="N243">
        <v>29</v>
      </c>
      <c r="O243">
        <v>555</v>
      </c>
      <c r="P243">
        <v>148</v>
      </c>
      <c r="Q243">
        <v>520</v>
      </c>
      <c r="R243">
        <v>62</v>
      </c>
      <c r="S243">
        <v>95</v>
      </c>
      <c r="T243">
        <v>32</v>
      </c>
      <c r="U243">
        <v>2</v>
      </c>
      <c r="V243">
        <v>10</v>
      </c>
      <c r="W243">
        <v>139</v>
      </c>
      <c r="X243">
        <v>205</v>
      </c>
      <c r="Y243">
        <v>54</v>
      </c>
      <c r="Z243">
        <v>25</v>
      </c>
      <c r="AA243">
        <v>1</v>
      </c>
      <c r="AB243">
        <v>5</v>
      </c>
      <c r="AC243">
        <v>88</v>
      </c>
      <c r="AD243">
        <v>2</v>
      </c>
      <c r="AE243">
        <v>3</v>
      </c>
      <c r="AF243">
        <v>13</v>
      </c>
      <c r="AG243">
        <v>16</v>
      </c>
      <c r="AH243">
        <v>5</v>
      </c>
      <c r="AI243" s="5">
        <v>0.26700000000000002</v>
      </c>
      <c r="AJ243" s="5">
        <v>0.30599999999999999</v>
      </c>
      <c r="AK243" s="5">
        <v>0.39400000000000002</v>
      </c>
      <c r="AL243" s="5">
        <v>0.24399999999999999</v>
      </c>
      <c r="AM243" s="5">
        <v>0.30099999999999999</v>
      </c>
      <c r="AN243">
        <v>0.9</v>
      </c>
      <c r="AO243">
        <v>0.81</v>
      </c>
      <c r="AP243">
        <v>14.9</v>
      </c>
      <c r="AQ243">
        <v>-9.1300000000000008</v>
      </c>
      <c r="AR243">
        <v>0.6</v>
      </c>
      <c r="AS243" t="s">
        <v>66</v>
      </c>
      <c r="AT243">
        <v>0.8</v>
      </c>
      <c r="AU243">
        <v>7.4</v>
      </c>
      <c r="AV243">
        <v>3</v>
      </c>
      <c r="AW243">
        <v>48</v>
      </c>
      <c r="AX243">
        <v>9</v>
      </c>
      <c r="AY243">
        <v>21</v>
      </c>
      <c r="AZ243" t="s">
        <v>3765</v>
      </c>
      <c r="BA243">
        <v>85</v>
      </c>
      <c r="BB243" t="s">
        <v>35</v>
      </c>
      <c r="BC243" t="s">
        <v>36</v>
      </c>
      <c r="BD243" s="4">
        <f>HYPERLINK("http://mlb.mlb.com/team/player.jsp?player_id=607680",607680)</f>
        <v>607680</v>
      </c>
      <c r="BE243">
        <v>566</v>
      </c>
      <c r="BF243">
        <v>1566</v>
      </c>
      <c r="BG243">
        <v>632</v>
      </c>
      <c r="BH243">
        <v>587</v>
      </c>
    </row>
    <row r="244" spans="1:60" x14ac:dyDescent="0.3">
      <c r="A244" s="4">
        <f>HYPERLINK("http://legacy.baseballprospectus.com/p/105891",105891)</f>
        <v>105891</v>
      </c>
      <c r="B244" t="s">
        <v>1774</v>
      </c>
      <c r="C244" t="s">
        <v>808</v>
      </c>
      <c r="D244" s="10">
        <v>34277</v>
      </c>
      <c r="E244" t="s">
        <v>65</v>
      </c>
      <c r="F244" t="s">
        <v>9</v>
      </c>
      <c r="G244" t="s">
        <v>33</v>
      </c>
      <c r="H244">
        <v>74</v>
      </c>
      <c r="I244">
        <v>195</v>
      </c>
      <c r="J244">
        <v>2018</v>
      </c>
      <c r="K244" s="4" t="str">
        <f>HYPERLINK("http://legacy.baseballprospectus.com/fantasy/dc/index.php?tm=SFN","SFN")</f>
        <v>SFN</v>
      </c>
      <c r="L244" t="s">
        <v>100</v>
      </c>
      <c r="M244" t="s">
        <v>34</v>
      </c>
      <c r="N244">
        <v>24</v>
      </c>
      <c r="O244">
        <v>241</v>
      </c>
      <c r="P244">
        <v>94</v>
      </c>
      <c r="Q244">
        <v>215</v>
      </c>
      <c r="R244">
        <v>30</v>
      </c>
      <c r="S244">
        <v>35</v>
      </c>
      <c r="T244">
        <v>10</v>
      </c>
      <c r="U244">
        <v>2</v>
      </c>
      <c r="V244">
        <v>4</v>
      </c>
      <c r="W244">
        <v>51</v>
      </c>
      <c r="X244">
        <v>77</v>
      </c>
      <c r="Y244">
        <v>21</v>
      </c>
      <c r="Z244">
        <v>24</v>
      </c>
      <c r="AA244">
        <v>1</v>
      </c>
      <c r="AB244">
        <v>1</v>
      </c>
      <c r="AC244">
        <v>63</v>
      </c>
      <c r="AD244">
        <v>0</v>
      </c>
      <c r="AE244">
        <v>1</v>
      </c>
      <c r="AF244">
        <v>5</v>
      </c>
      <c r="AG244">
        <v>5</v>
      </c>
      <c r="AH244">
        <v>3</v>
      </c>
      <c r="AI244" s="5">
        <v>0.23699999999999999</v>
      </c>
      <c r="AJ244" s="5">
        <v>0.315</v>
      </c>
      <c r="AK244" s="5">
        <v>0.35799999999999998</v>
      </c>
      <c r="AL244" s="5">
        <v>0.25</v>
      </c>
      <c r="AM244" s="5">
        <v>0.318</v>
      </c>
      <c r="AN244">
        <v>-0.2</v>
      </c>
      <c r="AO244">
        <v>-0.15</v>
      </c>
      <c r="AP244">
        <v>6.47</v>
      </c>
      <c r="AQ244">
        <v>-2.48</v>
      </c>
      <c r="AR244">
        <v>4</v>
      </c>
      <c r="AS244" t="s">
        <v>4493</v>
      </c>
      <c r="AT244">
        <v>0.8</v>
      </c>
      <c r="AU244">
        <v>3.7</v>
      </c>
      <c r="AV244">
        <v>4</v>
      </c>
      <c r="AW244">
        <v>16</v>
      </c>
      <c r="AX244">
        <v>6</v>
      </c>
      <c r="AY244">
        <v>17</v>
      </c>
      <c r="AZ244" t="s">
        <v>3741</v>
      </c>
      <c r="BA244">
        <v>26</v>
      </c>
      <c r="BB244" t="s">
        <v>35</v>
      </c>
      <c r="BC244" t="s">
        <v>35</v>
      </c>
      <c r="BD244" s="4">
        <f>HYPERLINK("http://mlb.mlb.com/team/player.jsp?player_id=621453",621453)</f>
        <v>621453</v>
      </c>
      <c r="BE244">
        <v>1687</v>
      </c>
      <c r="BF244">
        <v>687</v>
      </c>
      <c r="BG244">
        <v>0</v>
      </c>
      <c r="BH244">
        <v>0</v>
      </c>
    </row>
    <row r="245" spans="1:60" x14ac:dyDescent="0.3">
      <c r="A245" s="4">
        <f>HYPERLINK("http://legacy.baseballprospectus.com/p/105665",105665)</f>
        <v>105665</v>
      </c>
      <c r="B245" t="s">
        <v>221</v>
      </c>
      <c r="C245" t="s">
        <v>183</v>
      </c>
      <c r="D245" s="10">
        <v>34642</v>
      </c>
      <c r="E245" t="s">
        <v>59</v>
      </c>
      <c r="F245" t="s">
        <v>9</v>
      </c>
      <c r="G245" t="s">
        <v>33</v>
      </c>
      <c r="H245">
        <v>68</v>
      </c>
      <c r="I245">
        <v>187</v>
      </c>
      <c r="J245">
        <v>2018</v>
      </c>
      <c r="K245" s="4" t="str">
        <f>HYPERLINK("http://legacy.baseballprospectus.com/fantasy/dc/index.php?tm=TEX","TEX")</f>
        <v>TEX</v>
      </c>
      <c r="L245" t="s">
        <v>95</v>
      </c>
      <c r="M245" t="s">
        <v>34</v>
      </c>
      <c r="N245">
        <v>23</v>
      </c>
      <c r="O245">
        <v>397</v>
      </c>
      <c r="P245">
        <v>122</v>
      </c>
      <c r="Q245">
        <v>361</v>
      </c>
      <c r="R245">
        <v>54</v>
      </c>
      <c r="S245">
        <v>57</v>
      </c>
      <c r="T245">
        <v>18</v>
      </c>
      <c r="U245">
        <v>2</v>
      </c>
      <c r="V245">
        <v>20</v>
      </c>
      <c r="W245">
        <v>97</v>
      </c>
      <c r="X245">
        <v>179</v>
      </c>
      <c r="Y245">
        <v>59</v>
      </c>
      <c r="Z245">
        <v>31</v>
      </c>
      <c r="AA245">
        <v>3</v>
      </c>
      <c r="AB245">
        <v>3</v>
      </c>
      <c r="AC245">
        <v>61</v>
      </c>
      <c r="AD245">
        <v>1</v>
      </c>
      <c r="AE245">
        <v>2</v>
      </c>
      <c r="AF245">
        <v>11</v>
      </c>
      <c r="AG245">
        <v>1</v>
      </c>
      <c r="AH245">
        <v>0</v>
      </c>
      <c r="AI245" s="5">
        <v>0.26900000000000002</v>
      </c>
      <c r="AJ245" s="5">
        <v>0.33</v>
      </c>
      <c r="AK245" s="5">
        <v>0.496</v>
      </c>
      <c r="AL245" s="5">
        <v>0.27200000000000002</v>
      </c>
      <c r="AM245" s="5">
        <v>0.27</v>
      </c>
      <c r="AN245">
        <v>-0.7</v>
      </c>
      <c r="AO245">
        <v>-1.81</v>
      </c>
      <c r="AP245">
        <v>10.66</v>
      </c>
      <c r="AQ245">
        <v>5.0599999999999996</v>
      </c>
      <c r="AR245">
        <v>-5.2</v>
      </c>
      <c r="AS245" t="s">
        <v>1827</v>
      </c>
      <c r="AT245">
        <v>0.8</v>
      </c>
      <c r="AU245">
        <v>13.3</v>
      </c>
      <c r="AV245">
        <v>6</v>
      </c>
      <c r="AW245">
        <v>29</v>
      </c>
      <c r="AX245">
        <v>6</v>
      </c>
      <c r="AY245">
        <v>17</v>
      </c>
      <c r="AZ245" t="s">
        <v>3742</v>
      </c>
      <c r="BA245">
        <v>57</v>
      </c>
      <c r="BB245" t="s">
        <v>35</v>
      </c>
      <c r="BC245" t="s">
        <v>35</v>
      </c>
      <c r="BD245" s="4">
        <f>HYPERLINK("http://mlb.mlb.com/team/player.jsp?player_id=641432",641432)</f>
        <v>641432</v>
      </c>
      <c r="BE245">
        <v>626</v>
      </c>
      <c r="BF245">
        <v>1626</v>
      </c>
      <c r="BG245">
        <v>37</v>
      </c>
      <c r="BH245">
        <v>34</v>
      </c>
    </row>
    <row r="246" spans="1:60" x14ac:dyDescent="0.3">
      <c r="A246" s="4">
        <f>HYPERLINK("http://legacy.baseballprospectus.com/p/104023",104023)</f>
        <v>104023</v>
      </c>
      <c r="B246" t="s">
        <v>1585</v>
      </c>
      <c r="C246" t="s">
        <v>502</v>
      </c>
      <c r="D246" s="10">
        <v>35569</v>
      </c>
      <c r="E246" t="s">
        <v>65</v>
      </c>
      <c r="F246" t="s">
        <v>33</v>
      </c>
      <c r="G246" t="s">
        <v>33</v>
      </c>
      <c r="H246">
        <v>72</v>
      </c>
      <c r="I246">
        <v>185</v>
      </c>
      <c r="J246">
        <v>2018</v>
      </c>
      <c r="K246" s="4" t="str">
        <f>HYPERLINK("http://legacy.baseballprospectus.com/fantasy/dc/index.php?tm=WAS","WAS")</f>
        <v>WAS</v>
      </c>
      <c r="L246" t="s">
        <v>100</v>
      </c>
      <c r="M246" t="s">
        <v>34</v>
      </c>
      <c r="N246">
        <v>21</v>
      </c>
      <c r="O246">
        <v>214</v>
      </c>
      <c r="P246">
        <v>66</v>
      </c>
      <c r="Q246">
        <v>189</v>
      </c>
      <c r="R246">
        <v>30</v>
      </c>
      <c r="S246">
        <v>32</v>
      </c>
      <c r="T246">
        <v>9</v>
      </c>
      <c r="U246">
        <v>2</v>
      </c>
      <c r="V246">
        <v>5</v>
      </c>
      <c r="W246">
        <v>48</v>
      </c>
      <c r="X246">
        <v>76</v>
      </c>
      <c r="Y246">
        <v>21</v>
      </c>
      <c r="Z246">
        <v>11</v>
      </c>
      <c r="AA246">
        <v>1</v>
      </c>
      <c r="AB246">
        <v>9</v>
      </c>
      <c r="AC246">
        <v>47</v>
      </c>
      <c r="AD246">
        <v>4</v>
      </c>
      <c r="AE246">
        <v>1</v>
      </c>
      <c r="AF246">
        <v>5</v>
      </c>
      <c r="AG246">
        <v>9</v>
      </c>
      <c r="AH246">
        <v>3</v>
      </c>
      <c r="AI246" s="5">
        <v>0.254</v>
      </c>
      <c r="AJ246" s="5">
        <v>0.32400000000000001</v>
      </c>
      <c r="AK246" s="5">
        <v>0.40200000000000002</v>
      </c>
      <c r="AL246" s="5">
        <v>0.253</v>
      </c>
      <c r="AM246" s="5">
        <v>0.30599999999999999</v>
      </c>
      <c r="AN246">
        <v>0.6</v>
      </c>
      <c r="AO246">
        <v>0.06</v>
      </c>
      <c r="AP246">
        <v>5.75</v>
      </c>
      <c r="AQ246">
        <v>-1.64</v>
      </c>
      <c r="AR246">
        <v>3.1</v>
      </c>
      <c r="AS246" t="s">
        <v>4852</v>
      </c>
      <c r="AT246">
        <v>0.8</v>
      </c>
      <c r="AU246">
        <v>4.8</v>
      </c>
      <c r="AV246">
        <v>8</v>
      </c>
      <c r="AW246">
        <v>22</v>
      </c>
      <c r="AX246">
        <v>5</v>
      </c>
      <c r="AY246">
        <v>15</v>
      </c>
      <c r="AZ246" t="s">
        <v>3779</v>
      </c>
      <c r="BA246">
        <v>34</v>
      </c>
      <c r="BB246" t="s">
        <v>35</v>
      </c>
      <c r="BC246" t="s">
        <v>35</v>
      </c>
      <c r="BD246" s="4">
        <f>HYPERLINK("http://mlb.mlb.com/team/player.jsp?player_id=645302",645302)</f>
        <v>645302</v>
      </c>
      <c r="BE246">
        <v>1643</v>
      </c>
      <c r="BF246">
        <v>643</v>
      </c>
      <c r="BG246">
        <v>27</v>
      </c>
      <c r="BH246">
        <v>24</v>
      </c>
    </row>
    <row r="247" spans="1:60" x14ac:dyDescent="0.3">
      <c r="A247" s="4">
        <f>HYPERLINK("http://legacy.baseballprospectus.com/p/60669",60669)</f>
        <v>60669</v>
      </c>
      <c r="B247" t="s">
        <v>1355</v>
      </c>
      <c r="C247" t="s">
        <v>102</v>
      </c>
      <c r="D247" s="10">
        <v>32244</v>
      </c>
      <c r="E247" t="s">
        <v>51</v>
      </c>
      <c r="F247" t="s">
        <v>9</v>
      </c>
      <c r="G247" t="s">
        <v>33</v>
      </c>
      <c r="H247">
        <v>69</v>
      </c>
      <c r="I247">
        <v>180</v>
      </c>
      <c r="J247">
        <v>2018</v>
      </c>
      <c r="K247" s="4" t="str">
        <f>HYPERLINK("http://legacy.baseballprospectus.com/fantasy/dc/index.php?tm=ATL","ATL")</f>
        <v>ATL</v>
      </c>
      <c r="L247" t="s">
        <v>100</v>
      </c>
      <c r="M247" t="s">
        <v>34</v>
      </c>
      <c r="N247">
        <v>30</v>
      </c>
      <c r="O247">
        <v>171</v>
      </c>
      <c r="P247">
        <v>77</v>
      </c>
      <c r="Q247">
        <v>147</v>
      </c>
      <c r="R247">
        <v>24</v>
      </c>
      <c r="S247">
        <v>15</v>
      </c>
      <c r="T247">
        <v>7</v>
      </c>
      <c r="U247">
        <v>1</v>
      </c>
      <c r="V247">
        <v>10</v>
      </c>
      <c r="W247">
        <v>33</v>
      </c>
      <c r="X247">
        <v>72</v>
      </c>
      <c r="Y247">
        <v>27</v>
      </c>
      <c r="Z247">
        <v>20</v>
      </c>
      <c r="AA247">
        <v>1</v>
      </c>
      <c r="AB247">
        <v>3</v>
      </c>
      <c r="AC247">
        <v>53</v>
      </c>
      <c r="AD247">
        <v>0</v>
      </c>
      <c r="AE247">
        <v>1</v>
      </c>
      <c r="AF247">
        <v>2</v>
      </c>
      <c r="AG247">
        <v>0</v>
      </c>
      <c r="AH247">
        <v>0</v>
      </c>
      <c r="AI247" s="5">
        <v>0.224</v>
      </c>
      <c r="AJ247" s="5">
        <v>0.32700000000000001</v>
      </c>
      <c r="AK247" s="5">
        <v>0.49</v>
      </c>
      <c r="AL247" s="5">
        <v>0.27100000000000002</v>
      </c>
      <c r="AM247" s="5">
        <v>0.25800000000000001</v>
      </c>
      <c r="AN247">
        <v>-0.3</v>
      </c>
      <c r="AO247">
        <v>-0.28000000000000003</v>
      </c>
      <c r="AP247">
        <v>4.59</v>
      </c>
      <c r="AQ247">
        <v>2.02</v>
      </c>
      <c r="AR247">
        <v>0.5</v>
      </c>
      <c r="AS247" t="s">
        <v>4017</v>
      </c>
      <c r="AT247">
        <v>0.7</v>
      </c>
      <c r="AU247">
        <v>6</v>
      </c>
      <c r="AV247">
        <v>2</v>
      </c>
      <c r="AW247">
        <v>33</v>
      </c>
      <c r="AX247">
        <v>4</v>
      </c>
      <c r="AY247">
        <v>12</v>
      </c>
      <c r="AZ247" t="s">
        <v>3648</v>
      </c>
      <c r="BA247">
        <v>74</v>
      </c>
      <c r="BB247" t="s">
        <v>35</v>
      </c>
      <c r="BC247" t="s">
        <v>36</v>
      </c>
      <c r="BD247" s="4">
        <f>HYPERLINK("http://mlb.mlb.com/team/player.jsp?player_id=572114",572114)</f>
        <v>572114</v>
      </c>
      <c r="BE247">
        <v>475</v>
      </c>
      <c r="BF247">
        <v>1475</v>
      </c>
      <c r="BG247">
        <v>197</v>
      </c>
      <c r="BH247">
        <v>165</v>
      </c>
    </row>
    <row r="248" spans="1:60" x14ac:dyDescent="0.3">
      <c r="A248" s="4">
        <f>HYPERLINK("http://legacy.baseballprospectus.com/p/52461",52461)</f>
        <v>52461</v>
      </c>
      <c r="B248" t="s">
        <v>237</v>
      </c>
      <c r="C248" t="s">
        <v>238</v>
      </c>
      <c r="D248" s="10">
        <v>31891</v>
      </c>
      <c r="E248" t="s">
        <v>54</v>
      </c>
      <c r="F248" t="s">
        <v>33</v>
      </c>
      <c r="G248" t="s">
        <v>33</v>
      </c>
      <c r="H248">
        <v>70</v>
      </c>
      <c r="I248">
        <v>220</v>
      </c>
      <c r="J248">
        <v>2018</v>
      </c>
      <c r="K248" s="4" t="str">
        <f>HYPERLINK("http://legacy.baseballprospectus.com/fantasy/dc/index.php?tm=CHA","CHA")</f>
        <v>CHA</v>
      </c>
      <c r="L248" t="s">
        <v>95</v>
      </c>
      <c r="M248" t="s">
        <v>34</v>
      </c>
      <c r="N248">
        <v>31</v>
      </c>
      <c r="O248">
        <v>453</v>
      </c>
      <c r="P248">
        <v>117</v>
      </c>
      <c r="Q248">
        <v>412</v>
      </c>
      <c r="R248">
        <v>54</v>
      </c>
      <c r="S248">
        <v>67</v>
      </c>
      <c r="T248">
        <v>18</v>
      </c>
      <c r="U248">
        <v>1</v>
      </c>
      <c r="V248">
        <v>17</v>
      </c>
      <c r="W248">
        <v>103</v>
      </c>
      <c r="X248">
        <v>174</v>
      </c>
      <c r="Y248">
        <v>57</v>
      </c>
      <c r="Z248">
        <v>31</v>
      </c>
      <c r="AA248">
        <v>1</v>
      </c>
      <c r="AB248">
        <v>6</v>
      </c>
      <c r="AC248">
        <v>114</v>
      </c>
      <c r="AD248">
        <v>1</v>
      </c>
      <c r="AE248">
        <v>2</v>
      </c>
      <c r="AF248">
        <v>11</v>
      </c>
      <c r="AG248">
        <v>1</v>
      </c>
      <c r="AH248">
        <v>0</v>
      </c>
      <c r="AI248" s="5">
        <v>0.25</v>
      </c>
      <c r="AJ248" s="5">
        <v>0.31</v>
      </c>
      <c r="AK248" s="5">
        <v>0.42199999999999999</v>
      </c>
      <c r="AL248" s="5">
        <v>0.251</v>
      </c>
      <c r="AM248" s="5">
        <v>0.29899999999999999</v>
      </c>
      <c r="AN248">
        <v>-0.9</v>
      </c>
      <c r="AO248">
        <v>3.45</v>
      </c>
      <c r="AP248">
        <v>12.16</v>
      </c>
      <c r="AQ248">
        <v>-4.0999999999999996</v>
      </c>
      <c r="AR248">
        <v>-3.8</v>
      </c>
      <c r="AS248" t="s">
        <v>1686</v>
      </c>
      <c r="AT248">
        <v>0.7</v>
      </c>
      <c r="AU248">
        <v>10.6</v>
      </c>
      <c r="AV248">
        <v>3</v>
      </c>
      <c r="AW248">
        <v>31</v>
      </c>
      <c r="AX248">
        <v>19</v>
      </c>
      <c r="AY248">
        <v>21</v>
      </c>
      <c r="AZ248" t="s">
        <v>3825</v>
      </c>
      <c r="BA248">
        <v>97</v>
      </c>
      <c r="BB248" t="s">
        <v>35</v>
      </c>
      <c r="BC248" t="s">
        <v>36</v>
      </c>
      <c r="BD248" s="4">
        <f>HYPERLINK("http://mlb.mlb.com/team/player.jsp?player_id=456078",456078)</f>
        <v>456078</v>
      </c>
      <c r="BE248">
        <v>359</v>
      </c>
      <c r="BF248">
        <v>1359</v>
      </c>
      <c r="BG248">
        <v>365</v>
      </c>
      <c r="BH248">
        <v>341</v>
      </c>
    </row>
    <row r="249" spans="1:60" x14ac:dyDescent="0.3">
      <c r="A249" s="4">
        <f>HYPERLINK("http://legacy.baseballprospectus.com/p/45495",45495)</f>
        <v>45495</v>
      </c>
      <c r="B249" t="s">
        <v>994</v>
      </c>
      <c r="C249" t="s">
        <v>345</v>
      </c>
      <c r="D249" s="10">
        <v>29732</v>
      </c>
      <c r="E249" t="s">
        <v>58</v>
      </c>
      <c r="F249" t="s">
        <v>37</v>
      </c>
      <c r="G249" t="s">
        <v>33</v>
      </c>
      <c r="H249">
        <v>75</v>
      </c>
      <c r="I249">
        <v>210</v>
      </c>
      <c r="J249">
        <v>2018</v>
      </c>
      <c r="K249" s="4" t="str">
        <f>HYPERLINK("http://legacy.baseballprospectus.com/fantasy/dc/index.php?tm=CHN","CHN")</f>
        <v>CHN</v>
      </c>
      <c r="L249" t="s">
        <v>100</v>
      </c>
      <c r="M249" t="s">
        <v>34</v>
      </c>
      <c r="N249">
        <v>37</v>
      </c>
      <c r="O249">
        <v>481</v>
      </c>
      <c r="P249">
        <v>154</v>
      </c>
      <c r="Q249">
        <v>419</v>
      </c>
      <c r="R249">
        <v>61</v>
      </c>
      <c r="S249">
        <v>73</v>
      </c>
      <c r="T249">
        <v>24</v>
      </c>
      <c r="U249">
        <v>2</v>
      </c>
      <c r="V249">
        <v>10</v>
      </c>
      <c r="W249">
        <v>109</v>
      </c>
      <c r="X249">
        <v>167</v>
      </c>
      <c r="Y249">
        <v>47</v>
      </c>
      <c r="Z249">
        <v>55</v>
      </c>
      <c r="AA249">
        <v>3</v>
      </c>
      <c r="AB249">
        <v>3</v>
      </c>
      <c r="AC249">
        <v>64</v>
      </c>
      <c r="AD249">
        <v>1</v>
      </c>
      <c r="AE249">
        <v>2</v>
      </c>
      <c r="AF249">
        <v>12</v>
      </c>
      <c r="AG249">
        <v>4</v>
      </c>
      <c r="AH249">
        <v>3</v>
      </c>
      <c r="AI249" s="5">
        <v>0.26</v>
      </c>
      <c r="AJ249" s="5">
        <v>0.34899999999999998</v>
      </c>
      <c r="AK249" s="5">
        <v>0.39900000000000002</v>
      </c>
      <c r="AL249" s="5">
        <v>0.25900000000000001</v>
      </c>
      <c r="AM249" s="5">
        <v>0.28299999999999997</v>
      </c>
      <c r="AN249">
        <v>-1</v>
      </c>
      <c r="AO249">
        <v>-0.55000000000000004</v>
      </c>
      <c r="AP249">
        <v>12.91</v>
      </c>
      <c r="AQ249">
        <v>-0.47</v>
      </c>
      <c r="AR249">
        <v>-4.2</v>
      </c>
      <c r="AS249" t="s">
        <v>3826</v>
      </c>
      <c r="AT249">
        <v>0.7</v>
      </c>
      <c r="AU249">
        <v>10.9</v>
      </c>
      <c r="AV249">
        <v>0</v>
      </c>
      <c r="AW249">
        <v>34</v>
      </c>
      <c r="AX249">
        <v>13</v>
      </c>
      <c r="AY249">
        <v>13</v>
      </c>
      <c r="AZ249" t="s">
        <v>3827</v>
      </c>
      <c r="BA249">
        <v>82</v>
      </c>
      <c r="BB249" t="s">
        <v>35</v>
      </c>
      <c r="BC249" t="s">
        <v>36</v>
      </c>
      <c r="BD249" s="4">
        <f>HYPERLINK("http://mlb.mlb.com/team/player.jsp?player_id=450314",450314)</f>
        <v>450314</v>
      </c>
      <c r="BE249">
        <v>1453</v>
      </c>
      <c r="BF249">
        <v>453</v>
      </c>
      <c r="BG249">
        <v>496</v>
      </c>
      <c r="BH249">
        <v>435</v>
      </c>
    </row>
    <row r="250" spans="1:60" x14ac:dyDescent="0.3">
      <c r="A250" s="4">
        <f>HYPERLINK("http://legacy.baseballprospectus.com/p/46150",46150)</f>
        <v>46150</v>
      </c>
      <c r="B250" t="s">
        <v>435</v>
      </c>
      <c r="C250" t="s">
        <v>234</v>
      </c>
      <c r="D250" s="10">
        <v>30414</v>
      </c>
      <c r="E250" t="s">
        <v>54</v>
      </c>
      <c r="F250" t="s">
        <v>33</v>
      </c>
      <c r="G250" t="s">
        <v>33</v>
      </c>
      <c r="H250">
        <v>72</v>
      </c>
      <c r="I250">
        <v>230</v>
      </c>
      <c r="J250">
        <v>2018</v>
      </c>
      <c r="K250" s="4" t="str">
        <f>HYPERLINK("http://legacy.baseballprospectus.com/fantasy/dc/index.php?tm=COL","COL")</f>
        <v>COL</v>
      </c>
      <c r="L250" t="s">
        <v>100</v>
      </c>
      <c r="M250" t="s">
        <v>34</v>
      </c>
      <c r="N250">
        <v>35</v>
      </c>
      <c r="O250">
        <v>400</v>
      </c>
      <c r="P250">
        <v>129</v>
      </c>
      <c r="Q250">
        <v>340</v>
      </c>
      <c r="R250">
        <v>48</v>
      </c>
      <c r="S250">
        <v>49</v>
      </c>
      <c r="T250">
        <v>18</v>
      </c>
      <c r="U250">
        <v>1</v>
      </c>
      <c r="V250">
        <v>11</v>
      </c>
      <c r="W250">
        <v>79</v>
      </c>
      <c r="X250">
        <v>132</v>
      </c>
      <c r="Y250">
        <v>45</v>
      </c>
      <c r="Z250">
        <v>53</v>
      </c>
      <c r="AA250">
        <v>1</v>
      </c>
      <c r="AB250">
        <v>4</v>
      </c>
      <c r="AC250">
        <v>100</v>
      </c>
      <c r="AD250">
        <v>0</v>
      </c>
      <c r="AE250">
        <v>2</v>
      </c>
      <c r="AF250">
        <v>10</v>
      </c>
      <c r="AG250">
        <v>1</v>
      </c>
      <c r="AH250">
        <v>0</v>
      </c>
      <c r="AI250" s="5">
        <v>0.23200000000000001</v>
      </c>
      <c r="AJ250" s="5">
        <v>0.34100000000000003</v>
      </c>
      <c r="AK250" s="5">
        <v>0.38800000000000001</v>
      </c>
      <c r="AL250" s="5">
        <v>0.252</v>
      </c>
      <c r="AM250" s="5">
        <v>0.29199999999999998</v>
      </c>
      <c r="AN250">
        <v>-0.8</v>
      </c>
      <c r="AO250">
        <v>2.4</v>
      </c>
      <c r="AP250">
        <v>10.74</v>
      </c>
      <c r="AQ250">
        <v>-3.45</v>
      </c>
      <c r="AR250">
        <v>-1.8</v>
      </c>
      <c r="AS250" t="s">
        <v>1222</v>
      </c>
      <c r="AT250">
        <v>0.7</v>
      </c>
      <c r="AU250">
        <v>8.9</v>
      </c>
      <c r="AV250">
        <v>1</v>
      </c>
      <c r="AW250">
        <v>27</v>
      </c>
      <c r="AX250">
        <v>12</v>
      </c>
      <c r="AY250">
        <v>26</v>
      </c>
      <c r="AZ250" t="s">
        <v>3829</v>
      </c>
      <c r="BA250">
        <v>81</v>
      </c>
      <c r="BB250" t="s">
        <v>35</v>
      </c>
      <c r="BC250" t="s">
        <v>36</v>
      </c>
      <c r="BD250" s="4">
        <f>HYPERLINK("http://mlb.mlb.com/team/player.jsp?player_id=455104",455104)</f>
        <v>455104</v>
      </c>
      <c r="BE250">
        <v>1381</v>
      </c>
      <c r="BF250">
        <v>381</v>
      </c>
      <c r="BG250">
        <v>316</v>
      </c>
      <c r="BH250">
        <v>272</v>
      </c>
    </row>
    <row r="251" spans="1:60" x14ac:dyDescent="0.3">
      <c r="A251" s="4">
        <f>HYPERLINK("http://legacy.baseballprospectus.com/p/45398",45398)</f>
        <v>45398</v>
      </c>
      <c r="B251" t="s">
        <v>214</v>
      </c>
      <c r="C251" t="s">
        <v>217</v>
      </c>
      <c r="D251" s="10">
        <v>31364</v>
      </c>
      <c r="E251" t="s">
        <v>58</v>
      </c>
      <c r="F251" t="s">
        <v>37</v>
      </c>
      <c r="G251" t="s">
        <v>33</v>
      </c>
      <c r="H251">
        <v>72</v>
      </c>
      <c r="I251">
        <v>205</v>
      </c>
      <c r="J251">
        <v>2018</v>
      </c>
      <c r="K251" s="4" t="str">
        <f>HYPERLINK("http://legacy.baseballprospectus.com/fantasy/dc/index.php?tm=NYN","NYN")</f>
        <v>NYN</v>
      </c>
      <c r="L251" t="s">
        <v>100</v>
      </c>
      <c r="M251" t="s">
        <v>34</v>
      </c>
      <c r="N251">
        <v>32</v>
      </c>
      <c r="O251">
        <v>540</v>
      </c>
      <c r="P251">
        <v>132</v>
      </c>
      <c r="Q251">
        <v>491</v>
      </c>
      <c r="R251">
        <v>67</v>
      </c>
      <c r="S251">
        <v>80</v>
      </c>
      <c r="T251">
        <v>27</v>
      </c>
      <c r="U251">
        <v>2</v>
      </c>
      <c r="V251">
        <v>15</v>
      </c>
      <c r="W251">
        <v>124</v>
      </c>
      <c r="X251">
        <v>200</v>
      </c>
      <c r="Y251">
        <v>57</v>
      </c>
      <c r="Z251">
        <v>39</v>
      </c>
      <c r="AA251">
        <v>2</v>
      </c>
      <c r="AB251">
        <v>6</v>
      </c>
      <c r="AC251">
        <v>98</v>
      </c>
      <c r="AD251">
        <v>1</v>
      </c>
      <c r="AE251">
        <v>3</v>
      </c>
      <c r="AF251">
        <v>15</v>
      </c>
      <c r="AG251">
        <v>5</v>
      </c>
      <c r="AH251">
        <v>2</v>
      </c>
      <c r="AI251" s="5">
        <v>0.253</v>
      </c>
      <c r="AJ251" s="5">
        <v>0.314</v>
      </c>
      <c r="AK251" s="5">
        <v>0.40699999999999997</v>
      </c>
      <c r="AL251" s="5">
        <v>0.254</v>
      </c>
      <c r="AM251" s="5">
        <v>0.28499999999999998</v>
      </c>
      <c r="AN251">
        <v>-0.6</v>
      </c>
      <c r="AO251">
        <v>2.8</v>
      </c>
      <c r="AP251">
        <v>14.5</v>
      </c>
      <c r="AQ251">
        <v>-3.41</v>
      </c>
      <c r="AR251">
        <v>-6.8</v>
      </c>
      <c r="AS251" t="s">
        <v>4879</v>
      </c>
      <c r="AT251">
        <v>0.7</v>
      </c>
      <c r="AU251">
        <v>13.3</v>
      </c>
      <c r="AV251">
        <v>0</v>
      </c>
      <c r="AW251">
        <v>35</v>
      </c>
      <c r="AX251">
        <v>11</v>
      </c>
      <c r="AY251">
        <v>10</v>
      </c>
      <c r="AZ251" t="s">
        <v>4290</v>
      </c>
      <c r="BA251">
        <v>96</v>
      </c>
      <c r="BB251" t="s">
        <v>35</v>
      </c>
      <c r="BC251" t="s">
        <v>36</v>
      </c>
      <c r="BD251" s="4">
        <f>HYPERLINK("http://mlb.mlb.com/team/player.jsp?player_id=452678",452678)</f>
        <v>452678</v>
      </c>
      <c r="BE251">
        <v>1526</v>
      </c>
      <c r="BF251">
        <v>526</v>
      </c>
      <c r="BG251">
        <v>540</v>
      </c>
      <c r="BH251">
        <v>479</v>
      </c>
    </row>
    <row r="252" spans="1:60" x14ac:dyDescent="0.3">
      <c r="A252" s="4">
        <f>HYPERLINK("http://legacy.baseballprospectus.com/p/70524",70524)</f>
        <v>70524</v>
      </c>
      <c r="B252" t="s">
        <v>1055</v>
      </c>
      <c r="C252" t="s">
        <v>113</v>
      </c>
      <c r="D252" s="10">
        <v>34055</v>
      </c>
      <c r="E252" t="s">
        <v>65</v>
      </c>
      <c r="F252" t="s">
        <v>9</v>
      </c>
      <c r="G252" t="s">
        <v>33</v>
      </c>
      <c r="H252">
        <v>75</v>
      </c>
      <c r="I252">
        <v>207</v>
      </c>
      <c r="J252">
        <v>2018</v>
      </c>
      <c r="K252" s="4" t="str">
        <f>HYPERLINK("http://legacy.baseballprospectus.com/fantasy/dc/index.php?tm=NYN","NYN")</f>
        <v>NYN</v>
      </c>
      <c r="L252" t="s">
        <v>100</v>
      </c>
      <c r="M252" t="s">
        <v>34</v>
      </c>
      <c r="N252">
        <v>25</v>
      </c>
      <c r="O252">
        <v>325</v>
      </c>
      <c r="P252">
        <v>141</v>
      </c>
      <c r="Q252">
        <v>282</v>
      </c>
      <c r="R252">
        <v>41</v>
      </c>
      <c r="S252">
        <v>48</v>
      </c>
      <c r="T252">
        <v>13</v>
      </c>
      <c r="U252">
        <v>2</v>
      </c>
      <c r="V252">
        <v>7</v>
      </c>
      <c r="W252">
        <v>70</v>
      </c>
      <c r="X252">
        <v>108</v>
      </c>
      <c r="Y252">
        <v>31</v>
      </c>
      <c r="Z252">
        <v>37</v>
      </c>
      <c r="AA252">
        <v>2</v>
      </c>
      <c r="AB252">
        <v>4</v>
      </c>
      <c r="AC252">
        <v>79</v>
      </c>
      <c r="AD252">
        <v>1</v>
      </c>
      <c r="AE252">
        <v>1</v>
      </c>
      <c r="AF252">
        <v>6</v>
      </c>
      <c r="AG252">
        <v>2</v>
      </c>
      <c r="AH252">
        <v>2</v>
      </c>
      <c r="AI252" s="5">
        <v>0.248</v>
      </c>
      <c r="AJ252" s="5">
        <v>0.34300000000000003</v>
      </c>
      <c r="AK252" s="5">
        <v>0.38300000000000001</v>
      </c>
      <c r="AL252" s="5">
        <v>0.25900000000000001</v>
      </c>
      <c r="AM252" s="5">
        <v>0.314</v>
      </c>
      <c r="AN252">
        <v>-0.5</v>
      </c>
      <c r="AO252">
        <v>-1.41</v>
      </c>
      <c r="AP252">
        <v>8.73</v>
      </c>
      <c r="AQ252">
        <v>-0.49</v>
      </c>
      <c r="AR252">
        <v>0.2</v>
      </c>
      <c r="AS252" t="s">
        <v>4892</v>
      </c>
      <c r="AT252">
        <v>0.7</v>
      </c>
      <c r="AU252">
        <v>6.3</v>
      </c>
      <c r="AV252">
        <v>7</v>
      </c>
      <c r="AW252">
        <v>48</v>
      </c>
      <c r="AX252">
        <v>12</v>
      </c>
      <c r="AY252">
        <v>35</v>
      </c>
      <c r="AZ252" t="s">
        <v>3762</v>
      </c>
      <c r="BA252">
        <v>84</v>
      </c>
      <c r="BB252" t="s">
        <v>35</v>
      </c>
      <c r="BC252" t="s">
        <v>36</v>
      </c>
      <c r="BD252" s="4">
        <f>HYPERLINK("http://mlb.mlb.com/team/player.jsp?player_id=607043",607043)</f>
        <v>607043</v>
      </c>
      <c r="BE252">
        <v>1618</v>
      </c>
      <c r="BF252">
        <v>618</v>
      </c>
      <c r="BG252">
        <v>215</v>
      </c>
      <c r="BH252">
        <v>177</v>
      </c>
    </row>
    <row r="253" spans="1:60" x14ac:dyDescent="0.3">
      <c r="A253" s="4">
        <f>HYPERLINK("http://legacy.baseballprospectus.com/p/57191",57191)</f>
        <v>57191</v>
      </c>
      <c r="B253" t="s">
        <v>486</v>
      </c>
      <c r="C253" t="s">
        <v>355</v>
      </c>
      <c r="D253" s="10">
        <v>31576</v>
      </c>
      <c r="E253" t="s">
        <v>54</v>
      </c>
      <c r="F253" t="s">
        <v>33</v>
      </c>
      <c r="G253" t="s">
        <v>33</v>
      </c>
      <c r="H253">
        <v>72</v>
      </c>
      <c r="I253">
        <v>200</v>
      </c>
      <c r="J253">
        <v>2018</v>
      </c>
      <c r="K253" s="4" t="str">
        <f>HYPERLINK("http://legacy.baseballprospectus.com/fantasy/dc/index.php?tm=OAK","OAK")</f>
        <v>OAK</v>
      </c>
      <c r="L253" t="s">
        <v>95</v>
      </c>
      <c r="M253" t="s">
        <v>34</v>
      </c>
      <c r="N253">
        <v>32</v>
      </c>
      <c r="O253">
        <v>413</v>
      </c>
      <c r="P253">
        <v>101</v>
      </c>
      <c r="Q253">
        <v>372</v>
      </c>
      <c r="R253">
        <v>47</v>
      </c>
      <c r="S253">
        <v>66</v>
      </c>
      <c r="T253">
        <v>22</v>
      </c>
      <c r="U253">
        <v>3</v>
      </c>
      <c r="V253">
        <v>10</v>
      </c>
      <c r="W253">
        <v>101</v>
      </c>
      <c r="X253">
        <v>159</v>
      </c>
      <c r="Y253">
        <v>46</v>
      </c>
      <c r="Z253">
        <v>36</v>
      </c>
      <c r="AA253">
        <v>2</v>
      </c>
      <c r="AB253">
        <v>3</v>
      </c>
      <c r="AC253">
        <v>58</v>
      </c>
      <c r="AD253">
        <v>0</v>
      </c>
      <c r="AE253">
        <v>2</v>
      </c>
      <c r="AF253">
        <v>13</v>
      </c>
      <c r="AG253">
        <v>2</v>
      </c>
      <c r="AH253">
        <v>0</v>
      </c>
      <c r="AI253" s="5">
        <v>0.27200000000000002</v>
      </c>
      <c r="AJ253" s="5">
        <v>0.33900000000000002</v>
      </c>
      <c r="AK253" s="5">
        <v>0.42699999999999999</v>
      </c>
      <c r="AL253" s="5">
        <v>0.26200000000000001</v>
      </c>
      <c r="AM253" s="5">
        <v>0.29299999999999998</v>
      </c>
      <c r="AN253">
        <v>-0.3</v>
      </c>
      <c r="AO253">
        <v>3.15</v>
      </c>
      <c r="AP253">
        <v>11.09</v>
      </c>
      <c r="AQ253">
        <v>0.82</v>
      </c>
      <c r="AR253">
        <v>-8</v>
      </c>
      <c r="AS253" t="s">
        <v>2192</v>
      </c>
      <c r="AT253">
        <v>0.7</v>
      </c>
      <c r="AU253">
        <v>14.7</v>
      </c>
      <c r="AV253">
        <v>0</v>
      </c>
      <c r="AW253">
        <v>29</v>
      </c>
      <c r="AX253">
        <v>10</v>
      </c>
      <c r="AY253">
        <v>17</v>
      </c>
      <c r="AZ253" t="s">
        <v>3665</v>
      </c>
      <c r="BA253">
        <v>98</v>
      </c>
      <c r="BB253" t="s">
        <v>35</v>
      </c>
      <c r="BC253" t="s">
        <v>36</v>
      </c>
      <c r="BD253" s="4">
        <f>HYPERLINK("http://mlb.mlb.com/team/player.jsp?player_id=518960",518960)</f>
        <v>518960</v>
      </c>
      <c r="BE253">
        <v>1732</v>
      </c>
      <c r="BF253">
        <v>732</v>
      </c>
      <c r="BG253">
        <v>481</v>
      </c>
      <c r="BH253">
        <v>423</v>
      </c>
    </row>
    <row r="254" spans="1:60" x14ac:dyDescent="0.3">
      <c r="A254" s="4">
        <f>HYPERLINK("http://legacy.baseballprospectus.com/p/70645",70645)</f>
        <v>70645</v>
      </c>
      <c r="B254" t="s">
        <v>690</v>
      </c>
      <c r="C254" t="s">
        <v>108</v>
      </c>
      <c r="D254" s="10">
        <v>34220</v>
      </c>
      <c r="E254" t="s">
        <v>57</v>
      </c>
      <c r="F254" t="s">
        <v>9</v>
      </c>
      <c r="G254" t="s">
        <v>9</v>
      </c>
      <c r="H254">
        <v>75</v>
      </c>
      <c r="I254">
        <v>195</v>
      </c>
      <c r="J254">
        <v>2018</v>
      </c>
      <c r="K254" s="4" t="str">
        <f>HYPERLINK("http://legacy.baseballprospectus.com/fantasy/dc/index.php?tm=PHI","PHI")</f>
        <v>PHI</v>
      </c>
      <c r="L254" t="s">
        <v>100</v>
      </c>
      <c r="M254" t="s">
        <v>34</v>
      </c>
      <c r="N254">
        <v>24</v>
      </c>
      <c r="O254">
        <v>501</v>
      </c>
      <c r="P254">
        <v>135</v>
      </c>
      <c r="Q254">
        <v>469</v>
      </c>
      <c r="R254">
        <v>66</v>
      </c>
      <c r="S254">
        <v>73</v>
      </c>
      <c r="T254">
        <v>23</v>
      </c>
      <c r="U254">
        <v>4</v>
      </c>
      <c r="V254">
        <v>20</v>
      </c>
      <c r="W254">
        <v>120</v>
      </c>
      <c r="X254">
        <v>211</v>
      </c>
      <c r="Y254">
        <v>62</v>
      </c>
      <c r="Z254">
        <v>23</v>
      </c>
      <c r="AA254">
        <v>1</v>
      </c>
      <c r="AB254">
        <v>5</v>
      </c>
      <c r="AC254">
        <v>141</v>
      </c>
      <c r="AD254">
        <v>1</v>
      </c>
      <c r="AE254">
        <v>3</v>
      </c>
      <c r="AF254">
        <v>12</v>
      </c>
      <c r="AG254">
        <v>4</v>
      </c>
      <c r="AH254">
        <v>3</v>
      </c>
      <c r="AI254" s="5">
        <v>0.25600000000000001</v>
      </c>
      <c r="AJ254" s="5">
        <v>0.29599999999999999</v>
      </c>
      <c r="AK254" s="5">
        <v>0.45</v>
      </c>
      <c r="AL254" s="5">
        <v>0.25700000000000001</v>
      </c>
      <c r="AM254" s="5">
        <v>0.32200000000000001</v>
      </c>
      <c r="AN254">
        <v>-0.6</v>
      </c>
      <c r="AO254">
        <v>-1.79</v>
      </c>
      <c r="AP254">
        <v>13.45</v>
      </c>
      <c r="AQ254">
        <v>-1.38</v>
      </c>
      <c r="AR254">
        <v>-2.8</v>
      </c>
      <c r="AS254" t="s">
        <v>1826</v>
      </c>
      <c r="AT254">
        <v>0.7</v>
      </c>
      <c r="AU254">
        <v>9.6999999999999993</v>
      </c>
      <c r="AV254">
        <v>8</v>
      </c>
      <c r="AW254">
        <v>34</v>
      </c>
      <c r="AX254">
        <v>16</v>
      </c>
      <c r="AY254">
        <v>38</v>
      </c>
      <c r="AZ254" t="s">
        <v>3956</v>
      </c>
      <c r="BA254">
        <v>69</v>
      </c>
      <c r="BB254" t="s">
        <v>35</v>
      </c>
      <c r="BC254" t="s">
        <v>36</v>
      </c>
      <c r="BD254" s="4">
        <f>HYPERLINK("http://mlb.mlb.com/team/player.jsp?player_id=608384",608384)</f>
        <v>608384</v>
      </c>
      <c r="BE254">
        <v>1607</v>
      </c>
      <c r="BF254">
        <v>607</v>
      </c>
      <c r="BG254">
        <v>343</v>
      </c>
      <c r="BH254">
        <v>313</v>
      </c>
    </row>
    <row r="255" spans="1:60" x14ac:dyDescent="0.3">
      <c r="A255" s="4">
        <f>HYPERLINK("http://legacy.baseballprospectus.com/p/66995",66995)</f>
        <v>66995</v>
      </c>
      <c r="B255" t="s">
        <v>1719</v>
      </c>
      <c r="C255" t="s">
        <v>1720</v>
      </c>
      <c r="D255" s="10">
        <v>33741</v>
      </c>
      <c r="E255" t="s">
        <v>59</v>
      </c>
      <c r="F255" t="s">
        <v>9</v>
      </c>
      <c r="G255" t="s">
        <v>9</v>
      </c>
      <c r="H255">
        <v>71</v>
      </c>
      <c r="I255">
        <v>185</v>
      </c>
      <c r="J255">
        <v>2018</v>
      </c>
      <c r="K255" s="4" t="str">
        <f>HYPERLINK("http://legacy.baseballprospectus.com/fantasy/dc/index.php?tm=SEA","SEA")</f>
        <v>SEA</v>
      </c>
      <c r="L255" t="s">
        <v>95</v>
      </c>
      <c r="M255" t="s">
        <v>34</v>
      </c>
      <c r="N255">
        <v>26</v>
      </c>
      <c r="O255">
        <v>360</v>
      </c>
      <c r="P255">
        <v>100</v>
      </c>
      <c r="Q255">
        <v>327</v>
      </c>
      <c r="R255">
        <v>41</v>
      </c>
      <c r="S255">
        <v>59</v>
      </c>
      <c r="T255">
        <v>16</v>
      </c>
      <c r="U255">
        <v>4</v>
      </c>
      <c r="V255">
        <v>8</v>
      </c>
      <c r="W255">
        <v>87</v>
      </c>
      <c r="X255">
        <v>135</v>
      </c>
      <c r="Y255">
        <v>39</v>
      </c>
      <c r="Z255">
        <v>28</v>
      </c>
      <c r="AA255">
        <v>2</v>
      </c>
      <c r="AB255">
        <v>2</v>
      </c>
      <c r="AC255">
        <v>80</v>
      </c>
      <c r="AD255">
        <v>1</v>
      </c>
      <c r="AE255">
        <v>2</v>
      </c>
      <c r="AF255">
        <v>8</v>
      </c>
      <c r="AG255">
        <v>5</v>
      </c>
      <c r="AH255">
        <v>2</v>
      </c>
      <c r="AI255" s="5">
        <v>0.26600000000000001</v>
      </c>
      <c r="AJ255" s="5">
        <v>0.32600000000000001</v>
      </c>
      <c r="AK255" s="5">
        <v>0.41299999999999998</v>
      </c>
      <c r="AL255" s="5">
        <v>0.26300000000000001</v>
      </c>
      <c r="AM255" s="5">
        <v>0.33</v>
      </c>
      <c r="AN255">
        <v>0.2</v>
      </c>
      <c r="AO255">
        <v>-0.68</v>
      </c>
      <c r="AP255">
        <v>9.67</v>
      </c>
      <c r="AQ255">
        <v>1.1599999999999999</v>
      </c>
      <c r="AR255">
        <v>-3.7</v>
      </c>
      <c r="AS255" t="s">
        <v>4969</v>
      </c>
      <c r="AT255">
        <v>0.7</v>
      </c>
      <c r="AU255">
        <v>10.3</v>
      </c>
      <c r="AV255">
        <v>11</v>
      </c>
      <c r="AW255">
        <v>44</v>
      </c>
      <c r="AX255">
        <v>11</v>
      </c>
      <c r="AY255">
        <v>24</v>
      </c>
      <c r="AZ255" t="s">
        <v>3848</v>
      </c>
      <c r="BA255">
        <v>82</v>
      </c>
      <c r="BB255" t="s">
        <v>35</v>
      </c>
      <c r="BC255" t="s">
        <v>36</v>
      </c>
      <c r="BD255" s="4">
        <f>HYPERLINK("http://mlb.mlb.com/team/player.jsp?player_id=592325",592325)</f>
        <v>592325</v>
      </c>
      <c r="BE255">
        <v>575</v>
      </c>
      <c r="BF255">
        <v>1575</v>
      </c>
      <c r="BG255">
        <v>550</v>
      </c>
      <c r="BH255">
        <v>509</v>
      </c>
    </row>
    <row r="256" spans="1:60" x14ac:dyDescent="0.3">
      <c r="A256" s="4">
        <f>HYPERLINK("http://legacy.baseballprospectus.com/p/66975",66975)</f>
        <v>66975</v>
      </c>
      <c r="B256" t="s">
        <v>294</v>
      </c>
      <c r="C256" t="s">
        <v>295</v>
      </c>
      <c r="D256" s="10">
        <v>33832</v>
      </c>
      <c r="E256" t="s">
        <v>65</v>
      </c>
      <c r="F256" t="s">
        <v>33</v>
      </c>
      <c r="G256" t="s">
        <v>33</v>
      </c>
      <c r="H256">
        <v>69</v>
      </c>
      <c r="I256">
        <v>200</v>
      </c>
      <c r="J256">
        <v>2018</v>
      </c>
      <c r="K256" s="4" t="str">
        <f>HYPERLINK("http://legacy.baseballprospectus.com/fantasy/dc/index.php?tm=TEX","TEX")</f>
        <v>TEX</v>
      </c>
      <c r="L256" t="s">
        <v>95</v>
      </c>
      <c r="M256" t="s">
        <v>34</v>
      </c>
      <c r="N256">
        <v>25</v>
      </c>
      <c r="O256">
        <v>619</v>
      </c>
      <c r="P256">
        <v>154</v>
      </c>
      <c r="Q256">
        <v>532</v>
      </c>
      <c r="R256">
        <v>85</v>
      </c>
      <c r="S256">
        <v>96</v>
      </c>
      <c r="T256">
        <v>26</v>
      </c>
      <c r="U256">
        <v>5</v>
      </c>
      <c r="V256">
        <v>9</v>
      </c>
      <c r="W256">
        <v>136</v>
      </c>
      <c r="X256">
        <v>199</v>
      </c>
      <c r="Y256">
        <v>49</v>
      </c>
      <c r="Z256">
        <v>65</v>
      </c>
      <c r="AA256">
        <v>2</v>
      </c>
      <c r="AB256">
        <v>5</v>
      </c>
      <c r="AC256">
        <v>142</v>
      </c>
      <c r="AD256">
        <v>13</v>
      </c>
      <c r="AE256">
        <v>4</v>
      </c>
      <c r="AF256">
        <v>9</v>
      </c>
      <c r="AG256">
        <v>35</v>
      </c>
      <c r="AH256">
        <v>11</v>
      </c>
      <c r="AI256" s="5">
        <v>0.25600000000000001</v>
      </c>
      <c r="AJ256" s="5">
        <v>0.34</v>
      </c>
      <c r="AK256" s="5">
        <v>0.374</v>
      </c>
      <c r="AL256" s="5">
        <v>0.24399999999999999</v>
      </c>
      <c r="AM256" s="5">
        <v>0.318</v>
      </c>
      <c r="AN256">
        <v>3.3</v>
      </c>
      <c r="AO256">
        <v>0.9</v>
      </c>
      <c r="AP256">
        <v>16.62</v>
      </c>
      <c r="AQ256">
        <v>-10.26</v>
      </c>
      <c r="AR256">
        <v>-3.3</v>
      </c>
      <c r="AS256" t="s">
        <v>1046</v>
      </c>
      <c r="AT256">
        <v>0.7</v>
      </c>
      <c r="AU256">
        <v>10.5</v>
      </c>
      <c r="AV256">
        <v>6</v>
      </c>
      <c r="AW256">
        <v>50</v>
      </c>
      <c r="AX256">
        <v>3</v>
      </c>
      <c r="AY256">
        <v>10</v>
      </c>
      <c r="AZ256" t="s">
        <v>3837</v>
      </c>
      <c r="BA256">
        <v>95</v>
      </c>
      <c r="BB256" t="s">
        <v>35</v>
      </c>
      <c r="BC256" t="s">
        <v>36</v>
      </c>
      <c r="BD256" s="4">
        <f>HYPERLINK("http://mlb.mlb.com/team/player.jsp?player_id=592261",592261)</f>
        <v>592261</v>
      </c>
      <c r="BE256">
        <v>586</v>
      </c>
      <c r="BF256">
        <v>1586</v>
      </c>
      <c r="BG256">
        <v>440</v>
      </c>
      <c r="BH256">
        <v>376</v>
      </c>
    </row>
    <row r="257" spans="1:60" x14ac:dyDescent="0.3">
      <c r="A257" s="4">
        <f>HYPERLINK("http://legacy.baseballprospectus.com/p/103726",103726)</f>
        <v>103726</v>
      </c>
      <c r="B257" t="s">
        <v>298</v>
      </c>
      <c r="C257" t="s">
        <v>1704</v>
      </c>
      <c r="D257" s="10">
        <v>33458</v>
      </c>
      <c r="E257" t="s">
        <v>51</v>
      </c>
      <c r="F257" t="s">
        <v>33</v>
      </c>
      <c r="G257" t="s">
        <v>33</v>
      </c>
      <c r="H257">
        <v>74</v>
      </c>
      <c r="I257">
        <v>185</v>
      </c>
      <c r="J257">
        <v>2018</v>
      </c>
      <c r="K257" s="4" t="str">
        <f>HYPERLINK("http://legacy.baseballprospectus.com/fantasy/dc/index.php?tm=CLE","CLE")</f>
        <v>CLE</v>
      </c>
      <c r="L257" t="s">
        <v>95</v>
      </c>
      <c r="M257" t="s">
        <v>34</v>
      </c>
      <c r="N257">
        <v>26</v>
      </c>
      <c r="O257">
        <v>246</v>
      </c>
      <c r="P257">
        <v>76</v>
      </c>
      <c r="Q257">
        <v>211</v>
      </c>
      <c r="R257">
        <v>28</v>
      </c>
      <c r="S257">
        <v>43</v>
      </c>
      <c r="T257">
        <v>10</v>
      </c>
      <c r="U257">
        <v>1</v>
      </c>
      <c r="V257">
        <v>5</v>
      </c>
      <c r="W257">
        <v>59</v>
      </c>
      <c r="X257">
        <v>86</v>
      </c>
      <c r="Y257">
        <v>27</v>
      </c>
      <c r="Z257">
        <v>32</v>
      </c>
      <c r="AA257">
        <v>1</v>
      </c>
      <c r="AB257">
        <v>1</v>
      </c>
      <c r="AC257">
        <v>47</v>
      </c>
      <c r="AD257">
        <v>1</v>
      </c>
      <c r="AE257">
        <v>1</v>
      </c>
      <c r="AF257">
        <v>6</v>
      </c>
      <c r="AG257">
        <v>1</v>
      </c>
      <c r="AH257">
        <v>1</v>
      </c>
      <c r="AI257" s="5">
        <v>0.28000000000000003</v>
      </c>
      <c r="AJ257" s="5">
        <v>0.376</v>
      </c>
      <c r="AK257" s="5">
        <v>0.40799999999999997</v>
      </c>
      <c r="AL257" s="5">
        <v>0.27600000000000002</v>
      </c>
      <c r="AM257" s="5">
        <v>0.33800000000000002</v>
      </c>
      <c r="AN257">
        <v>-0.3</v>
      </c>
      <c r="AO257">
        <v>-1.3</v>
      </c>
      <c r="AP257">
        <v>6.6</v>
      </c>
      <c r="AQ257">
        <v>4.09</v>
      </c>
      <c r="AR257">
        <v>-1.7</v>
      </c>
      <c r="AS257" t="s">
        <v>1024</v>
      </c>
      <c r="AT257">
        <v>0.7</v>
      </c>
      <c r="AU257">
        <v>9.1</v>
      </c>
      <c r="AV257">
        <v>3</v>
      </c>
      <c r="AW257">
        <v>30</v>
      </c>
      <c r="AX257">
        <v>18</v>
      </c>
      <c r="AY257">
        <v>24</v>
      </c>
      <c r="AZ257" t="s">
        <v>3853</v>
      </c>
      <c r="BA257">
        <v>59</v>
      </c>
      <c r="BB257" t="s">
        <v>35</v>
      </c>
      <c r="BC257" t="s">
        <v>36</v>
      </c>
      <c r="BD257" s="4">
        <f>HYPERLINK("http://mlb.mlb.com/team/player.jsp?player_id=650490",650490)</f>
        <v>650490</v>
      </c>
      <c r="BE257">
        <v>477</v>
      </c>
      <c r="BF257">
        <v>1477</v>
      </c>
      <c r="BG257">
        <v>179</v>
      </c>
      <c r="BH257">
        <v>156</v>
      </c>
    </row>
    <row r="258" spans="1:60" x14ac:dyDescent="0.3">
      <c r="A258" s="4">
        <f>HYPERLINK("http://legacy.baseballprospectus.com/p/101657",101657)</f>
        <v>101657</v>
      </c>
      <c r="B258" t="s">
        <v>1141</v>
      </c>
      <c r="C258" t="s">
        <v>111</v>
      </c>
      <c r="D258" s="10">
        <v>33659</v>
      </c>
      <c r="E258" t="s">
        <v>57</v>
      </c>
      <c r="F258" t="s">
        <v>33</v>
      </c>
      <c r="G258" t="s">
        <v>33</v>
      </c>
      <c r="H258">
        <v>76</v>
      </c>
      <c r="I258">
        <v>215</v>
      </c>
      <c r="J258">
        <v>2018</v>
      </c>
      <c r="K258" s="4" t="str">
        <f>HYPERLINK("http://legacy.baseballprospectus.com/fantasy/dc/index.php?tm=KCA","KCA")</f>
        <v>KCA</v>
      </c>
      <c r="L258" t="s">
        <v>95</v>
      </c>
      <c r="M258" t="s">
        <v>34</v>
      </c>
      <c r="N258">
        <v>26</v>
      </c>
      <c r="O258">
        <v>500</v>
      </c>
      <c r="P258">
        <v>134</v>
      </c>
      <c r="Q258">
        <v>440</v>
      </c>
      <c r="R258">
        <v>63</v>
      </c>
      <c r="S258">
        <v>64</v>
      </c>
      <c r="T258">
        <v>21</v>
      </c>
      <c r="U258">
        <v>2</v>
      </c>
      <c r="V258">
        <v>21</v>
      </c>
      <c r="W258">
        <v>108</v>
      </c>
      <c r="X258">
        <v>196</v>
      </c>
      <c r="Y258">
        <v>70</v>
      </c>
      <c r="Z258">
        <v>54</v>
      </c>
      <c r="AA258">
        <v>3</v>
      </c>
      <c r="AB258">
        <v>4</v>
      </c>
      <c r="AC258">
        <v>136</v>
      </c>
      <c r="AD258">
        <v>0</v>
      </c>
      <c r="AE258">
        <v>3</v>
      </c>
      <c r="AF258">
        <v>13</v>
      </c>
      <c r="AG258">
        <v>1</v>
      </c>
      <c r="AH258">
        <v>0</v>
      </c>
      <c r="AI258" s="5">
        <v>0.245</v>
      </c>
      <c r="AJ258" s="5">
        <v>0.33100000000000002</v>
      </c>
      <c r="AK258" s="5">
        <v>0.44500000000000001</v>
      </c>
      <c r="AL258" s="5">
        <v>0.26900000000000002</v>
      </c>
      <c r="AM258" s="5">
        <v>0.30399999999999999</v>
      </c>
      <c r="AN258">
        <v>-0.8</v>
      </c>
      <c r="AO258">
        <v>-2.4</v>
      </c>
      <c r="AP258">
        <v>13.42</v>
      </c>
      <c r="AQ258">
        <v>4.54</v>
      </c>
      <c r="AR258">
        <v>-7.7</v>
      </c>
      <c r="AS258" t="s">
        <v>4990</v>
      </c>
      <c r="AT258">
        <v>0.7</v>
      </c>
      <c r="AU258">
        <v>14.8</v>
      </c>
      <c r="AV258">
        <v>4</v>
      </c>
      <c r="AW258">
        <v>49</v>
      </c>
      <c r="AX258">
        <v>6</v>
      </c>
      <c r="AY258">
        <v>12</v>
      </c>
      <c r="AZ258" t="s">
        <v>3757</v>
      </c>
      <c r="BA258">
        <v>89</v>
      </c>
      <c r="BB258" t="s">
        <v>35</v>
      </c>
      <c r="BC258" t="s">
        <v>36</v>
      </c>
      <c r="BD258" s="4">
        <f>HYPERLINK("http://mlb.mlb.com/team/player.jsp?player_id=624585",624585)</f>
        <v>624585</v>
      </c>
      <c r="BE258">
        <v>617</v>
      </c>
      <c r="BF258">
        <v>1617</v>
      </c>
      <c r="BG258">
        <v>110</v>
      </c>
      <c r="BH258">
        <v>97</v>
      </c>
    </row>
    <row r="259" spans="1:60" x14ac:dyDescent="0.3">
      <c r="A259" s="4">
        <f>HYPERLINK("http://legacy.baseballprospectus.com/p/100488",100488)</f>
        <v>100488</v>
      </c>
      <c r="B259" t="s">
        <v>919</v>
      </c>
      <c r="C259" t="s">
        <v>232</v>
      </c>
      <c r="D259" s="10">
        <v>34415</v>
      </c>
      <c r="E259" t="s">
        <v>51</v>
      </c>
      <c r="F259" t="s">
        <v>33</v>
      </c>
      <c r="G259" t="s">
        <v>33</v>
      </c>
      <c r="H259">
        <v>71</v>
      </c>
      <c r="I259">
        <v>200</v>
      </c>
      <c r="J259">
        <v>2018</v>
      </c>
      <c r="K259" s="4" t="str">
        <f>HYPERLINK("http://legacy.baseballprospectus.com/fantasy/dc/index.php?tm=TBA","TBA")</f>
        <v>TBA</v>
      </c>
      <c r="L259" t="s">
        <v>95</v>
      </c>
      <c r="M259" t="s">
        <v>34</v>
      </c>
      <c r="N259">
        <v>24</v>
      </c>
      <c r="O259">
        <v>296</v>
      </c>
      <c r="P259">
        <v>89</v>
      </c>
      <c r="Q259">
        <v>259</v>
      </c>
      <c r="R259">
        <v>31</v>
      </c>
      <c r="S259">
        <v>42</v>
      </c>
      <c r="T259">
        <v>11</v>
      </c>
      <c r="U259">
        <v>2</v>
      </c>
      <c r="V259">
        <v>6</v>
      </c>
      <c r="W259">
        <v>61</v>
      </c>
      <c r="X259">
        <v>94</v>
      </c>
      <c r="Y259">
        <v>29</v>
      </c>
      <c r="Z259">
        <v>29</v>
      </c>
      <c r="AA259">
        <v>1</v>
      </c>
      <c r="AB259">
        <v>6</v>
      </c>
      <c r="AC259">
        <v>71</v>
      </c>
      <c r="AD259">
        <v>1</v>
      </c>
      <c r="AE259">
        <v>2</v>
      </c>
      <c r="AF259">
        <v>7</v>
      </c>
      <c r="AG259">
        <v>1</v>
      </c>
      <c r="AH259">
        <v>1</v>
      </c>
      <c r="AI259" s="5">
        <v>0.23599999999999999</v>
      </c>
      <c r="AJ259" s="5">
        <v>0.32400000000000001</v>
      </c>
      <c r="AK259" s="5">
        <v>0.36299999999999999</v>
      </c>
      <c r="AL259" s="5">
        <v>0.252</v>
      </c>
      <c r="AM259" s="5">
        <v>0.29799999999999999</v>
      </c>
      <c r="AN259">
        <v>-0.4</v>
      </c>
      <c r="AO259">
        <v>0.43</v>
      </c>
      <c r="AP259">
        <v>7.95</v>
      </c>
      <c r="AQ259">
        <v>-2.36</v>
      </c>
      <c r="AR259">
        <v>1</v>
      </c>
      <c r="AS259" t="s">
        <v>1868</v>
      </c>
      <c r="AT259">
        <v>0.7</v>
      </c>
      <c r="AU259">
        <v>5.6</v>
      </c>
      <c r="AV259">
        <v>5</v>
      </c>
      <c r="AW259">
        <v>26</v>
      </c>
      <c r="AX259">
        <v>9</v>
      </c>
      <c r="AY259">
        <v>24</v>
      </c>
      <c r="AZ259" t="s">
        <v>3961</v>
      </c>
      <c r="BA259">
        <v>64</v>
      </c>
      <c r="BB259" t="s">
        <v>35</v>
      </c>
      <c r="BC259" t="s">
        <v>36</v>
      </c>
      <c r="BD259" s="4">
        <f>HYPERLINK("http://mlb.mlb.com/team/player.jsp?player_id=621002",621002)</f>
        <v>621002</v>
      </c>
      <c r="BE259">
        <v>517</v>
      </c>
      <c r="BF259">
        <v>1517</v>
      </c>
      <c r="BG259">
        <v>254</v>
      </c>
      <c r="BH259">
        <v>218</v>
      </c>
    </row>
    <row r="260" spans="1:60" x14ac:dyDescent="0.3">
      <c r="A260" s="4">
        <f>HYPERLINK("http://legacy.baseballprospectus.com/p/111306",111306)</f>
        <v>111306</v>
      </c>
      <c r="B260" t="s">
        <v>2253</v>
      </c>
      <c r="C260" t="s">
        <v>2254</v>
      </c>
      <c r="D260" s="10">
        <v>34520</v>
      </c>
      <c r="E260" t="s">
        <v>1682</v>
      </c>
      <c r="F260" t="s">
        <v>9</v>
      </c>
      <c r="G260" t="s">
        <v>33</v>
      </c>
      <c r="H260">
        <v>76</v>
      </c>
      <c r="I260">
        <v>205</v>
      </c>
      <c r="J260">
        <v>2018</v>
      </c>
      <c r="K260" s="4" t="str">
        <f>HYPERLINK("http://legacy.baseballprospectus.com/fantasy/dc/index.php?tm=ANA","ANA")</f>
        <v>ANA</v>
      </c>
      <c r="L260" t="s">
        <v>95</v>
      </c>
      <c r="M260" t="s">
        <v>34</v>
      </c>
      <c r="N260">
        <v>23</v>
      </c>
      <c r="O260">
        <v>208</v>
      </c>
      <c r="P260">
        <v>64</v>
      </c>
      <c r="Q260">
        <v>189</v>
      </c>
      <c r="R260">
        <v>26</v>
      </c>
      <c r="S260">
        <v>32</v>
      </c>
      <c r="T260">
        <v>10</v>
      </c>
      <c r="U260">
        <v>1</v>
      </c>
      <c r="V260">
        <v>8</v>
      </c>
      <c r="W260">
        <v>51</v>
      </c>
      <c r="X260">
        <v>87</v>
      </c>
      <c r="Y260">
        <v>28</v>
      </c>
      <c r="Z260">
        <v>16</v>
      </c>
      <c r="AA260">
        <v>1</v>
      </c>
      <c r="AB260">
        <v>2</v>
      </c>
      <c r="AC260">
        <v>41</v>
      </c>
      <c r="AD260">
        <v>0</v>
      </c>
      <c r="AE260">
        <v>1</v>
      </c>
      <c r="AF260">
        <v>5</v>
      </c>
      <c r="AG260">
        <v>3</v>
      </c>
      <c r="AH260">
        <v>1</v>
      </c>
      <c r="AI260" s="5">
        <v>0.27</v>
      </c>
      <c r="AJ260" s="5">
        <v>0.33200000000000002</v>
      </c>
      <c r="AK260" s="5">
        <v>0.46</v>
      </c>
      <c r="AL260" s="5">
        <v>0.27600000000000002</v>
      </c>
      <c r="AM260" s="5">
        <v>0.30399999999999999</v>
      </c>
      <c r="AN260">
        <v>0</v>
      </c>
      <c r="AO260">
        <v>-2.0299999999999998</v>
      </c>
      <c r="AP260">
        <v>5.58</v>
      </c>
      <c r="AQ260">
        <v>3.57</v>
      </c>
      <c r="AR260">
        <v>0</v>
      </c>
      <c r="AT260">
        <v>0.7</v>
      </c>
      <c r="AU260">
        <v>7.1</v>
      </c>
      <c r="AV260">
        <v>3</v>
      </c>
      <c r="AW260">
        <v>64</v>
      </c>
      <c r="AX260">
        <v>2</v>
      </c>
      <c r="AY260">
        <v>8</v>
      </c>
      <c r="AZ260" t="s">
        <v>3937</v>
      </c>
      <c r="BA260">
        <v>93</v>
      </c>
      <c r="BB260" t="s">
        <v>35</v>
      </c>
      <c r="BC260" t="s">
        <v>35</v>
      </c>
      <c r="BD260" s="4">
        <f>HYPERLINK("http://mlb.mlb.com/team/player.jsp?player_id=660271",660271)</f>
        <v>660271</v>
      </c>
      <c r="BE260">
        <v>157</v>
      </c>
      <c r="BF260">
        <v>1157</v>
      </c>
      <c r="BG260">
        <v>0</v>
      </c>
      <c r="BH260">
        <v>0</v>
      </c>
    </row>
    <row r="261" spans="1:60" x14ac:dyDescent="0.3">
      <c r="A261" s="4">
        <f>HYPERLINK("http://legacy.baseballprospectus.com/p/1113",1113)</f>
        <v>1113</v>
      </c>
      <c r="B261" t="s">
        <v>574</v>
      </c>
      <c r="C261" t="s">
        <v>113</v>
      </c>
      <c r="D261" s="10">
        <v>29765</v>
      </c>
      <c r="E261" t="s">
        <v>58</v>
      </c>
      <c r="F261" t="s">
        <v>33</v>
      </c>
      <c r="G261" t="s">
        <v>33</v>
      </c>
      <c r="H261">
        <v>72</v>
      </c>
      <c r="I261">
        <v>211</v>
      </c>
      <c r="J261">
        <v>2018</v>
      </c>
      <c r="K261" s="4" t="str">
        <f>HYPERLINK("http://legacy.baseballprospectus.com/fantasy/dc/index.php?tm=ANA","ANA")</f>
        <v>ANA</v>
      </c>
      <c r="L261" t="s">
        <v>95</v>
      </c>
      <c r="M261" t="s">
        <v>34</v>
      </c>
      <c r="N261">
        <v>37</v>
      </c>
      <c r="O261">
        <v>563</v>
      </c>
      <c r="P261" t="s">
        <v>1680</v>
      </c>
      <c r="Q261">
        <v>527</v>
      </c>
      <c r="R261">
        <v>59</v>
      </c>
      <c r="S261">
        <v>102</v>
      </c>
      <c r="T261">
        <v>24</v>
      </c>
      <c r="U261">
        <v>1</v>
      </c>
      <c r="V261">
        <v>13</v>
      </c>
      <c r="W261">
        <v>140</v>
      </c>
      <c r="X261">
        <v>205</v>
      </c>
      <c r="Y261">
        <v>60</v>
      </c>
      <c r="Z261">
        <v>23</v>
      </c>
      <c r="AA261">
        <v>2</v>
      </c>
      <c r="AB261">
        <v>7</v>
      </c>
      <c r="AC261">
        <v>77</v>
      </c>
      <c r="AD261">
        <v>2</v>
      </c>
      <c r="AE261">
        <v>4</v>
      </c>
      <c r="AF261">
        <v>19</v>
      </c>
      <c r="AG261">
        <v>12</v>
      </c>
      <c r="AH261">
        <v>6</v>
      </c>
      <c r="AI261" s="5">
        <v>0.26400000000000001</v>
      </c>
      <c r="AJ261" s="5">
        <v>0.30199999999999999</v>
      </c>
      <c r="AK261" s="5">
        <v>0.38500000000000001</v>
      </c>
      <c r="AL261" s="5">
        <v>0.23599999999999999</v>
      </c>
      <c r="AM261" s="5">
        <v>0.28599999999999998</v>
      </c>
      <c r="AN261">
        <v>0.4</v>
      </c>
      <c r="AO261">
        <v>7.03</v>
      </c>
      <c r="AP261">
        <v>15.76</v>
      </c>
      <c r="AQ261">
        <v>-14.49</v>
      </c>
      <c r="AR261">
        <v>-1.9</v>
      </c>
      <c r="AS261" t="s">
        <v>1874</v>
      </c>
      <c r="AT261">
        <v>0.7</v>
      </c>
      <c r="AU261">
        <v>8.6999999999999993</v>
      </c>
      <c r="AV261">
        <v>1</v>
      </c>
      <c r="AW261">
        <v>21</v>
      </c>
      <c r="AX261">
        <v>10</v>
      </c>
      <c r="AY261">
        <v>17</v>
      </c>
      <c r="AZ261" t="s">
        <v>3859</v>
      </c>
      <c r="BA261">
        <v>59</v>
      </c>
      <c r="BB261" t="s">
        <v>36</v>
      </c>
      <c r="BC261" t="s">
        <v>36</v>
      </c>
      <c r="BD261" s="4">
        <f>HYPERLINK("http://mlb.mlb.com/team/player.jsp?player_id=408252",408252)</f>
        <v>408252</v>
      </c>
      <c r="BE261">
        <v>0</v>
      </c>
      <c r="BF261">
        <v>0</v>
      </c>
      <c r="BG261">
        <v>604</v>
      </c>
      <c r="BH261">
        <v>572</v>
      </c>
    </row>
    <row r="262" spans="1:60" x14ac:dyDescent="0.3">
      <c r="A262" s="4">
        <f>HYPERLINK("http://legacy.baseballprospectus.com/p/50228",50228)</f>
        <v>50228</v>
      </c>
      <c r="B262" t="s">
        <v>418</v>
      </c>
      <c r="C262" t="s">
        <v>234</v>
      </c>
      <c r="D262" s="10">
        <v>31030</v>
      </c>
      <c r="E262" t="s">
        <v>59</v>
      </c>
      <c r="F262" t="s">
        <v>33</v>
      </c>
      <c r="G262" t="s">
        <v>33</v>
      </c>
      <c r="H262">
        <v>73</v>
      </c>
      <c r="I262">
        <v>220</v>
      </c>
      <c r="J262">
        <v>2018</v>
      </c>
      <c r="K262" s="4" t="str">
        <f>HYPERLINK("http://legacy.baseballprospectus.com/fantasy/dc/index.php?tm=WAS","WAS")</f>
        <v>WAS</v>
      </c>
      <c r="L262" t="s">
        <v>100</v>
      </c>
      <c r="M262" t="s">
        <v>34</v>
      </c>
      <c r="N262">
        <v>33</v>
      </c>
      <c r="O262">
        <v>250</v>
      </c>
      <c r="P262" t="s">
        <v>1680</v>
      </c>
      <c r="Q262">
        <v>222</v>
      </c>
      <c r="R262">
        <v>29</v>
      </c>
      <c r="S262">
        <v>30</v>
      </c>
      <c r="T262">
        <v>9</v>
      </c>
      <c r="U262">
        <v>1</v>
      </c>
      <c r="V262">
        <v>10</v>
      </c>
      <c r="W262">
        <v>50</v>
      </c>
      <c r="X262">
        <v>91</v>
      </c>
      <c r="Y262">
        <v>33</v>
      </c>
      <c r="Z262">
        <v>22</v>
      </c>
      <c r="AA262">
        <v>1</v>
      </c>
      <c r="AB262">
        <v>3</v>
      </c>
      <c r="AC262">
        <v>62</v>
      </c>
      <c r="AD262">
        <v>2</v>
      </c>
      <c r="AE262">
        <v>1</v>
      </c>
      <c r="AF262">
        <v>5</v>
      </c>
      <c r="AG262">
        <v>2</v>
      </c>
      <c r="AH262">
        <v>1</v>
      </c>
      <c r="AI262" s="5">
        <v>0.22600000000000001</v>
      </c>
      <c r="AJ262" s="5">
        <v>0.30199999999999999</v>
      </c>
      <c r="AK262" s="5">
        <v>0.41099999999999998</v>
      </c>
      <c r="AL262" s="5">
        <v>0.23400000000000001</v>
      </c>
      <c r="AM262" s="5">
        <v>0.26300000000000001</v>
      </c>
      <c r="AN262">
        <v>-0.2</v>
      </c>
      <c r="AO262">
        <v>0.94</v>
      </c>
      <c r="AP262">
        <v>7</v>
      </c>
      <c r="AQ262">
        <v>-6.86</v>
      </c>
      <c r="AR262">
        <v>5.7</v>
      </c>
      <c r="AS262" t="s">
        <v>4893</v>
      </c>
      <c r="AT262">
        <v>0.7</v>
      </c>
      <c r="AU262">
        <v>0.9</v>
      </c>
      <c r="AV262">
        <v>0</v>
      </c>
      <c r="AW262">
        <v>28</v>
      </c>
      <c r="AX262">
        <v>7</v>
      </c>
      <c r="AY262">
        <v>13</v>
      </c>
      <c r="AZ262" t="s">
        <v>3805</v>
      </c>
      <c r="BA262">
        <v>65</v>
      </c>
      <c r="BB262" t="s">
        <v>36</v>
      </c>
      <c r="BC262" t="s">
        <v>36</v>
      </c>
      <c r="BD262" s="4">
        <f>HYPERLINK("http://mlb.mlb.com/team/player.jsp?player_id=502317",502317)</f>
        <v>502317</v>
      </c>
      <c r="BE262">
        <v>0</v>
      </c>
      <c r="BF262">
        <v>0</v>
      </c>
      <c r="BG262">
        <v>79</v>
      </c>
      <c r="BH262">
        <v>74</v>
      </c>
    </row>
    <row r="263" spans="1:60" x14ac:dyDescent="0.3">
      <c r="A263" s="4">
        <f>HYPERLINK("http://legacy.baseballprospectus.com/p/58869",58869)</f>
        <v>58869</v>
      </c>
      <c r="B263" t="s">
        <v>919</v>
      </c>
      <c r="C263" t="s">
        <v>232</v>
      </c>
      <c r="D263" s="10">
        <v>31320</v>
      </c>
      <c r="E263" t="s">
        <v>59</v>
      </c>
      <c r="F263" t="s">
        <v>33</v>
      </c>
      <c r="G263" t="s">
        <v>33</v>
      </c>
      <c r="H263">
        <v>68</v>
      </c>
      <c r="I263">
        <v>205</v>
      </c>
      <c r="J263">
        <v>2018</v>
      </c>
      <c r="K263" s="4" t="str">
        <f>HYPERLINK("http://legacy.baseballprospectus.com/fantasy/dc/index.php?tm=CLE","CLE")</f>
        <v>CLE</v>
      </c>
      <c r="L263" t="s">
        <v>95</v>
      </c>
      <c r="M263" t="s">
        <v>34</v>
      </c>
      <c r="N263">
        <v>32</v>
      </c>
      <c r="O263">
        <v>250</v>
      </c>
      <c r="P263" t="s">
        <v>1680</v>
      </c>
      <c r="Q263">
        <v>224</v>
      </c>
      <c r="R263">
        <v>30</v>
      </c>
      <c r="S263">
        <v>42</v>
      </c>
      <c r="T263">
        <v>11</v>
      </c>
      <c r="U263">
        <v>1</v>
      </c>
      <c r="V263">
        <v>4</v>
      </c>
      <c r="W263">
        <v>58</v>
      </c>
      <c r="X263">
        <v>83</v>
      </c>
      <c r="Y263">
        <v>22</v>
      </c>
      <c r="Z263">
        <v>21</v>
      </c>
      <c r="AA263">
        <v>1</v>
      </c>
      <c r="AB263">
        <v>1</v>
      </c>
      <c r="AC263">
        <v>38</v>
      </c>
      <c r="AD263">
        <v>2</v>
      </c>
      <c r="AE263">
        <v>1</v>
      </c>
      <c r="AF263">
        <v>7</v>
      </c>
      <c r="AG263">
        <v>5</v>
      </c>
      <c r="AH263">
        <v>3</v>
      </c>
      <c r="AI263" s="5">
        <v>0.26</v>
      </c>
      <c r="AJ263" s="5">
        <v>0.32600000000000001</v>
      </c>
      <c r="AK263" s="5">
        <v>0.374</v>
      </c>
      <c r="AL263" s="5">
        <v>0.23499999999999999</v>
      </c>
      <c r="AM263" s="5">
        <v>0.29299999999999998</v>
      </c>
      <c r="AN263">
        <v>-0.2</v>
      </c>
      <c r="AO263">
        <v>1.26</v>
      </c>
      <c r="AP263">
        <v>7</v>
      </c>
      <c r="AQ263">
        <v>-6.53</v>
      </c>
      <c r="AR263">
        <v>4.5999999999999996</v>
      </c>
      <c r="AS263" t="s">
        <v>3706</v>
      </c>
      <c r="AT263">
        <v>0.7</v>
      </c>
      <c r="AU263">
        <v>1.5</v>
      </c>
      <c r="AV263">
        <v>3</v>
      </c>
      <c r="AW263">
        <v>14</v>
      </c>
      <c r="AX263">
        <v>10</v>
      </c>
      <c r="AY263">
        <v>39</v>
      </c>
      <c r="AZ263" t="s">
        <v>3865</v>
      </c>
      <c r="BA263">
        <v>59</v>
      </c>
      <c r="BB263" t="s">
        <v>36</v>
      </c>
      <c r="BC263" t="s">
        <v>36</v>
      </c>
      <c r="BD263" s="4">
        <f>HYPERLINK("http://mlb.mlb.com/team/player.jsp?player_id=543706",543706)</f>
        <v>543706</v>
      </c>
      <c r="BE263">
        <v>0</v>
      </c>
      <c r="BF263">
        <v>0</v>
      </c>
      <c r="BG263">
        <v>88</v>
      </c>
      <c r="BH263">
        <v>80</v>
      </c>
    </row>
    <row r="264" spans="1:60" x14ac:dyDescent="0.3">
      <c r="A264" s="4">
        <f>HYPERLINK("http://legacy.baseballprospectus.com/p/59705",59705)</f>
        <v>59705</v>
      </c>
      <c r="B264" t="s">
        <v>1878</v>
      </c>
      <c r="C264" t="s">
        <v>354</v>
      </c>
      <c r="D264" s="10">
        <v>33373</v>
      </c>
      <c r="E264" t="s">
        <v>65</v>
      </c>
      <c r="F264" t="s">
        <v>9</v>
      </c>
      <c r="G264" t="s">
        <v>33</v>
      </c>
      <c r="H264">
        <v>71</v>
      </c>
      <c r="I264">
        <v>160</v>
      </c>
      <c r="J264">
        <v>2018</v>
      </c>
      <c r="K264" s="4" t="str">
        <f>HYPERLINK("http://legacy.baseballprospectus.com/fantasy/dc/index.php?tm=MIA","MIA")</f>
        <v>MIA</v>
      </c>
      <c r="L264" t="s">
        <v>100</v>
      </c>
      <c r="M264" t="s">
        <v>34</v>
      </c>
      <c r="N264">
        <v>27</v>
      </c>
      <c r="O264">
        <v>250</v>
      </c>
      <c r="P264" t="s">
        <v>1680</v>
      </c>
      <c r="Q264">
        <v>224</v>
      </c>
      <c r="R264">
        <v>32</v>
      </c>
      <c r="S264">
        <v>42</v>
      </c>
      <c r="T264">
        <v>11</v>
      </c>
      <c r="U264">
        <v>2</v>
      </c>
      <c r="V264">
        <v>4</v>
      </c>
      <c r="W264">
        <v>59</v>
      </c>
      <c r="X264">
        <v>86</v>
      </c>
      <c r="Y264">
        <v>22</v>
      </c>
      <c r="Z264">
        <v>21</v>
      </c>
      <c r="AA264">
        <v>1</v>
      </c>
      <c r="AB264">
        <v>1</v>
      </c>
      <c r="AC264">
        <v>41</v>
      </c>
      <c r="AD264">
        <v>2</v>
      </c>
      <c r="AE264">
        <v>1</v>
      </c>
      <c r="AF264">
        <v>6</v>
      </c>
      <c r="AG264">
        <v>9</v>
      </c>
      <c r="AH264">
        <v>3</v>
      </c>
      <c r="AI264" s="5">
        <v>0.26300000000000001</v>
      </c>
      <c r="AJ264" s="5">
        <v>0.32800000000000001</v>
      </c>
      <c r="AK264" s="5">
        <v>0.38800000000000001</v>
      </c>
      <c r="AL264" s="5">
        <v>0.24299999999999999</v>
      </c>
      <c r="AM264" s="5">
        <v>0.29899999999999999</v>
      </c>
      <c r="AN264">
        <v>-0.1</v>
      </c>
      <c r="AO264">
        <v>2.09</v>
      </c>
      <c r="AP264">
        <v>7</v>
      </c>
      <c r="AQ264">
        <v>-4.4400000000000004</v>
      </c>
      <c r="AR264">
        <v>1.5</v>
      </c>
      <c r="AS264" t="s">
        <v>1043</v>
      </c>
      <c r="AT264">
        <v>0.7</v>
      </c>
      <c r="AU264">
        <v>4.5999999999999996</v>
      </c>
      <c r="AV264">
        <v>3</v>
      </c>
      <c r="AW264">
        <v>16</v>
      </c>
      <c r="AX264">
        <v>8</v>
      </c>
      <c r="AY264">
        <v>16</v>
      </c>
      <c r="AZ264" t="s">
        <v>3866</v>
      </c>
      <c r="BA264">
        <v>40</v>
      </c>
      <c r="BB264" t="s">
        <v>36</v>
      </c>
      <c r="BC264" t="s">
        <v>36</v>
      </c>
      <c r="BD264" s="4">
        <f>HYPERLINK("http://mlb.mlb.com/team/player.jsp?player_id=542364",542364)</f>
        <v>542364</v>
      </c>
      <c r="BE264">
        <v>0</v>
      </c>
      <c r="BF264">
        <v>0</v>
      </c>
      <c r="BG264">
        <v>0</v>
      </c>
      <c r="BH264">
        <v>0</v>
      </c>
    </row>
    <row r="265" spans="1:60" x14ac:dyDescent="0.3">
      <c r="A265" s="4">
        <f>HYPERLINK("http://legacy.baseballprospectus.com/p/59769",59769)</f>
        <v>59769</v>
      </c>
      <c r="B265" t="s">
        <v>131</v>
      </c>
      <c r="C265" t="s">
        <v>132</v>
      </c>
      <c r="D265" s="10">
        <v>33367</v>
      </c>
      <c r="E265" t="s">
        <v>57</v>
      </c>
      <c r="F265" t="s">
        <v>9</v>
      </c>
      <c r="G265" t="s">
        <v>33</v>
      </c>
      <c r="H265">
        <v>72</v>
      </c>
      <c r="I265">
        <v>225</v>
      </c>
      <c r="J265">
        <v>2018</v>
      </c>
      <c r="K265" s="4" t="str">
        <f>HYPERLINK("http://legacy.baseballprospectus.com/fantasy/dc/index.php?tm=ARI","ARI")</f>
        <v>ARI</v>
      </c>
      <c r="L265" t="s">
        <v>100</v>
      </c>
      <c r="M265" t="s">
        <v>34</v>
      </c>
      <c r="N265">
        <v>27</v>
      </c>
      <c r="O265">
        <v>250</v>
      </c>
      <c r="P265" t="s">
        <v>1680</v>
      </c>
      <c r="Q265">
        <v>224</v>
      </c>
      <c r="R265">
        <v>30</v>
      </c>
      <c r="S265">
        <v>29</v>
      </c>
      <c r="T265">
        <v>11</v>
      </c>
      <c r="U265">
        <v>1</v>
      </c>
      <c r="V265">
        <v>12</v>
      </c>
      <c r="W265">
        <v>53</v>
      </c>
      <c r="X265">
        <v>102</v>
      </c>
      <c r="Y265">
        <v>36</v>
      </c>
      <c r="Z265">
        <v>21</v>
      </c>
      <c r="AA265">
        <v>2</v>
      </c>
      <c r="AB265">
        <v>4</v>
      </c>
      <c r="AC265">
        <v>78</v>
      </c>
      <c r="AD265">
        <v>0</v>
      </c>
      <c r="AE265">
        <v>1</v>
      </c>
      <c r="AF265">
        <v>5</v>
      </c>
      <c r="AG265">
        <v>0</v>
      </c>
      <c r="AH265">
        <v>0</v>
      </c>
      <c r="AI265" s="5">
        <v>0.23799999999999999</v>
      </c>
      <c r="AJ265" s="5">
        <v>0.311</v>
      </c>
      <c r="AK265" s="5">
        <v>0.45600000000000002</v>
      </c>
      <c r="AL265" s="5">
        <v>0.25800000000000001</v>
      </c>
      <c r="AM265" s="5">
        <v>0.30499999999999999</v>
      </c>
      <c r="AN265">
        <v>-0.3</v>
      </c>
      <c r="AO265">
        <v>7.0000000000000007E-2</v>
      </c>
      <c r="AP265">
        <v>7</v>
      </c>
      <c r="AQ265">
        <v>-0.56999999999999995</v>
      </c>
      <c r="AR265">
        <v>0.5</v>
      </c>
      <c r="AS265" t="s">
        <v>1229</v>
      </c>
      <c r="AT265">
        <v>0.7</v>
      </c>
      <c r="AU265">
        <v>6.2</v>
      </c>
      <c r="AV265">
        <v>6</v>
      </c>
      <c r="AW265">
        <v>35</v>
      </c>
      <c r="AX265">
        <v>9</v>
      </c>
      <c r="AY265">
        <v>20</v>
      </c>
      <c r="AZ265" t="s">
        <v>3867</v>
      </c>
      <c r="BA265">
        <v>80</v>
      </c>
      <c r="BB265" t="s">
        <v>36</v>
      </c>
      <c r="BC265" t="s">
        <v>36</v>
      </c>
      <c r="BD265" s="4">
        <f>HYPERLINK("http://mlb.mlb.com/team/player.jsp?player_id=542455",542455)</f>
        <v>542455</v>
      </c>
      <c r="BE265">
        <v>0</v>
      </c>
      <c r="BF265">
        <v>0</v>
      </c>
      <c r="BG265">
        <v>0</v>
      </c>
      <c r="BH265">
        <v>0</v>
      </c>
    </row>
    <row r="266" spans="1:60" x14ac:dyDescent="0.3">
      <c r="A266" s="4">
        <f>HYPERLINK("http://legacy.baseballprospectus.com/p/60293",60293)</f>
        <v>60293</v>
      </c>
      <c r="B266" t="s">
        <v>969</v>
      </c>
      <c r="C266" t="s">
        <v>1253</v>
      </c>
      <c r="D266" s="10">
        <v>33086</v>
      </c>
      <c r="E266" t="s">
        <v>50</v>
      </c>
      <c r="F266" t="s">
        <v>37</v>
      </c>
      <c r="G266" t="s">
        <v>33</v>
      </c>
      <c r="H266">
        <v>77</v>
      </c>
      <c r="I266">
        <v>290</v>
      </c>
      <c r="J266">
        <v>2018</v>
      </c>
      <c r="K266" s="4" t="str">
        <f>HYPERLINK("http://legacy.baseballprospectus.com/fantasy/dc/index.php?tm=MIN","MIN")</f>
        <v>MIN</v>
      </c>
      <c r="L266" t="s">
        <v>95</v>
      </c>
      <c r="M266" t="s">
        <v>34</v>
      </c>
      <c r="N266">
        <v>27</v>
      </c>
      <c r="O266">
        <v>307</v>
      </c>
      <c r="P266" t="s">
        <v>1680</v>
      </c>
      <c r="Q266">
        <v>268</v>
      </c>
      <c r="R266">
        <v>39</v>
      </c>
      <c r="S266">
        <v>39</v>
      </c>
      <c r="T266">
        <v>12</v>
      </c>
      <c r="U266">
        <v>1</v>
      </c>
      <c r="V266">
        <v>14</v>
      </c>
      <c r="W266">
        <v>66</v>
      </c>
      <c r="X266">
        <v>122</v>
      </c>
      <c r="Y266">
        <v>45</v>
      </c>
      <c r="Z266">
        <v>36</v>
      </c>
      <c r="AA266">
        <v>2</v>
      </c>
      <c r="AB266">
        <v>2</v>
      </c>
      <c r="AC266">
        <v>83</v>
      </c>
      <c r="AD266">
        <v>0</v>
      </c>
      <c r="AE266">
        <v>1</v>
      </c>
      <c r="AF266">
        <v>7</v>
      </c>
      <c r="AG266">
        <v>0</v>
      </c>
      <c r="AH266">
        <v>0</v>
      </c>
      <c r="AI266" s="5">
        <v>0.249</v>
      </c>
      <c r="AJ266" s="5">
        <v>0.34</v>
      </c>
      <c r="AK266" s="5">
        <v>0.45700000000000002</v>
      </c>
      <c r="AL266" s="5">
        <v>0.26400000000000001</v>
      </c>
      <c r="AM266" s="5">
        <v>0.30499999999999999</v>
      </c>
      <c r="AN266">
        <v>-0.5</v>
      </c>
      <c r="AO266">
        <v>-2.34</v>
      </c>
      <c r="AP266">
        <v>8.6</v>
      </c>
      <c r="AQ266">
        <v>1.2</v>
      </c>
      <c r="AR266">
        <v>-0.4</v>
      </c>
      <c r="AS266" t="s">
        <v>1004</v>
      </c>
      <c r="AT266">
        <v>0.7</v>
      </c>
      <c r="AU266">
        <v>6.9</v>
      </c>
      <c r="AV266">
        <v>5</v>
      </c>
      <c r="AW266">
        <v>33</v>
      </c>
      <c r="AX266">
        <v>15</v>
      </c>
      <c r="AY266">
        <v>25</v>
      </c>
      <c r="AZ266" t="s">
        <v>3952</v>
      </c>
      <c r="BA266">
        <v>67</v>
      </c>
      <c r="BB266" t="s">
        <v>36</v>
      </c>
      <c r="BC266" t="s">
        <v>36</v>
      </c>
      <c r="BD266" s="4">
        <f>HYPERLINK("http://mlb.mlb.com/team/player.jsp?player_id=573627",573627)</f>
        <v>573627</v>
      </c>
      <c r="BE266">
        <v>416</v>
      </c>
      <c r="BF266">
        <v>1416</v>
      </c>
      <c r="BG266">
        <v>264</v>
      </c>
      <c r="BH266">
        <v>241</v>
      </c>
    </row>
    <row r="267" spans="1:60" x14ac:dyDescent="0.3">
      <c r="A267" s="4">
        <f>HYPERLINK("http://legacy.baseballprospectus.com/p/69960",69960)</f>
        <v>69960</v>
      </c>
      <c r="B267" t="s">
        <v>3870</v>
      </c>
      <c r="C267" t="s">
        <v>207</v>
      </c>
      <c r="D267" s="10">
        <v>32528</v>
      </c>
      <c r="E267" t="s">
        <v>57</v>
      </c>
      <c r="F267" t="s">
        <v>33</v>
      </c>
      <c r="G267" t="s">
        <v>33</v>
      </c>
      <c r="H267">
        <v>74</v>
      </c>
      <c r="I267">
        <v>224</v>
      </c>
      <c r="J267">
        <v>2018</v>
      </c>
      <c r="K267" s="4" t="str">
        <f>HYPERLINK("http://legacy.baseballprospectus.com/fantasy/dc/index.php?tm=LAN","LAN")</f>
        <v>LAN</v>
      </c>
      <c r="L267" t="s">
        <v>100</v>
      </c>
      <c r="M267" t="s">
        <v>34</v>
      </c>
      <c r="N267">
        <v>29</v>
      </c>
      <c r="O267">
        <v>250</v>
      </c>
      <c r="P267" t="s">
        <v>1680</v>
      </c>
      <c r="Q267">
        <v>212</v>
      </c>
      <c r="R267">
        <v>30</v>
      </c>
      <c r="S267">
        <v>24</v>
      </c>
      <c r="T267">
        <v>11</v>
      </c>
      <c r="U267">
        <v>1</v>
      </c>
      <c r="V267">
        <v>11</v>
      </c>
      <c r="W267">
        <v>47</v>
      </c>
      <c r="X267">
        <v>93</v>
      </c>
      <c r="Y267">
        <v>34</v>
      </c>
      <c r="Z267">
        <v>31</v>
      </c>
      <c r="AA267">
        <v>1</v>
      </c>
      <c r="AB267">
        <v>5</v>
      </c>
      <c r="AC267">
        <v>88</v>
      </c>
      <c r="AD267">
        <v>0</v>
      </c>
      <c r="AE267">
        <v>1</v>
      </c>
      <c r="AF267">
        <v>5</v>
      </c>
      <c r="AG267">
        <v>0</v>
      </c>
      <c r="AH267">
        <v>0</v>
      </c>
      <c r="AI267" s="5">
        <v>0.217</v>
      </c>
      <c r="AJ267" s="5">
        <v>0.32900000000000001</v>
      </c>
      <c r="AK267" s="5">
        <v>0.42299999999999999</v>
      </c>
      <c r="AL267" s="5">
        <v>0.25800000000000001</v>
      </c>
      <c r="AM267" s="5">
        <v>0.308</v>
      </c>
      <c r="AN267">
        <v>-0.4</v>
      </c>
      <c r="AO267">
        <v>0.09</v>
      </c>
      <c r="AP267">
        <v>7</v>
      </c>
      <c r="AQ267">
        <v>-0.63</v>
      </c>
      <c r="AR267">
        <v>0.5</v>
      </c>
      <c r="AS267" t="s">
        <v>4894</v>
      </c>
      <c r="AT267">
        <v>0.7</v>
      </c>
      <c r="AU267">
        <v>6</v>
      </c>
      <c r="AV267">
        <v>7</v>
      </c>
      <c r="AW267">
        <v>20</v>
      </c>
      <c r="AX267">
        <v>7</v>
      </c>
      <c r="AY267">
        <v>19</v>
      </c>
      <c r="AZ267" t="s">
        <v>3871</v>
      </c>
      <c r="BA267">
        <v>42</v>
      </c>
      <c r="BB267" t="s">
        <v>36</v>
      </c>
      <c r="BC267" t="s">
        <v>35</v>
      </c>
      <c r="BD267" s="4">
        <f>HYPERLINK("http://mlb.mlb.com/team/player.jsp?player_id=607369",607369)</f>
        <v>607369</v>
      </c>
      <c r="BE267">
        <v>0</v>
      </c>
      <c r="BF267">
        <v>0</v>
      </c>
      <c r="BG267">
        <v>59</v>
      </c>
      <c r="BH267">
        <v>52</v>
      </c>
    </row>
    <row r="268" spans="1:60" x14ac:dyDescent="0.3">
      <c r="A268" s="4">
        <f>HYPERLINK("http://legacy.baseballprospectus.com/p/70390",70390)</f>
        <v>70390</v>
      </c>
      <c r="B268" t="s">
        <v>1409</v>
      </c>
      <c r="C268" t="s">
        <v>344</v>
      </c>
      <c r="D268" s="10">
        <v>33942</v>
      </c>
      <c r="E268" t="s">
        <v>65</v>
      </c>
      <c r="F268" t="s">
        <v>9</v>
      </c>
      <c r="G268" t="s">
        <v>9</v>
      </c>
      <c r="H268">
        <v>72</v>
      </c>
      <c r="I268">
        <v>200</v>
      </c>
      <c r="J268">
        <v>2018</v>
      </c>
      <c r="K268" s="4" t="str">
        <f>HYPERLINK("http://legacy.baseballprospectus.com/fantasy/dc/index.php?tm=MIN","MIN")</f>
        <v>MIN</v>
      </c>
      <c r="L268" t="s">
        <v>95</v>
      </c>
      <c r="M268" t="s">
        <v>34</v>
      </c>
      <c r="N268">
        <v>25</v>
      </c>
      <c r="O268">
        <v>250</v>
      </c>
      <c r="P268" t="s">
        <v>1680</v>
      </c>
      <c r="Q268">
        <v>227</v>
      </c>
      <c r="R268">
        <v>32</v>
      </c>
      <c r="S268">
        <v>35</v>
      </c>
      <c r="T268">
        <v>11</v>
      </c>
      <c r="U268">
        <v>2</v>
      </c>
      <c r="V268">
        <v>9</v>
      </c>
      <c r="W268">
        <v>57</v>
      </c>
      <c r="X268">
        <v>99</v>
      </c>
      <c r="Y268">
        <v>29</v>
      </c>
      <c r="Z268">
        <v>18</v>
      </c>
      <c r="AA268">
        <v>1</v>
      </c>
      <c r="AB268">
        <v>2</v>
      </c>
      <c r="AC268">
        <v>68</v>
      </c>
      <c r="AD268">
        <v>1</v>
      </c>
      <c r="AE268">
        <v>1</v>
      </c>
      <c r="AF268">
        <v>6</v>
      </c>
      <c r="AG268">
        <v>2</v>
      </c>
      <c r="AH268">
        <v>1</v>
      </c>
      <c r="AI268" s="5">
        <v>0.252</v>
      </c>
      <c r="AJ268" s="5">
        <v>0.312</v>
      </c>
      <c r="AK268" s="5">
        <v>0.432</v>
      </c>
      <c r="AL268" s="5">
        <v>0.249</v>
      </c>
      <c r="AM268" s="5">
        <v>0.318</v>
      </c>
      <c r="AN268">
        <v>-0.2</v>
      </c>
      <c r="AO268">
        <v>1.58</v>
      </c>
      <c r="AP268">
        <v>7</v>
      </c>
      <c r="AQ268">
        <v>-2.81</v>
      </c>
      <c r="AR268">
        <v>0.5</v>
      </c>
      <c r="AS268" t="s">
        <v>1699</v>
      </c>
      <c r="AT268">
        <v>0.7</v>
      </c>
      <c r="AU268">
        <v>5.6</v>
      </c>
      <c r="AV268">
        <v>8</v>
      </c>
      <c r="AW268">
        <v>29</v>
      </c>
      <c r="AX268">
        <v>11</v>
      </c>
      <c r="AY268">
        <v>32</v>
      </c>
      <c r="AZ268" t="s">
        <v>3873</v>
      </c>
      <c r="BA268">
        <v>49</v>
      </c>
      <c r="BB268" t="s">
        <v>36</v>
      </c>
      <c r="BC268" t="s">
        <v>35</v>
      </c>
      <c r="BD268" s="4">
        <f>HYPERLINK("http://mlb.mlb.com/team/player.jsp?player_id=595909",595909)</f>
        <v>595909</v>
      </c>
      <c r="BE268">
        <v>664</v>
      </c>
      <c r="BF268">
        <v>1664</v>
      </c>
      <c r="BG268">
        <v>0</v>
      </c>
      <c r="BH268">
        <v>0</v>
      </c>
    </row>
    <row r="269" spans="1:60" x14ac:dyDescent="0.3">
      <c r="A269" s="4">
        <f>HYPERLINK("http://legacy.baseballprospectus.com/p/70516",70516)</f>
        <v>70516</v>
      </c>
      <c r="B269" t="s">
        <v>3874</v>
      </c>
      <c r="C269" t="s">
        <v>247</v>
      </c>
      <c r="D269" s="10">
        <v>33956</v>
      </c>
      <c r="E269" t="s">
        <v>54</v>
      </c>
      <c r="F269" t="s">
        <v>33</v>
      </c>
      <c r="G269" t="s">
        <v>33</v>
      </c>
      <c r="H269">
        <v>70</v>
      </c>
      <c r="I269">
        <v>180</v>
      </c>
      <c r="J269">
        <v>2018</v>
      </c>
      <c r="K269" s="4" t="str">
        <f>HYPERLINK("http://legacy.baseballprospectus.com/fantasy/dc/index.php?tm=CLE","CLE")</f>
        <v>CLE</v>
      </c>
      <c r="L269" t="s">
        <v>95</v>
      </c>
      <c r="M269" t="s">
        <v>34</v>
      </c>
      <c r="N269">
        <v>25</v>
      </c>
      <c r="O269">
        <v>250</v>
      </c>
      <c r="P269" t="s">
        <v>1680</v>
      </c>
      <c r="Q269">
        <v>223</v>
      </c>
      <c r="R269">
        <v>30</v>
      </c>
      <c r="S269">
        <v>23</v>
      </c>
      <c r="T269">
        <v>11</v>
      </c>
      <c r="U269">
        <v>1</v>
      </c>
      <c r="V269">
        <v>13</v>
      </c>
      <c r="W269">
        <v>48</v>
      </c>
      <c r="X269">
        <v>100</v>
      </c>
      <c r="Y269">
        <v>37</v>
      </c>
      <c r="Z269">
        <v>22</v>
      </c>
      <c r="AA269">
        <v>1</v>
      </c>
      <c r="AB269">
        <v>3</v>
      </c>
      <c r="AC269">
        <v>90</v>
      </c>
      <c r="AD269">
        <v>1</v>
      </c>
      <c r="AE269">
        <v>1</v>
      </c>
      <c r="AF269">
        <v>6</v>
      </c>
      <c r="AG269">
        <v>1</v>
      </c>
      <c r="AH269">
        <v>0</v>
      </c>
      <c r="AI269" s="5">
        <v>0.216</v>
      </c>
      <c r="AJ269" s="5">
        <v>0.29399999999999998</v>
      </c>
      <c r="AK269" s="5">
        <v>0.44900000000000001</v>
      </c>
      <c r="AL269" s="5">
        <v>0.247</v>
      </c>
      <c r="AM269" s="5">
        <v>0.29099999999999998</v>
      </c>
      <c r="AN269">
        <v>-0.3</v>
      </c>
      <c r="AO269">
        <v>4.66</v>
      </c>
      <c r="AP269">
        <v>7</v>
      </c>
      <c r="AQ269">
        <v>-3.34</v>
      </c>
      <c r="AR269">
        <v>-1.8</v>
      </c>
      <c r="AS269" t="s">
        <v>1222</v>
      </c>
      <c r="AT269">
        <v>0.7</v>
      </c>
      <c r="AU269">
        <v>8</v>
      </c>
      <c r="AV269">
        <v>4</v>
      </c>
      <c r="AW269">
        <v>24</v>
      </c>
      <c r="AX269">
        <v>8</v>
      </c>
      <c r="AY269">
        <v>24</v>
      </c>
      <c r="AZ269" t="s">
        <v>3875</v>
      </c>
      <c r="BA269">
        <v>49</v>
      </c>
      <c r="BB269" t="s">
        <v>36</v>
      </c>
      <c r="BC269" t="s">
        <v>35</v>
      </c>
      <c r="BD269" s="4">
        <f>HYPERLINK("http://mlb.mlb.com/team/player.jsp?player_id=606992",606992)</f>
        <v>606992</v>
      </c>
      <c r="BE269">
        <v>393</v>
      </c>
      <c r="BF269">
        <v>1393</v>
      </c>
      <c r="BG269">
        <v>0</v>
      </c>
      <c r="BH269">
        <v>0</v>
      </c>
    </row>
    <row r="270" spans="1:60" x14ac:dyDescent="0.3">
      <c r="A270" s="4">
        <f>HYPERLINK("http://legacy.baseballprospectus.com/p/70556",70556)</f>
        <v>70556</v>
      </c>
      <c r="B270" t="s">
        <v>3812</v>
      </c>
      <c r="C270" t="s">
        <v>3813</v>
      </c>
      <c r="D270" s="10">
        <v>32913</v>
      </c>
      <c r="E270" t="s">
        <v>59</v>
      </c>
      <c r="F270" t="s">
        <v>33</v>
      </c>
      <c r="G270" t="s">
        <v>33</v>
      </c>
      <c r="H270">
        <v>71</v>
      </c>
      <c r="I270">
        <v>220</v>
      </c>
      <c r="J270">
        <v>2018</v>
      </c>
      <c r="K270" s="4" t="str">
        <f>HYPERLINK("http://legacy.baseballprospectus.com/fantasy/dc/index.php?tm=LAN","LAN")</f>
        <v>LAN</v>
      </c>
      <c r="L270" t="s">
        <v>100</v>
      </c>
      <c r="M270" t="s">
        <v>34</v>
      </c>
      <c r="N270">
        <v>28</v>
      </c>
      <c r="O270">
        <v>250</v>
      </c>
      <c r="P270" t="s">
        <v>1680</v>
      </c>
      <c r="Q270">
        <v>225</v>
      </c>
      <c r="R270">
        <v>31</v>
      </c>
      <c r="S270">
        <v>30</v>
      </c>
      <c r="T270">
        <v>13</v>
      </c>
      <c r="U270">
        <v>0</v>
      </c>
      <c r="V270">
        <v>12</v>
      </c>
      <c r="W270">
        <v>55</v>
      </c>
      <c r="X270">
        <v>104</v>
      </c>
      <c r="Y270">
        <v>37</v>
      </c>
      <c r="Z270">
        <v>20</v>
      </c>
      <c r="AA270">
        <v>1</v>
      </c>
      <c r="AB270">
        <v>3</v>
      </c>
      <c r="AC270">
        <v>57</v>
      </c>
      <c r="AD270">
        <v>0</v>
      </c>
      <c r="AE270">
        <v>2</v>
      </c>
      <c r="AF270">
        <v>6</v>
      </c>
      <c r="AG270">
        <v>1</v>
      </c>
      <c r="AH270">
        <v>0</v>
      </c>
      <c r="AI270" s="5">
        <v>0.245</v>
      </c>
      <c r="AJ270" s="5">
        <v>0.313</v>
      </c>
      <c r="AK270" s="5">
        <v>0.46600000000000003</v>
      </c>
      <c r="AL270" s="5">
        <v>0.26300000000000001</v>
      </c>
      <c r="AM270" s="5">
        <v>0.27100000000000002</v>
      </c>
      <c r="AN270">
        <v>-0.5</v>
      </c>
      <c r="AO270">
        <v>0.59</v>
      </c>
      <c r="AP270">
        <v>7</v>
      </c>
      <c r="AQ270">
        <v>0.75</v>
      </c>
      <c r="AR270">
        <v>-1</v>
      </c>
      <c r="AS270" t="s">
        <v>4895</v>
      </c>
      <c r="AT270">
        <v>0.7</v>
      </c>
      <c r="AU270">
        <v>7.8</v>
      </c>
      <c r="AV270">
        <v>6</v>
      </c>
      <c r="AW270">
        <v>14</v>
      </c>
      <c r="AX270">
        <v>14</v>
      </c>
      <c r="AY270">
        <v>22</v>
      </c>
      <c r="AZ270" t="s">
        <v>3814</v>
      </c>
      <c r="BA270">
        <v>35</v>
      </c>
      <c r="BB270" t="s">
        <v>36</v>
      </c>
      <c r="BC270" t="s">
        <v>35</v>
      </c>
      <c r="BD270" s="4">
        <f>HYPERLINK("http://mlb.mlb.com/team/player.jsp?player_id=607297",607297)</f>
        <v>607297</v>
      </c>
      <c r="BE270">
        <v>0</v>
      </c>
      <c r="BF270">
        <v>0</v>
      </c>
      <c r="BG270">
        <v>9</v>
      </c>
      <c r="BH270">
        <v>7</v>
      </c>
    </row>
    <row r="271" spans="1:60" x14ac:dyDescent="0.3">
      <c r="A271" s="4">
        <f>HYPERLINK("http://legacy.baseballprospectus.com/p/70970",70970)</f>
        <v>70970</v>
      </c>
      <c r="B271" t="s">
        <v>1740</v>
      </c>
      <c r="C271" t="s">
        <v>459</v>
      </c>
      <c r="D271" s="10">
        <v>34245</v>
      </c>
      <c r="E271" t="s">
        <v>58</v>
      </c>
      <c r="F271" t="s">
        <v>9</v>
      </c>
      <c r="G271" t="s">
        <v>33</v>
      </c>
      <c r="H271">
        <v>73</v>
      </c>
      <c r="I271">
        <v>190</v>
      </c>
      <c r="J271">
        <v>2018</v>
      </c>
      <c r="K271" s="4" t="str">
        <f>HYPERLINK("http://legacy.baseballprospectus.com/fantasy/dc/index.php?tm=PIT","PIT")</f>
        <v>PIT</v>
      </c>
      <c r="L271" t="s">
        <v>100</v>
      </c>
      <c r="M271" t="s">
        <v>34</v>
      </c>
      <c r="N271">
        <v>24</v>
      </c>
      <c r="O271">
        <v>250</v>
      </c>
      <c r="P271" t="s">
        <v>1680</v>
      </c>
      <c r="Q271">
        <v>224</v>
      </c>
      <c r="R271">
        <v>30</v>
      </c>
      <c r="S271">
        <v>36</v>
      </c>
      <c r="T271">
        <v>12</v>
      </c>
      <c r="U271">
        <v>1</v>
      </c>
      <c r="V271">
        <v>6</v>
      </c>
      <c r="W271">
        <v>55</v>
      </c>
      <c r="X271">
        <v>87</v>
      </c>
      <c r="Y271">
        <v>25</v>
      </c>
      <c r="Z271">
        <v>18</v>
      </c>
      <c r="AA271">
        <v>1</v>
      </c>
      <c r="AB271">
        <v>5</v>
      </c>
      <c r="AC271">
        <v>54</v>
      </c>
      <c r="AD271">
        <v>2</v>
      </c>
      <c r="AE271">
        <v>1</v>
      </c>
      <c r="AF271">
        <v>7</v>
      </c>
      <c r="AG271">
        <v>2</v>
      </c>
      <c r="AH271">
        <v>1</v>
      </c>
      <c r="AI271" s="5">
        <v>0.247</v>
      </c>
      <c r="AJ271" s="5">
        <v>0.314</v>
      </c>
      <c r="AK271" s="5">
        <v>0.39400000000000002</v>
      </c>
      <c r="AL271" s="5">
        <v>0.23899999999999999</v>
      </c>
      <c r="AM271" s="5">
        <v>0.29399999999999998</v>
      </c>
      <c r="AN271">
        <v>-0.3</v>
      </c>
      <c r="AO271">
        <v>3.51</v>
      </c>
      <c r="AP271">
        <v>7</v>
      </c>
      <c r="AQ271">
        <v>-5.5</v>
      </c>
      <c r="AR271">
        <v>1.2</v>
      </c>
      <c r="AS271" t="s">
        <v>1233</v>
      </c>
      <c r="AT271">
        <v>0.7</v>
      </c>
      <c r="AU271">
        <v>4.7</v>
      </c>
      <c r="AV271">
        <v>8</v>
      </c>
      <c r="AW271">
        <v>15</v>
      </c>
      <c r="AX271">
        <v>3</v>
      </c>
      <c r="AY271">
        <v>22</v>
      </c>
      <c r="AZ271" t="s">
        <v>3876</v>
      </c>
      <c r="BA271">
        <v>32</v>
      </c>
      <c r="BB271" t="s">
        <v>36</v>
      </c>
      <c r="BC271" t="s">
        <v>35</v>
      </c>
      <c r="BD271" s="4">
        <f>HYPERLINK("http://mlb.mlb.com/team/player.jsp?player_id=596012",596012)</f>
        <v>596012</v>
      </c>
      <c r="BE271">
        <v>1480</v>
      </c>
      <c r="BF271">
        <v>480</v>
      </c>
      <c r="BG271">
        <v>0</v>
      </c>
      <c r="BH271">
        <v>0</v>
      </c>
    </row>
    <row r="272" spans="1:60" x14ac:dyDescent="0.3">
      <c r="A272" s="4">
        <f>HYPERLINK("http://legacy.baseballprospectus.com/p/100007",100007)</f>
        <v>100007</v>
      </c>
      <c r="B272" t="s">
        <v>1255</v>
      </c>
      <c r="C272" t="s">
        <v>458</v>
      </c>
      <c r="D272" s="10">
        <v>33110</v>
      </c>
      <c r="E272" t="s">
        <v>51</v>
      </c>
      <c r="F272" t="s">
        <v>9</v>
      </c>
      <c r="G272" t="s">
        <v>33</v>
      </c>
      <c r="H272">
        <v>72</v>
      </c>
      <c r="I272">
        <v>210</v>
      </c>
      <c r="J272">
        <v>2018</v>
      </c>
      <c r="K272" s="4" t="str">
        <f>HYPERLINK("http://legacy.baseballprospectus.com/fantasy/dc/index.php?tm=LAN","LAN")</f>
        <v>LAN</v>
      </c>
      <c r="L272" t="s">
        <v>100</v>
      </c>
      <c r="M272" t="s">
        <v>34</v>
      </c>
      <c r="N272">
        <v>27</v>
      </c>
      <c r="O272">
        <v>250</v>
      </c>
      <c r="P272" t="s">
        <v>1680</v>
      </c>
      <c r="Q272">
        <v>215</v>
      </c>
      <c r="R272">
        <v>29</v>
      </c>
      <c r="S272">
        <v>31</v>
      </c>
      <c r="T272">
        <v>11</v>
      </c>
      <c r="U272">
        <v>0</v>
      </c>
      <c r="V272">
        <v>8</v>
      </c>
      <c r="W272">
        <v>50</v>
      </c>
      <c r="X272">
        <v>85</v>
      </c>
      <c r="Y272">
        <v>31</v>
      </c>
      <c r="Z272">
        <v>31</v>
      </c>
      <c r="AA272">
        <v>1</v>
      </c>
      <c r="AB272">
        <v>2</v>
      </c>
      <c r="AC272">
        <v>64</v>
      </c>
      <c r="AD272">
        <v>0</v>
      </c>
      <c r="AE272">
        <v>1</v>
      </c>
      <c r="AF272">
        <v>4</v>
      </c>
      <c r="AG272">
        <v>1</v>
      </c>
      <c r="AH272">
        <v>1</v>
      </c>
      <c r="AI272" s="5">
        <v>0.23499999999999999</v>
      </c>
      <c r="AJ272" s="5">
        <v>0.33400000000000002</v>
      </c>
      <c r="AK272" s="5">
        <v>0.40400000000000003</v>
      </c>
      <c r="AL272" s="5">
        <v>0.25700000000000001</v>
      </c>
      <c r="AM272" s="5">
        <v>0.29199999999999998</v>
      </c>
      <c r="AN272">
        <v>-0.9</v>
      </c>
      <c r="AO272">
        <v>0.76</v>
      </c>
      <c r="AP272">
        <v>7</v>
      </c>
      <c r="AQ272">
        <v>-0.91</v>
      </c>
      <c r="AR272">
        <v>0.5</v>
      </c>
      <c r="AS272" t="s">
        <v>1348</v>
      </c>
      <c r="AT272">
        <v>0.7</v>
      </c>
      <c r="AU272">
        <v>5.9</v>
      </c>
      <c r="AV272">
        <v>6</v>
      </c>
      <c r="AW272">
        <v>33</v>
      </c>
      <c r="AX272">
        <v>18</v>
      </c>
      <c r="AY272">
        <v>25</v>
      </c>
      <c r="AZ272" t="s">
        <v>3877</v>
      </c>
      <c r="BA272">
        <v>68</v>
      </c>
      <c r="BB272" t="s">
        <v>36</v>
      </c>
      <c r="BC272" t="s">
        <v>36</v>
      </c>
      <c r="BD272" s="4">
        <f>HYPERLINK("http://mlb.mlb.com/team/player.jsp?player_id=571970",571970)</f>
        <v>571970</v>
      </c>
      <c r="BE272">
        <v>0</v>
      </c>
      <c r="BF272">
        <v>0</v>
      </c>
      <c r="BG272">
        <v>0</v>
      </c>
      <c r="BH272">
        <v>0</v>
      </c>
    </row>
    <row r="273" spans="1:60" x14ac:dyDescent="0.3">
      <c r="A273" s="4">
        <f>HYPERLINK("http://legacy.baseballprospectus.com/p/100025",100025)</f>
        <v>100025</v>
      </c>
      <c r="B273" t="s">
        <v>906</v>
      </c>
      <c r="C273" t="s">
        <v>224</v>
      </c>
      <c r="D273" s="10">
        <v>33143</v>
      </c>
      <c r="E273" t="s">
        <v>65</v>
      </c>
      <c r="F273" t="s">
        <v>33</v>
      </c>
      <c r="G273" t="s">
        <v>33</v>
      </c>
      <c r="H273">
        <v>77</v>
      </c>
      <c r="I273">
        <v>195</v>
      </c>
      <c r="J273">
        <v>2018</v>
      </c>
      <c r="K273" s="4" t="str">
        <f>HYPERLINK("http://legacy.baseballprospectus.com/fantasy/dc/index.php?tm=SEA","SEA")</f>
        <v>SEA</v>
      </c>
      <c r="L273" t="s">
        <v>95</v>
      </c>
      <c r="M273" t="s">
        <v>34</v>
      </c>
      <c r="N273">
        <v>27</v>
      </c>
      <c r="O273">
        <v>250</v>
      </c>
      <c r="P273" t="s">
        <v>1680</v>
      </c>
      <c r="Q273">
        <v>227</v>
      </c>
      <c r="R273">
        <v>27</v>
      </c>
      <c r="S273">
        <v>36</v>
      </c>
      <c r="T273">
        <v>12</v>
      </c>
      <c r="U273">
        <v>1</v>
      </c>
      <c r="V273">
        <v>8</v>
      </c>
      <c r="W273">
        <v>57</v>
      </c>
      <c r="X273">
        <v>95</v>
      </c>
      <c r="Y273">
        <v>31</v>
      </c>
      <c r="Z273">
        <v>17</v>
      </c>
      <c r="AA273">
        <v>1</v>
      </c>
      <c r="AB273">
        <v>3</v>
      </c>
      <c r="AC273">
        <v>49</v>
      </c>
      <c r="AD273">
        <v>1</v>
      </c>
      <c r="AE273">
        <v>1</v>
      </c>
      <c r="AF273">
        <v>7</v>
      </c>
      <c r="AG273">
        <v>2</v>
      </c>
      <c r="AH273">
        <v>1</v>
      </c>
      <c r="AI273" s="5">
        <v>0.251</v>
      </c>
      <c r="AJ273" s="5">
        <v>0.311</v>
      </c>
      <c r="AK273" s="5">
        <v>0.41599999999999998</v>
      </c>
      <c r="AL273" s="5">
        <v>0.248</v>
      </c>
      <c r="AM273" s="5">
        <v>0.28499999999999998</v>
      </c>
      <c r="AN273">
        <v>-0.2</v>
      </c>
      <c r="AO273">
        <v>1.65</v>
      </c>
      <c r="AP273">
        <v>7</v>
      </c>
      <c r="AQ273">
        <v>-3.26</v>
      </c>
      <c r="AR273">
        <v>1</v>
      </c>
      <c r="AS273" t="s">
        <v>1929</v>
      </c>
      <c r="AT273">
        <v>0.7</v>
      </c>
      <c r="AU273">
        <v>5.2</v>
      </c>
      <c r="AV273">
        <v>2</v>
      </c>
      <c r="AW273">
        <v>21</v>
      </c>
      <c r="AX273">
        <v>9</v>
      </c>
      <c r="AY273">
        <v>22</v>
      </c>
      <c r="AZ273" t="s">
        <v>4213</v>
      </c>
      <c r="BA273">
        <v>48</v>
      </c>
      <c r="BB273" t="s">
        <v>36</v>
      </c>
      <c r="BC273" t="s">
        <v>35</v>
      </c>
      <c r="BD273" s="4">
        <f>HYPERLINK("http://mlb.mlb.com/team/player.jsp?player_id=573088",573088)</f>
        <v>573088</v>
      </c>
      <c r="BE273">
        <v>619</v>
      </c>
      <c r="BF273">
        <v>1619</v>
      </c>
      <c r="BG273">
        <v>97</v>
      </c>
      <c r="BH273">
        <v>88</v>
      </c>
    </row>
    <row r="274" spans="1:60" x14ac:dyDescent="0.3">
      <c r="A274" s="4">
        <f>HYPERLINK("http://legacy.baseballprospectus.com/p/100301",100301)</f>
        <v>100301</v>
      </c>
      <c r="B274" t="s">
        <v>445</v>
      </c>
      <c r="C274" t="s">
        <v>901</v>
      </c>
      <c r="D274" s="10">
        <v>33225</v>
      </c>
      <c r="E274" t="s">
        <v>65</v>
      </c>
      <c r="F274" t="s">
        <v>9</v>
      </c>
      <c r="G274" t="s">
        <v>33</v>
      </c>
      <c r="H274">
        <v>72</v>
      </c>
      <c r="I274">
        <v>210</v>
      </c>
      <c r="J274">
        <v>2018</v>
      </c>
      <c r="K274" s="4" t="str">
        <f>HYPERLINK("http://legacy.baseballprospectus.com/fantasy/dc/index.php?tm=TBA","TBA")</f>
        <v>TBA</v>
      </c>
      <c r="L274" t="s">
        <v>95</v>
      </c>
      <c r="M274" t="s">
        <v>34</v>
      </c>
      <c r="N274">
        <v>27</v>
      </c>
      <c r="O274">
        <v>250</v>
      </c>
      <c r="P274" t="s">
        <v>1680</v>
      </c>
      <c r="Q274">
        <v>222</v>
      </c>
      <c r="R274">
        <v>33</v>
      </c>
      <c r="S274">
        <v>38</v>
      </c>
      <c r="T274">
        <v>10</v>
      </c>
      <c r="U274">
        <v>1</v>
      </c>
      <c r="V274">
        <v>5</v>
      </c>
      <c r="W274">
        <v>54</v>
      </c>
      <c r="X274">
        <v>81</v>
      </c>
      <c r="Y274">
        <v>22</v>
      </c>
      <c r="Z274">
        <v>22</v>
      </c>
      <c r="AA274">
        <v>1</v>
      </c>
      <c r="AB274">
        <v>1</v>
      </c>
      <c r="AC274">
        <v>63</v>
      </c>
      <c r="AD274">
        <v>3</v>
      </c>
      <c r="AE274">
        <v>1</v>
      </c>
      <c r="AF274">
        <v>5</v>
      </c>
      <c r="AG274">
        <v>10</v>
      </c>
      <c r="AH274">
        <v>4</v>
      </c>
      <c r="AI274" s="5">
        <v>0.246</v>
      </c>
      <c r="AJ274" s="5">
        <v>0.316</v>
      </c>
      <c r="AK274" s="5">
        <v>0.371</v>
      </c>
      <c r="AL274" s="5">
        <v>0.24</v>
      </c>
      <c r="AM274" s="5">
        <v>0.313</v>
      </c>
      <c r="AN274">
        <v>0.4</v>
      </c>
      <c r="AO274">
        <v>1.95</v>
      </c>
      <c r="AP274">
        <v>7</v>
      </c>
      <c r="AQ274">
        <v>-5.26</v>
      </c>
      <c r="AR274">
        <v>1.9</v>
      </c>
      <c r="AS274" t="s">
        <v>1326</v>
      </c>
      <c r="AT274">
        <v>0.7</v>
      </c>
      <c r="AU274">
        <v>4.0999999999999996</v>
      </c>
      <c r="AV274">
        <v>2</v>
      </c>
      <c r="AW274">
        <v>23</v>
      </c>
      <c r="AX274">
        <v>6</v>
      </c>
      <c r="AY274">
        <v>17</v>
      </c>
      <c r="AZ274" t="s">
        <v>4299</v>
      </c>
      <c r="BA274">
        <v>48</v>
      </c>
      <c r="BB274" t="s">
        <v>36</v>
      </c>
      <c r="BC274" t="s">
        <v>35</v>
      </c>
      <c r="BD274" s="4">
        <f>HYPERLINK("http://mlb.mlb.com/team/player.jsp?player_id=608672",608672)</f>
        <v>608672</v>
      </c>
      <c r="BE274">
        <v>461</v>
      </c>
      <c r="BF274">
        <v>1461</v>
      </c>
      <c r="BG274">
        <v>11</v>
      </c>
      <c r="BH274">
        <v>10</v>
      </c>
    </row>
    <row r="275" spans="1:60" x14ac:dyDescent="0.3">
      <c r="A275" s="4">
        <f>HYPERLINK("http://legacy.baseballprospectus.com/p/100317",100317)</f>
        <v>100317</v>
      </c>
      <c r="B275" t="s">
        <v>1353</v>
      </c>
      <c r="C275" t="s">
        <v>446</v>
      </c>
      <c r="D275" s="10">
        <v>33323</v>
      </c>
      <c r="E275" t="s">
        <v>58</v>
      </c>
      <c r="F275" t="s">
        <v>33</v>
      </c>
      <c r="G275" t="s">
        <v>33</v>
      </c>
      <c r="H275">
        <v>72</v>
      </c>
      <c r="I275">
        <v>200</v>
      </c>
      <c r="J275">
        <v>2018</v>
      </c>
      <c r="K275" s="4" t="str">
        <f>HYPERLINK("http://legacy.baseballprospectus.com/fantasy/dc/index.php?tm=TBA","TBA")</f>
        <v>TBA</v>
      </c>
      <c r="L275" t="s">
        <v>95</v>
      </c>
      <c r="M275" t="s">
        <v>34</v>
      </c>
      <c r="N275">
        <v>27</v>
      </c>
      <c r="O275">
        <v>250</v>
      </c>
      <c r="P275" t="s">
        <v>1680</v>
      </c>
      <c r="Q275">
        <v>221</v>
      </c>
      <c r="R275">
        <v>28</v>
      </c>
      <c r="S275">
        <v>38</v>
      </c>
      <c r="T275">
        <v>13</v>
      </c>
      <c r="U275">
        <v>1</v>
      </c>
      <c r="V275">
        <v>6</v>
      </c>
      <c r="W275">
        <v>58</v>
      </c>
      <c r="X275">
        <v>91</v>
      </c>
      <c r="Y275">
        <v>29</v>
      </c>
      <c r="Z275">
        <v>24</v>
      </c>
      <c r="AA275">
        <v>2</v>
      </c>
      <c r="AB275">
        <v>3</v>
      </c>
      <c r="AC275">
        <v>47</v>
      </c>
      <c r="AD275">
        <v>0</v>
      </c>
      <c r="AE275">
        <v>1</v>
      </c>
      <c r="AF275">
        <v>7</v>
      </c>
      <c r="AG275">
        <v>4</v>
      </c>
      <c r="AH275">
        <v>1</v>
      </c>
      <c r="AI275" s="5">
        <v>0.26400000000000001</v>
      </c>
      <c r="AJ275" s="5">
        <v>0.34300000000000003</v>
      </c>
      <c r="AK275" s="5">
        <v>0.41399999999999998</v>
      </c>
      <c r="AL275" s="5">
        <v>0.25800000000000001</v>
      </c>
      <c r="AM275" s="5">
        <v>0.309</v>
      </c>
      <c r="AN275">
        <v>-1</v>
      </c>
      <c r="AO275">
        <v>1.26</v>
      </c>
      <c r="AP275">
        <v>7</v>
      </c>
      <c r="AQ275">
        <v>-0.64</v>
      </c>
      <c r="AR275">
        <v>0</v>
      </c>
      <c r="AS275" t="s">
        <v>3878</v>
      </c>
      <c r="AT275">
        <v>0.7</v>
      </c>
      <c r="AU275">
        <v>6.6</v>
      </c>
      <c r="AV275">
        <v>4</v>
      </c>
      <c r="AW275">
        <v>35</v>
      </c>
      <c r="AX275">
        <v>16</v>
      </c>
      <c r="AY275">
        <v>25</v>
      </c>
      <c r="AZ275" t="s">
        <v>3879</v>
      </c>
      <c r="BA275">
        <v>76</v>
      </c>
      <c r="BB275" t="s">
        <v>36</v>
      </c>
      <c r="BC275" t="s">
        <v>36</v>
      </c>
      <c r="BD275" s="4">
        <f>HYPERLINK("http://mlb.mlb.com/team/player.jsp?player_id=608701",608701)</f>
        <v>608701</v>
      </c>
      <c r="BE275">
        <v>457</v>
      </c>
      <c r="BF275">
        <v>1457</v>
      </c>
      <c r="BG275">
        <v>98</v>
      </c>
      <c r="BH275">
        <v>88</v>
      </c>
    </row>
    <row r="276" spans="1:60" x14ac:dyDescent="0.3">
      <c r="A276" s="4">
        <f>HYPERLINK("http://legacy.baseballprospectus.com/p/101230",101230)</f>
        <v>101230</v>
      </c>
      <c r="B276" t="s">
        <v>1852</v>
      </c>
      <c r="C276" t="s">
        <v>1853</v>
      </c>
      <c r="D276" s="10">
        <v>33404</v>
      </c>
      <c r="E276" t="s">
        <v>57</v>
      </c>
      <c r="F276" t="s">
        <v>9</v>
      </c>
      <c r="G276" t="s">
        <v>9</v>
      </c>
      <c r="H276">
        <v>72</v>
      </c>
      <c r="I276">
        <v>200</v>
      </c>
      <c r="J276">
        <v>2018</v>
      </c>
      <c r="K276" s="4" t="str">
        <f>HYPERLINK("http://legacy.baseballprospectus.com/fantasy/dc/index.php?tm=CHN","CHN")</f>
        <v>CHN</v>
      </c>
      <c r="L276" t="s">
        <v>100</v>
      </c>
      <c r="M276" t="s">
        <v>34</v>
      </c>
      <c r="N276">
        <v>27</v>
      </c>
      <c r="O276">
        <v>250</v>
      </c>
      <c r="P276" t="s">
        <v>1680</v>
      </c>
      <c r="Q276">
        <v>217</v>
      </c>
      <c r="R276">
        <v>29</v>
      </c>
      <c r="S276">
        <v>36</v>
      </c>
      <c r="T276">
        <v>11</v>
      </c>
      <c r="U276">
        <v>1</v>
      </c>
      <c r="V276">
        <v>7</v>
      </c>
      <c r="W276">
        <v>55</v>
      </c>
      <c r="X276">
        <v>89</v>
      </c>
      <c r="Y276">
        <v>31</v>
      </c>
      <c r="Z276">
        <v>29</v>
      </c>
      <c r="AA276">
        <v>1</v>
      </c>
      <c r="AB276">
        <v>2</v>
      </c>
      <c r="AC276">
        <v>53</v>
      </c>
      <c r="AD276">
        <v>1</v>
      </c>
      <c r="AE276">
        <v>1</v>
      </c>
      <c r="AF276">
        <v>5</v>
      </c>
      <c r="AG276">
        <v>1</v>
      </c>
      <c r="AH276">
        <v>0</v>
      </c>
      <c r="AI276" s="5">
        <v>0.25700000000000001</v>
      </c>
      <c r="AJ276" s="5">
        <v>0.34799999999999998</v>
      </c>
      <c r="AK276" s="5">
        <v>0.41899999999999998</v>
      </c>
      <c r="AL276" s="5">
        <v>0.25600000000000001</v>
      </c>
      <c r="AM276" s="5">
        <v>0.30499999999999999</v>
      </c>
      <c r="AN276">
        <v>-0.4</v>
      </c>
      <c r="AO276">
        <v>0.28999999999999998</v>
      </c>
      <c r="AP276">
        <v>7</v>
      </c>
      <c r="AQ276">
        <v>-1.18</v>
      </c>
      <c r="AR276">
        <v>0.9</v>
      </c>
      <c r="AS276" t="s">
        <v>2208</v>
      </c>
      <c r="AT276">
        <v>0.7</v>
      </c>
      <c r="AU276">
        <v>5.7</v>
      </c>
      <c r="AV276">
        <v>1</v>
      </c>
      <c r="AW276">
        <v>9</v>
      </c>
      <c r="AX276">
        <v>6</v>
      </c>
      <c r="AY276">
        <v>12</v>
      </c>
      <c r="AZ276" t="s">
        <v>3880</v>
      </c>
      <c r="BA276">
        <v>18</v>
      </c>
      <c r="BB276" t="s">
        <v>36</v>
      </c>
      <c r="BC276" t="s">
        <v>35</v>
      </c>
      <c r="BD276" s="4">
        <f>HYPERLINK("http://mlb.mlb.com/team/player.jsp?player_id=623148",623148)</f>
        <v>623148</v>
      </c>
      <c r="BE276">
        <v>0</v>
      </c>
      <c r="BF276">
        <v>0</v>
      </c>
      <c r="BG276">
        <v>0</v>
      </c>
      <c r="BH276">
        <v>0</v>
      </c>
    </row>
    <row r="277" spans="1:60" x14ac:dyDescent="0.3">
      <c r="A277" s="4">
        <f>HYPERLINK("http://legacy.baseballprospectus.com/p/101622",101622)</f>
        <v>101622</v>
      </c>
      <c r="B277" t="s">
        <v>160</v>
      </c>
      <c r="C277" t="s">
        <v>108</v>
      </c>
      <c r="D277" s="10">
        <v>34996</v>
      </c>
      <c r="E277" t="s">
        <v>53</v>
      </c>
      <c r="F277" t="s">
        <v>9</v>
      </c>
      <c r="G277" t="s">
        <v>33</v>
      </c>
      <c r="H277">
        <v>72</v>
      </c>
      <c r="I277">
        <v>160</v>
      </c>
      <c r="J277">
        <v>2018</v>
      </c>
      <c r="K277" s="4" t="str">
        <f>HYPERLINK("http://legacy.baseballprospectus.com/fantasy/dc/index.php?tm=MIN","MIN")</f>
        <v>MIN</v>
      </c>
      <c r="L277" t="s">
        <v>95</v>
      </c>
      <c r="M277" t="s">
        <v>34</v>
      </c>
      <c r="N277">
        <v>22</v>
      </c>
      <c r="O277">
        <v>250</v>
      </c>
      <c r="P277" t="s">
        <v>1680</v>
      </c>
      <c r="Q277">
        <v>230</v>
      </c>
      <c r="R277">
        <v>30</v>
      </c>
      <c r="S277">
        <v>38</v>
      </c>
      <c r="T277">
        <v>12</v>
      </c>
      <c r="U277">
        <v>2</v>
      </c>
      <c r="V277">
        <v>6</v>
      </c>
      <c r="W277">
        <v>58</v>
      </c>
      <c r="X277">
        <v>92</v>
      </c>
      <c r="Y277">
        <v>25</v>
      </c>
      <c r="Z277">
        <v>16</v>
      </c>
      <c r="AA277">
        <v>1</v>
      </c>
      <c r="AB277">
        <v>2</v>
      </c>
      <c r="AC277">
        <v>63</v>
      </c>
      <c r="AD277">
        <v>1</v>
      </c>
      <c r="AE277">
        <v>1</v>
      </c>
      <c r="AF277">
        <v>7</v>
      </c>
      <c r="AG277">
        <v>4</v>
      </c>
      <c r="AH277">
        <v>2</v>
      </c>
      <c r="AI277" s="5">
        <v>0.252</v>
      </c>
      <c r="AJ277" s="5">
        <v>0.30499999999999999</v>
      </c>
      <c r="AK277" s="5">
        <v>0.4</v>
      </c>
      <c r="AL277" s="5">
        <v>0.23499999999999999</v>
      </c>
      <c r="AM277" s="5">
        <v>0.31900000000000001</v>
      </c>
      <c r="AN277">
        <v>0</v>
      </c>
      <c r="AO277">
        <v>4.12</v>
      </c>
      <c r="AP277">
        <v>7</v>
      </c>
      <c r="AQ277">
        <v>-6.65</v>
      </c>
      <c r="AR277">
        <v>2.1</v>
      </c>
      <c r="AS277" t="s">
        <v>1349</v>
      </c>
      <c r="AT277">
        <v>0.7</v>
      </c>
      <c r="AU277">
        <v>4.4000000000000004</v>
      </c>
      <c r="AV277">
        <v>4</v>
      </c>
      <c r="AW277">
        <v>25</v>
      </c>
      <c r="AX277">
        <v>6</v>
      </c>
      <c r="AY277">
        <v>18</v>
      </c>
      <c r="AZ277" t="s">
        <v>3815</v>
      </c>
      <c r="BA277">
        <v>38</v>
      </c>
      <c r="BB277" t="s">
        <v>36</v>
      </c>
      <c r="BC277" t="s">
        <v>35</v>
      </c>
      <c r="BD277" s="4">
        <f>HYPERLINK("http://mlb.mlb.com/team/player.jsp?player_id=624503",624503)</f>
        <v>624503</v>
      </c>
      <c r="BE277">
        <v>540</v>
      </c>
      <c r="BF277">
        <v>1540</v>
      </c>
      <c r="BG277">
        <v>0</v>
      </c>
      <c r="BH277">
        <v>0</v>
      </c>
    </row>
    <row r="278" spans="1:60" x14ac:dyDescent="0.3">
      <c r="A278" s="4">
        <f>HYPERLINK("http://legacy.baseballprospectus.com/p/101631",101631)</f>
        <v>101631</v>
      </c>
      <c r="B278" t="s">
        <v>543</v>
      </c>
      <c r="C278" t="s">
        <v>1436</v>
      </c>
      <c r="D278" s="10">
        <v>34716</v>
      </c>
      <c r="E278" t="s">
        <v>54</v>
      </c>
      <c r="F278" t="s">
        <v>9</v>
      </c>
      <c r="G278" t="s">
        <v>33</v>
      </c>
      <c r="H278">
        <v>72</v>
      </c>
      <c r="I278">
        <v>175</v>
      </c>
      <c r="J278">
        <v>2018</v>
      </c>
      <c r="K278" s="4" t="str">
        <f>HYPERLINK("http://legacy.baseballprospectus.com/fantasy/dc/index.php?tm=COL","COL")</f>
        <v>COL</v>
      </c>
      <c r="L278" t="s">
        <v>100</v>
      </c>
      <c r="M278" t="s">
        <v>34</v>
      </c>
      <c r="N278">
        <v>23</v>
      </c>
      <c r="O278">
        <v>250</v>
      </c>
      <c r="P278" t="s">
        <v>1680</v>
      </c>
      <c r="Q278">
        <v>217</v>
      </c>
      <c r="R278">
        <v>28</v>
      </c>
      <c r="S278">
        <v>30</v>
      </c>
      <c r="T278">
        <v>9</v>
      </c>
      <c r="U278">
        <v>1</v>
      </c>
      <c r="V278">
        <v>9</v>
      </c>
      <c r="W278">
        <v>49</v>
      </c>
      <c r="X278">
        <v>87</v>
      </c>
      <c r="Y278">
        <v>31</v>
      </c>
      <c r="Z278">
        <v>28</v>
      </c>
      <c r="AA278">
        <v>2</v>
      </c>
      <c r="AB278">
        <v>2</v>
      </c>
      <c r="AC278">
        <v>60</v>
      </c>
      <c r="AD278">
        <v>2</v>
      </c>
      <c r="AE278">
        <v>1</v>
      </c>
      <c r="AF278">
        <v>6</v>
      </c>
      <c r="AG278">
        <v>1</v>
      </c>
      <c r="AH278">
        <v>0</v>
      </c>
      <c r="AI278" s="5">
        <v>0.22600000000000001</v>
      </c>
      <c r="AJ278" s="5">
        <v>0.317</v>
      </c>
      <c r="AK278" s="5">
        <v>0.39600000000000002</v>
      </c>
      <c r="AL278" s="5">
        <v>0.23</v>
      </c>
      <c r="AM278" s="5">
        <v>0.26600000000000001</v>
      </c>
      <c r="AN278">
        <v>-0.2</v>
      </c>
      <c r="AO278">
        <v>5.41</v>
      </c>
      <c r="AP278">
        <v>7</v>
      </c>
      <c r="AQ278">
        <v>-7.96</v>
      </c>
      <c r="AR278">
        <v>2.2000000000000002</v>
      </c>
      <c r="AS278" t="s">
        <v>1017</v>
      </c>
      <c r="AT278">
        <v>0.7</v>
      </c>
      <c r="AU278">
        <v>4.2</v>
      </c>
      <c r="AV278">
        <v>2</v>
      </c>
      <c r="AW278">
        <v>20</v>
      </c>
      <c r="AX278">
        <v>3</v>
      </c>
      <c r="AY278">
        <v>21</v>
      </c>
      <c r="AZ278" t="s">
        <v>3816</v>
      </c>
      <c r="BA278">
        <v>30</v>
      </c>
      <c r="BB278" t="s">
        <v>36</v>
      </c>
      <c r="BC278" t="s">
        <v>35</v>
      </c>
      <c r="BD278" s="4">
        <f>HYPERLINK("http://mlb.mlb.com/team/player.jsp?player_id=624513",624513)</f>
        <v>624513</v>
      </c>
      <c r="BE278">
        <v>0</v>
      </c>
      <c r="BF278">
        <v>0</v>
      </c>
      <c r="BG278">
        <v>0</v>
      </c>
      <c r="BH278">
        <v>0</v>
      </c>
    </row>
    <row r="279" spans="1:60" x14ac:dyDescent="0.3">
      <c r="A279" s="4">
        <f>HYPERLINK("http://legacy.baseballprospectus.com/p/103225",103225)</f>
        <v>103225</v>
      </c>
      <c r="B279" t="s">
        <v>789</v>
      </c>
      <c r="C279" t="s">
        <v>3817</v>
      </c>
      <c r="D279" s="10">
        <v>35117</v>
      </c>
      <c r="E279" t="s">
        <v>53</v>
      </c>
      <c r="F279" t="s">
        <v>33</v>
      </c>
      <c r="G279" t="s">
        <v>33</v>
      </c>
      <c r="H279">
        <v>70</v>
      </c>
      <c r="I279">
        <v>185</v>
      </c>
      <c r="J279">
        <v>2018</v>
      </c>
      <c r="K279" s="4" t="str">
        <f>HYPERLINK("http://legacy.baseballprospectus.com/fantasy/dc/index.php?tm=NYA","NYA")</f>
        <v>NYA</v>
      </c>
      <c r="L279" t="s">
        <v>95</v>
      </c>
      <c r="M279" t="s">
        <v>34</v>
      </c>
      <c r="N279">
        <v>22</v>
      </c>
      <c r="O279">
        <v>250</v>
      </c>
      <c r="P279" t="s">
        <v>1680</v>
      </c>
      <c r="Q279">
        <v>231</v>
      </c>
      <c r="R279">
        <v>27</v>
      </c>
      <c r="S279">
        <v>42</v>
      </c>
      <c r="T279">
        <v>10</v>
      </c>
      <c r="U279">
        <v>1</v>
      </c>
      <c r="V279">
        <v>8</v>
      </c>
      <c r="W279">
        <v>61</v>
      </c>
      <c r="X279">
        <v>97</v>
      </c>
      <c r="Y279">
        <v>30</v>
      </c>
      <c r="Z279">
        <v>15</v>
      </c>
      <c r="AA279">
        <v>1</v>
      </c>
      <c r="AB279">
        <v>3</v>
      </c>
      <c r="AC279">
        <v>48</v>
      </c>
      <c r="AD279">
        <v>1</v>
      </c>
      <c r="AE279">
        <v>1</v>
      </c>
      <c r="AF279">
        <v>6</v>
      </c>
      <c r="AG279">
        <v>2</v>
      </c>
      <c r="AH279">
        <v>2</v>
      </c>
      <c r="AI279" s="5">
        <v>0.26200000000000001</v>
      </c>
      <c r="AJ279" s="5">
        <v>0.311</v>
      </c>
      <c r="AK279" s="5">
        <v>0.41099999999999998</v>
      </c>
      <c r="AL279" s="5">
        <v>0.245</v>
      </c>
      <c r="AM279" s="5">
        <v>0.29699999999999999</v>
      </c>
      <c r="AN279">
        <v>-0.6</v>
      </c>
      <c r="AO279">
        <v>3.93</v>
      </c>
      <c r="AP279">
        <v>7</v>
      </c>
      <c r="AQ279">
        <v>-3.91</v>
      </c>
      <c r="AR279">
        <v>0.4</v>
      </c>
      <c r="AS279" t="s">
        <v>76</v>
      </c>
      <c r="AT279">
        <v>0.7</v>
      </c>
      <c r="AU279">
        <v>6.4</v>
      </c>
      <c r="AV279">
        <v>7</v>
      </c>
      <c r="AW279">
        <v>32</v>
      </c>
      <c r="AX279">
        <v>9</v>
      </c>
      <c r="AY279">
        <v>20</v>
      </c>
      <c r="AZ279" t="s">
        <v>3818</v>
      </c>
      <c r="BA279">
        <v>47</v>
      </c>
      <c r="BB279" t="s">
        <v>36</v>
      </c>
      <c r="BC279" t="s">
        <v>35</v>
      </c>
      <c r="BD279" s="4">
        <f>HYPERLINK("http://mlb.mlb.com/team/player.jsp?player_id=642731",642731)</f>
        <v>642731</v>
      </c>
      <c r="BE279">
        <v>0</v>
      </c>
      <c r="BF279">
        <v>0</v>
      </c>
      <c r="BG279">
        <v>0</v>
      </c>
      <c r="BH279">
        <v>0</v>
      </c>
    </row>
    <row r="280" spans="1:60" x14ac:dyDescent="0.3">
      <c r="A280" s="4">
        <f>HYPERLINK("http://legacy.baseballprospectus.com/p/104934",104934)</f>
        <v>104934</v>
      </c>
      <c r="B280" t="s">
        <v>155</v>
      </c>
      <c r="C280" t="s">
        <v>362</v>
      </c>
      <c r="D280" s="10">
        <v>35249</v>
      </c>
      <c r="E280" t="s">
        <v>53</v>
      </c>
      <c r="F280" t="s">
        <v>37</v>
      </c>
      <c r="G280" t="s">
        <v>33</v>
      </c>
      <c r="H280">
        <v>75</v>
      </c>
      <c r="I280">
        <v>185</v>
      </c>
      <c r="J280">
        <v>2018</v>
      </c>
      <c r="K280" s="4" t="str">
        <f>HYPERLINK("http://legacy.baseballprospectus.com/fantasy/dc/index.php?tm=PIT","PIT")</f>
        <v>PIT</v>
      </c>
      <c r="L280" t="s">
        <v>100</v>
      </c>
      <c r="M280" t="s">
        <v>34</v>
      </c>
      <c r="N280">
        <v>21</v>
      </c>
      <c r="O280">
        <v>250</v>
      </c>
      <c r="P280" t="s">
        <v>1680</v>
      </c>
      <c r="Q280">
        <v>226</v>
      </c>
      <c r="R280">
        <v>31</v>
      </c>
      <c r="S280">
        <v>37</v>
      </c>
      <c r="T280">
        <v>10</v>
      </c>
      <c r="U280">
        <v>2</v>
      </c>
      <c r="V280">
        <v>5</v>
      </c>
      <c r="W280">
        <v>54</v>
      </c>
      <c r="X280">
        <v>83</v>
      </c>
      <c r="Y280">
        <v>21</v>
      </c>
      <c r="Z280">
        <v>18</v>
      </c>
      <c r="AA280">
        <v>1</v>
      </c>
      <c r="AB280">
        <v>1</v>
      </c>
      <c r="AC280">
        <v>60</v>
      </c>
      <c r="AD280">
        <v>3</v>
      </c>
      <c r="AE280">
        <v>1</v>
      </c>
      <c r="AF280">
        <v>5</v>
      </c>
      <c r="AG280">
        <v>10</v>
      </c>
      <c r="AH280">
        <v>4</v>
      </c>
      <c r="AI280" s="5">
        <v>0.23799999999999999</v>
      </c>
      <c r="AJ280" s="5">
        <v>0.29699999999999999</v>
      </c>
      <c r="AK280" s="5">
        <v>0.36599999999999999</v>
      </c>
      <c r="AL280" s="5">
        <v>0.22600000000000001</v>
      </c>
      <c r="AM280" s="5">
        <v>0.29499999999999998</v>
      </c>
      <c r="AN280">
        <v>0.8</v>
      </c>
      <c r="AO280">
        <v>4.24</v>
      </c>
      <c r="AP280">
        <v>7</v>
      </c>
      <c r="AQ280">
        <v>-9.02</v>
      </c>
      <c r="AR280">
        <v>2.9</v>
      </c>
      <c r="AS280" t="s">
        <v>84</v>
      </c>
      <c r="AT280">
        <v>0.7</v>
      </c>
      <c r="AU280">
        <v>3.1</v>
      </c>
      <c r="AV280">
        <v>3</v>
      </c>
      <c r="AW280">
        <v>9</v>
      </c>
      <c r="AX280">
        <v>0</v>
      </c>
      <c r="AY280">
        <v>6</v>
      </c>
      <c r="AZ280" t="s">
        <v>3881</v>
      </c>
      <c r="BA280">
        <v>15</v>
      </c>
      <c r="BB280" t="s">
        <v>36</v>
      </c>
      <c r="BC280" t="s">
        <v>35</v>
      </c>
      <c r="BD280" s="4">
        <f>HYPERLINK("http://mlb.mlb.com/team/player.jsp?player_id=657061",657061)</f>
        <v>657061</v>
      </c>
      <c r="BE280">
        <v>1562</v>
      </c>
      <c r="BF280">
        <v>562</v>
      </c>
      <c r="BG280">
        <v>0</v>
      </c>
      <c r="BH280">
        <v>0</v>
      </c>
    </row>
    <row r="281" spans="1:60" x14ac:dyDescent="0.3">
      <c r="A281" s="4">
        <f>HYPERLINK("http://legacy.baseballprospectus.com/p/105857",105857)</f>
        <v>105857</v>
      </c>
      <c r="B281" t="s">
        <v>1765</v>
      </c>
      <c r="C281" t="s">
        <v>3882</v>
      </c>
      <c r="D281" s="10">
        <v>34241</v>
      </c>
      <c r="E281" t="s">
        <v>65</v>
      </c>
      <c r="F281" t="s">
        <v>9</v>
      </c>
      <c r="G281" t="s">
        <v>9</v>
      </c>
      <c r="H281">
        <v>71</v>
      </c>
      <c r="I281">
        <v>204</v>
      </c>
      <c r="J281">
        <v>2018</v>
      </c>
      <c r="K281" s="4" t="str">
        <f>HYPERLINK("http://legacy.baseballprospectus.com/fantasy/dc/index.php?tm=KCA","KCA")</f>
        <v>KCA</v>
      </c>
      <c r="L281" t="s">
        <v>95</v>
      </c>
      <c r="M281" t="s">
        <v>34</v>
      </c>
      <c r="N281">
        <v>24</v>
      </c>
      <c r="O281">
        <v>250</v>
      </c>
      <c r="P281" t="s">
        <v>1680</v>
      </c>
      <c r="Q281">
        <v>227</v>
      </c>
      <c r="R281">
        <v>31</v>
      </c>
      <c r="S281">
        <v>36</v>
      </c>
      <c r="T281">
        <v>11</v>
      </c>
      <c r="U281">
        <v>3</v>
      </c>
      <c r="V281">
        <v>6</v>
      </c>
      <c r="W281">
        <v>56</v>
      </c>
      <c r="X281">
        <v>91</v>
      </c>
      <c r="Y281">
        <v>24</v>
      </c>
      <c r="Z281">
        <v>17</v>
      </c>
      <c r="AA281">
        <v>1</v>
      </c>
      <c r="AB281">
        <v>2</v>
      </c>
      <c r="AC281">
        <v>53</v>
      </c>
      <c r="AD281">
        <v>2</v>
      </c>
      <c r="AE281">
        <v>2</v>
      </c>
      <c r="AF281">
        <v>4</v>
      </c>
      <c r="AG281">
        <v>7</v>
      </c>
      <c r="AH281">
        <v>2</v>
      </c>
      <c r="AI281" s="5">
        <v>0.24199999999999999</v>
      </c>
      <c r="AJ281" s="5">
        <v>0.29799999999999999</v>
      </c>
      <c r="AK281" s="5">
        <v>0.39300000000000002</v>
      </c>
      <c r="AL281" s="5">
        <v>0.23100000000000001</v>
      </c>
      <c r="AM281" s="5">
        <v>0.28499999999999998</v>
      </c>
      <c r="AN281">
        <v>0.7</v>
      </c>
      <c r="AO281">
        <v>2.78</v>
      </c>
      <c r="AP281">
        <v>7</v>
      </c>
      <c r="AQ281">
        <v>-7.69</v>
      </c>
      <c r="AR281">
        <v>3.6</v>
      </c>
      <c r="AS281" t="s">
        <v>4896</v>
      </c>
      <c r="AT281">
        <v>0.7</v>
      </c>
      <c r="AU281">
        <v>2.7</v>
      </c>
      <c r="AV281">
        <v>12</v>
      </c>
      <c r="AW281">
        <v>19</v>
      </c>
      <c r="AX281">
        <v>5</v>
      </c>
      <c r="AY281">
        <v>25</v>
      </c>
      <c r="AZ281" t="s">
        <v>3883</v>
      </c>
      <c r="BA281">
        <v>36</v>
      </c>
      <c r="BB281" t="s">
        <v>36</v>
      </c>
      <c r="BC281" t="s">
        <v>35</v>
      </c>
      <c r="BD281" s="4">
        <f>HYPERLINK("http://mlb.mlb.com/team/player.jsp?player_id=664159",664159)</f>
        <v>664159</v>
      </c>
      <c r="BE281">
        <v>0</v>
      </c>
      <c r="BF281">
        <v>0</v>
      </c>
      <c r="BG281">
        <v>0</v>
      </c>
      <c r="BH281">
        <v>0</v>
      </c>
    </row>
    <row r="282" spans="1:60" x14ac:dyDescent="0.3">
      <c r="A282" s="4">
        <f>HYPERLINK("http://legacy.baseballprospectus.com/p/106558",106558)</f>
        <v>106558</v>
      </c>
      <c r="B282" t="s">
        <v>1749</v>
      </c>
      <c r="C282" t="s">
        <v>459</v>
      </c>
      <c r="D282" s="10">
        <v>34185</v>
      </c>
      <c r="E282" t="s">
        <v>53</v>
      </c>
      <c r="F282" t="s">
        <v>33</v>
      </c>
      <c r="G282" t="s">
        <v>33</v>
      </c>
      <c r="H282">
        <v>73</v>
      </c>
      <c r="I282">
        <v>180</v>
      </c>
      <c r="J282">
        <v>2018</v>
      </c>
      <c r="K282" s="4" t="str">
        <f>HYPERLINK("http://legacy.baseballprospectus.com/fantasy/dc/index.php?tm=PIT","PIT")</f>
        <v>PIT</v>
      </c>
      <c r="L282" t="s">
        <v>100</v>
      </c>
      <c r="M282" t="s">
        <v>34</v>
      </c>
      <c r="N282">
        <v>24</v>
      </c>
      <c r="O282">
        <v>250</v>
      </c>
      <c r="P282" t="s">
        <v>1680</v>
      </c>
      <c r="Q282">
        <v>229</v>
      </c>
      <c r="R282">
        <v>29</v>
      </c>
      <c r="S282">
        <v>41</v>
      </c>
      <c r="T282">
        <v>12</v>
      </c>
      <c r="U282">
        <v>1</v>
      </c>
      <c r="V282">
        <v>5</v>
      </c>
      <c r="W282">
        <v>59</v>
      </c>
      <c r="X282">
        <v>88</v>
      </c>
      <c r="Y282">
        <v>24</v>
      </c>
      <c r="Z282">
        <v>16</v>
      </c>
      <c r="AA282">
        <v>1</v>
      </c>
      <c r="AB282">
        <v>2</v>
      </c>
      <c r="AC282">
        <v>38</v>
      </c>
      <c r="AD282">
        <v>2</v>
      </c>
      <c r="AE282">
        <v>1</v>
      </c>
      <c r="AF282">
        <v>7</v>
      </c>
      <c r="AG282">
        <v>3</v>
      </c>
      <c r="AH282">
        <v>1</v>
      </c>
      <c r="AI282" s="5">
        <v>0.26100000000000001</v>
      </c>
      <c r="AJ282" s="5">
        <v>0.313</v>
      </c>
      <c r="AK282" s="5">
        <v>0.39500000000000002</v>
      </c>
      <c r="AL282" s="5">
        <v>0.24199999999999999</v>
      </c>
      <c r="AM282" s="5">
        <v>0.28799999999999998</v>
      </c>
      <c r="AN282">
        <v>-0.1</v>
      </c>
      <c r="AO282">
        <v>4.25</v>
      </c>
      <c r="AP282">
        <v>7</v>
      </c>
      <c r="AQ282">
        <v>-4.8099999999999996</v>
      </c>
      <c r="AR282">
        <v>-0.3</v>
      </c>
      <c r="AS282" t="s">
        <v>74</v>
      </c>
      <c r="AT282">
        <v>0.7</v>
      </c>
      <c r="AU282">
        <v>6.4</v>
      </c>
      <c r="AV282">
        <v>7</v>
      </c>
      <c r="AW282">
        <v>17</v>
      </c>
      <c r="AX282">
        <v>12</v>
      </c>
      <c r="AY282">
        <v>28</v>
      </c>
      <c r="AZ282" t="s">
        <v>3884</v>
      </c>
      <c r="BA282">
        <v>45</v>
      </c>
      <c r="BB282" t="s">
        <v>36</v>
      </c>
      <c r="BC282" t="s">
        <v>35</v>
      </c>
      <c r="BD282" s="4">
        <f>HYPERLINK("http://mlb.mlb.com/team/player.jsp?player_id=621028",621028)</f>
        <v>621028</v>
      </c>
      <c r="BE282">
        <v>1563</v>
      </c>
      <c r="BF282">
        <v>563</v>
      </c>
      <c r="BG282">
        <v>0</v>
      </c>
      <c r="BH282">
        <v>0</v>
      </c>
    </row>
    <row r="283" spans="1:60" x14ac:dyDescent="0.3">
      <c r="A283" s="4">
        <f>HYPERLINK("http://legacy.baseballprospectus.com/p/106745",106745)</f>
        <v>106745</v>
      </c>
      <c r="B283" t="s">
        <v>601</v>
      </c>
      <c r="C283" t="s">
        <v>323</v>
      </c>
      <c r="D283" s="10">
        <v>34445</v>
      </c>
      <c r="E283" t="s">
        <v>50</v>
      </c>
      <c r="F283" t="s">
        <v>9</v>
      </c>
      <c r="G283" t="s">
        <v>33</v>
      </c>
      <c r="H283">
        <v>75</v>
      </c>
      <c r="I283">
        <v>220</v>
      </c>
      <c r="J283">
        <v>2018</v>
      </c>
      <c r="K283" s="4" t="str">
        <f>HYPERLINK("http://legacy.baseballprospectus.com/fantasy/dc/index.php?tm=LAN","LAN")</f>
        <v>LAN</v>
      </c>
      <c r="L283" t="s">
        <v>100</v>
      </c>
      <c r="M283" t="s">
        <v>34</v>
      </c>
      <c r="N283">
        <v>24</v>
      </c>
      <c r="O283">
        <v>250</v>
      </c>
      <c r="P283" t="s">
        <v>1680</v>
      </c>
      <c r="Q283">
        <v>232</v>
      </c>
      <c r="R283">
        <v>30</v>
      </c>
      <c r="S283">
        <v>32</v>
      </c>
      <c r="T283">
        <v>13</v>
      </c>
      <c r="U283">
        <v>0</v>
      </c>
      <c r="V283">
        <v>13</v>
      </c>
      <c r="W283">
        <v>58</v>
      </c>
      <c r="X283">
        <v>110</v>
      </c>
      <c r="Y283">
        <v>39</v>
      </c>
      <c r="Z283">
        <v>14</v>
      </c>
      <c r="AA283">
        <v>3</v>
      </c>
      <c r="AB283">
        <v>2</v>
      </c>
      <c r="AC283">
        <v>71</v>
      </c>
      <c r="AD283">
        <v>0</v>
      </c>
      <c r="AE283">
        <v>2</v>
      </c>
      <c r="AF283">
        <v>6</v>
      </c>
      <c r="AG283">
        <v>0</v>
      </c>
      <c r="AH283">
        <v>0</v>
      </c>
      <c r="AI283" s="5">
        <v>0.252</v>
      </c>
      <c r="AJ283" s="5">
        <v>0.3</v>
      </c>
      <c r="AK283" s="5">
        <v>0.47699999999999998</v>
      </c>
      <c r="AL283" s="5">
        <v>0.25900000000000001</v>
      </c>
      <c r="AM283" s="5">
        <v>0.30399999999999999</v>
      </c>
      <c r="AN283">
        <v>-0.6</v>
      </c>
      <c r="AO283">
        <v>-0.42</v>
      </c>
      <c r="AP283">
        <v>7</v>
      </c>
      <c r="AQ283">
        <v>-0.14000000000000001</v>
      </c>
      <c r="AR283">
        <v>0.8</v>
      </c>
      <c r="AS283" t="s">
        <v>1847</v>
      </c>
      <c r="AT283">
        <v>0.7</v>
      </c>
      <c r="AU283">
        <v>5.9</v>
      </c>
      <c r="AV283">
        <v>8</v>
      </c>
      <c r="AW283">
        <v>20</v>
      </c>
      <c r="AX283">
        <v>13</v>
      </c>
      <c r="AY283">
        <v>26</v>
      </c>
      <c r="AZ283" t="s">
        <v>3885</v>
      </c>
      <c r="BA283">
        <v>41</v>
      </c>
      <c r="BB283" t="s">
        <v>36</v>
      </c>
      <c r="BC283" t="s">
        <v>35</v>
      </c>
      <c r="BD283" s="4">
        <f>HYPERLINK("http://mlb.mlb.com/team/player.jsp?player_id=621458",621458)</f>
        <v>621458</v>
      </c>
      <c r="BE283">
        <v>1717</v>
      </c>
      <c r="BF283">
        <v>717</v>
      </c>
      <c r="BG283">
        <v>0</v>
      </c>
      <c r="BH283">
        <v>0</v>
      </c>
    </row>
    <row r="284" spans="1:60" x14ac:dyDescent="0.3">
      <c r="A284" s="4">
        <f>HYPERLINK("http://legacy.baseballprospectus.com/p/107920",107920)</f>
        <v>107920</v>
      </c>
      <c r="B284" t="s">
        <v>3886</v>
      </c>
      <c r="C284" t="s">
        <v>451</v>
      </c>
      <c r="D284" s="10">
        <v>34617</v>
      </c>
      <c r="E284" t="s">
        <v>58</v>
      </c>
      <c r="F284" t="s">
        <v>33</v>
      </c>
      <c r="G284" t="s">
        <v>33</v>
      </c>
      <c r="H284">
        <v>71</v>
      </c>
      <c r="I284">
        <v>185</v>
      </c>
      <c r="J284">
        <v>2018</v>
      </c>
      <c r="K284" s="4" t="str">
        <f>HYPERLINK("http://legacy.baseballprospectus.com/fantasy/dc/index.php?tm=COL","COL")</f>
        <v>COL</v>
      </c>
      <c r="L284" t="s">
        <v>100</v>
      </c>
      <c r="M284" t="s">
        <v>34</v>
      </c>
      <c r="N284">
        <v>23</v>
      </c>
      <c r="O284">
        <v>250</v>
      </c>
      <c r="P284" t="s">
        <v>1680</v>
      </c>
      <c r="Q284">
        <v>224</v>
      </c>
      <c r="R284">
        <v>34</v>
      </c>
      <c r="S284">
        <v>39</v>
      </c>
      <c r="T284">
        <v>10</v>
      </c>
      <c r="U284">
        <v>2</v>
      </c>
      <c r="V284">
        <v>5</v>
      </c>
      <c r="W284">
        <v>56</v>
      </c>
      <c r="X284">
        <v>85</v>
      </c>
      <c r="Y284">
        <v>22</v>
      </c>
      <c r="Z284">
        <v>22</v>
      </c>
      <c r="AA284">
        <v>1</v>
      </c>
      <c r="AB284">
        <v>1</v>
      </c>
      <c r="AC284">
        <v>51</v>
      </c>
      <c r="AD284">
        <v>1</v>
      </c>
      <c r="AE284">
        <v>2</v>
      </c>
      <c r="AF284">
        <v>5</v>
      </c>
      <c r="AG284">
        <v>13</v>
      </c>
      <c r="AH284">
        <v>4</v>
      </c>
      <c r="AI284" s="5">
        <v>0.25600000000000001</v>
      </c>
      <c r="AJ284" s="5">
        <v>0.32200000000000001</v>
      </c>
      <c r="AK284" s="5">
        <v>0.39400000000000002</v>
      </c>
      <c r="AL284" s="5">
        <v>0.23100000000000001</v>
      </c>
      <c r="AM284" s="5">
        <v>0.30499999999999999</v>
      </c>
      <c r="AN284">
        <v>1.3</v>
      </c>
      <c r="AO284">
        <v>3.78</v>
      </c>
      <c r="AP284">
        <v>7</v>
      </c>
      <c r="AQ284">
        <v>-7.49</v>
      </c>
      <c r="AR284">
        <v>1.4</v>
      </c>
      <c r="AS284" t="s">
        <v>4142</v>
      </c>
      <c r="AT284">
        <v>0.7</v>
      </c>
      <c r="AU284">
        <v>4.5999999999999996</v>
      </c>
      <c r="AV284">
        <v>5</v>
      </c>
      <c r="AW284">
        <v>12</v>
      </c>
      <c r="AX284">
        <v>2</v>
      </c>
      <c r="AY284">
        <v>10</v>
      </c>
      <c r="AZ284" t="s">
        <v>3887</v>
      </c>
      <c r="BA284">
        <v>22</v>
      </c>
      <c r="BB284" t="s">
        <v>36</v>
      </c>
      <c r="BC284" t="s">
        <v>35</v>
      </c>
      <c r="BD284" s="4">
        <f>HYPERLINK("http://mlb.mlb.com/team/player.jsp?player_id=641658",641658)</f>
        <v>641658</v>
      </c>
      <c r="BE284">
        <v>1571</v>
      </c>
      <c r="BF284">
        <v>571</v>
      </c>
      <c r="BG284">
        <v>0</v>
      </c>
      <c r="BH284">
        <v>0</v>
      </c>
    </row>
    <row r="285" spans="1:60" x14ac:dyDescent="0.3">
      <c r="A285" s="4">
        <f>HYPERLINK("http://legacy.baseballprospectus.com/p/1020",1020)</f>
        <v>1020</v>
      </c>
      <c r="B285" t="s">
        <v>686</v>
      </c>
      <c r="C285" t="s">
        <v>541</v>
      </c>
      <c r="D285" s="10">
        <v>28995</v>
      </c>
      <c r="E285" t="s">
        <v>59</v>
      </c>
      <c r="F285" t="s">
        <v>33</v>
      </c>
      <c r="G285" t="s">
        <v>33</v>
      </c>
      <c r="H285">
        <v>77</v>
      </c>
      <c r="I285">
        <v>235</v>
      </c>
      <c r="J285">
        <v>2018</v>
      </c>
      <c r="K285" s="4" t="str">
        <f>HYPERLINK("http://legacy.baseballprospectus.com/fantasy/dc/index.php?tm=WAS","WAS")</f>
        <v>WAS</v>
      </c>
      <c r="L285" t="s">
        <v>100</v>
      </c>
      <c r="M285" t="s">
        <v>34</v>
      </c>
      <c r="N285">
        <v>39</v>
      </c>
      <c r="O285">
        <v>337</v>
      </c>
      <c r="P285" t="s">
        <v>1680</v>
      </c>
      <c r="Q285">
        <v>292</v>
      </c>
      <c r="R285">
        <v>46</v>
      </c>
      <c r="S285">
        <v>47</v>
      </c>
      <c r="T285">
        <v>15</v>
      </c>
      <c r="U285">
        <v>0</v>
      </c>
      <c r="V285">
        <v>12</v>
      </c>
      <c r="W285">
        <v>74</v>
      </c>
      <c r="X285">
        <v>125</v>
      </c>
      <c r="Y285">
        <v>39</v>
      </c>
      <c r="Z285">
        <v>39</v>
      </c>
      <c r="AA285">
        <v>1</v>
      </c>
      <c r="AB285">
        <v>3</v>
      </c>
      <c r="AC285">
        <v>74</v>
      </c>
      <c r="AD285">
        <v>0</v>
      </c>
      <c r="AE285">
        <v>2</v>
      </c>
      <c r="AF285">
        <v>8</v>
      </c>
      <c r="AG285">
        <v>3</v>
      </c>
      <c r="AH285">
        <v>1</v>
      </c>
      <c r="AI285" s="5">
        <v>0.252</v>
      </c>
      <c r="AJ285" s="5">
        <v>0.34399999999999997</v>
      </c>
      <c r="AK285" s="5">
        <v>0.42899999999999999</v>
      </c>
      <c r="AL285" s="5">
        <v>0.25800000000000001</v>
      </c>
      <c r="AM285" s="5">
        <v>0.29599999999999999</v>
      </c>
      <c r="AN285">
        <v>1.2</v>
      </c>
      <c r="AO285">
        <v>1.35</v>
      </c>
      <c r="AP285">
        <v>9.44</v>
      </c>
      <c r="AQ285">
        <v>-0.83</v>
      </c>
      <c r="AR285">
        <v>-5.3</v>
      </c>
      <c r="AS285" t="s">
        <v>3857</v>
      </c>
      <c r="AT285">
        <v>0.6</v>
      </c>
      <c r="AU285">
        <v>11.1</v>
      </c>
      <c r="AV285">
        <v>0</v>
      </c>
      <c r="AW285">
        <v>17</v>
      </c>
      <c r="AX285">
        <v>2</v>
      </c>
      <c r="AY285">
        <v>8</v>
      </c>
      <c r="AZ285" t="s">
        <v>3858</v>
      </c>
      <c r="BA285">
        <v>64</v>
      </c>
      <c r="BB285" t="s">
        <v>36</v>
      </c>
      <c r="BC285" t="s">
        <v>36</v>
      </c>
      <c r="BD285" s="4">
        <f>HYPERLINK("http://mlb.mlb.com/team/player.jsp?player_id=150029",150029)</f>
        <v>150029</v>
      </c>
      <c r="BE285">
        <v>0</v>
      </c>
      <c r="BF285">
        <v>0</v>
      </c>
      <c r="BG285">
        <v>289</v>
      </c>
      <c r="BH285">
        <v>252</v>
      </c>
    </row>
    <row r="286" spans="1:60" x14ac:dyDescent="0.3">
      <c r="A286" s="4">
        <f>HYPERLINK("http://legacy.baseballprospectus.com/p/31514",31514)</f>
        <v>31514</v>
      </c>
      <c r="B286" t="s">
        <v>988</v>
      </c>
      <c r="C286" t="s">
        <v>103</v>
      </c>
      <c r="D286" s="10">
        <v>30305</v>
      </c>
      <c r="E286" t="s">
        <v>51</v>
      </c>
      <c r="F286" t="s">
        <v>33</v>
      </c>
      <c r="G286" t="s">
        <v>33</v>
      </c>
      <c r="H286">
        <v>72</v>
      </c>
      <c r="I286">
        <v>205</v>
      </c>
      <c r="J286">
        <v>2018</v>
      </c>
      <c r="K286" s="4" t="str">
        <f>HYPERLINK("http://legacy.baseballprospectus.com/fantasy/dc/index.php?tm=NYN","NYN")</f>
        <v>NYN</v>
      </c>
      <c r="L286" t="s">
        <v>100</v>
      </c>
      <c r="M286" t="s">
        <v>34</v>
      </c>
      <c r="N286">
        <v>35</v>
      </c>
      <c r="O286">
        <v>250</v>
      </c>
      <c r="P286" t="s">
        <v>1680</v>
      </c>
      <c r="Q286">
        <v>221</v>
      </c>
      <c r="R286">
        <v>34</v>
      </c>
      <c r="S286">
        <v>39</v>
      </c>
      <c r="T286">
        <v>11</v>
      </c>
      <c r="U286">
        <v>1</v>
      </c>
      <c r="V286">
        <v>7</v>
      </c>
      <c r="W286">
        <v>58</v>
      </c>
      <c r="X286">
        <v>92</v>
      </c>
      <c r="Y286">
        <v>27</v>
      </c>
      <c r="Z286">
        <v>26</v>
      </c>
      <c r="AA286">
        <v>1</v>
      </c>
      <c r="AB286">
        <v>2</v>
      </c>
      <c r="AC286">
        <v>52</v>
      </c>
      <c r="AD286">
        <v>0</v>
      </c>
      <c r="AE286">
        <v>1</v>
      </c>
      <c r="AF286">
        <v>6</v>
      </c>
      <c r="AG286">
        <v>4</v>
      </c>
      <c r="AH286">
        <v>2</v>
      </c>
      <c r="AI286" s="5">
        <v>0.26500000000000001</v>
      </c>
      <c r="AJ286" s="5">
        <v>0.34499999999999997</v>
      </c>
      <c r="AK286" s="5">
        <v>0.42299999999999999</v>
      </c>
      <c r="AL286" s="5">
        <v>0.26300000000000001</v>
      </c>
      <c r="AM286" s="5">
        <v>0.314</v>
      </c>
      <c r="AN286">
        <v>0.5</v>
      </c>
      <c r="AO286">
        <v>0.78</v>
      </c>
      <c r="AP286">
        <v>7</v>
      </c>
      <c r="AQ286">
        <v>0.88</v>
      </c>
      <c r="AR286">
        <v>-3.6</v>
      </c>
      <c r="AS286" t="s">
        <v>80</v>
      </c>
      <c r="AT286">
        <v>0.6</v>
      </c>
      <c r="AU286">
        <v>9.1999999999999993</v>
      </c>
      <c r="AV286">
        <v>0</v>
      </c>
      <c r="AW286">
        <v>25</v>
      </c>
      <c r="AX286">
        <v>12</v>
      </c>
      <c r="AY286">
        <v>20</v>
      </c>
      <c r="AZ286" t="s">
        <v>3889</v>
      </c>
      <c r="BA286">
        <v>90</v>
      </c>
      <c r="BB286" t="s">
        <v>36</v>
      </c>
      <c r="BC286" t="s">
        <v>36</v>
      </c>
      <c r="BD286" s="4">
        <f>HYPERLINK("http://mlb.mlb.com/team/player.jsp?player_id=431151",431151)</f>
        <v>431151</v>
      </c>
      <c r="BE286">
        <v>1510</v>
      </c>
      <c r="BF286">
        <v>510</v>
      </c>
      <c r="BG286">
        <v>0</v>
      </c>
      <c r="BH286">
        <v>0</v>
      </c>
    </row>
    <row r="287" spans="1:60" x14ac:dyDescent="0.3">
      <c r="A287" s="4">
        <f>HYPERLINK("http://legacy.baseballprospectus.com/p/51936",51936)</f>
        <v>51936</v>
      </c>
      <c r="B287" t="s">
        <v>226</v>
      </c>
      <c r="C287" t="s">
        <v>606</v>
      </c>
      <c r="D287" s="10">
        <v>30985</v>
      </c>
      <c r="E287" t="s">
        <v>57</v>
      </c>
      <c r="F287" t="s">
        <v>33</v>
      </c>
      <c r="G287" t="s">
        <v>33</v>
      </c>
      <c r="H287">
        <v>69</v>
      </c>
      <c r="I287">
        <v>170</v>
      </c>
      <c r="J287">
        <v>2018</v>
      </c>
      <c r="K287" s="4" t="str">
        <f>HYPERLINK("http://legacy.baseballprospectus.com/fantasy/dc/index.php?tm=NYA","NYA")</f>
        <v>NYA</v>
      </c>
      <c r="L287" t="s">
        <v>95</v>
      </c>
      <c r="M287" t="s">
        <v>34</v>
      </c>
      <c r="N287">
        <v>33</v>
      </c>
      <c r="O287">
        <v>250</v>
      </c>
      <c r="P287" t="s">
        <v>1680</v>
      </c>
      <c r="Q287">
        <v>224</v>
      </c>
      <c r="R287">
        <v>29</v>
      </c>
      <c r="S287">
        <v>41</v>
      </c>
      <c r="T287">
        <v>9</v>
      </c>
      <c r="U287">
        <v>1</v>
      </c>
      <c r="V287">
        <v>3</v>
      </c>
      <c r="W287">
        <v>54</v>
      </c>
      <c r="X287">
        <v>74</v>
      </c>
      <c r="Y287">
        <v>19</v>
      </c>
      <c r="Z287">
        <v>21</v>
      </c>
      <c r="AA287">
        <v>1</v>
      </c>
      <c r="AB287">
        <v>2</v>
      </c>
      <c r="AC287">
        <v>39</v>
      </c>
      <c r="AD287">
        <v>2</v>
      </c>
      <c r="AE287">
        <v>2</v>
      </c>
      <c r="AF287">
        <v>7</v>
      </c>
      <c r="AG287">
        <v>7</v>
      </c>
      <c r="AH287">
        <v>1</v>
      </c>
      <c r="AI287" s="5">
        <v>0.24299999999999999</v>
      </c>
      <c r="AJ287" s="5">
        <v>0.311</v>
      </c>
      <c r="AK287" s="5">
        <v>0.33800000000000002</v>
      </c>
      <c r="AL287" s="5">
        <v>0.22800000000000001</v>
      </c>
      <c r="AM287" s="5">
        <v>0.27700000000000002</v>
      </c>
      <c r="AN287">
        <v>0.5</v>
      </c>
      <c r="AO287">
        <v>1.44</v>
      </c>
      <c r="AP287">
        <v>7</v>
      </c>
      <c r="AQ287">
        <v>-8.3699999999999992</v>
      </c>
      <c r="AR287">
        <v>4.5</v>
      </c>
      <c r="AS287" t="s">
        <v>4854</v>
      </c>
      <c r="AT287">
        <v>0.6</v>
      </c>
      <c r="AU287">
        <v>0.6</v>
      </c>
      <c r="AV287">
        <v>2</v>
      </c>
      <c r="AW287">
        <v>30</v>
      </c>
      <c r="AX287">
        <v>14</v>
      </c>
      <c r="AY287">
        <v>26</v>
      </c>
      <c r="AZ287" t="s">
        <v>3895</v>
      </c>
      <c r="BA287">
        <v>70</v>
      </c>
      <c r="BB287" t="s">
        <v>36</v>
      </c>
      <c r="BC287" t="s">
        <v>36</v>
      </c>
      <c r="BD287" s="4">
        <f>HYPERLINK("http://mlb.mlb.com/team/player.jsp?player_id=453203",453203)</f>
        <v>453203</v>
      </c>
      <c r="BE287">
        <v>0</v>
      </c>
      <c r="BF287">
        <v>0</v>
      </c>
      <c r="BG287">
        <v>35</v>
      </c>
      <c r="BH287">
        <v>31</v>
      </c>
    </row>
    <row r="288" spans="1:60" x14ac:dyDescent="0.3">
      <c r="A288" s="4">
        <f>HYPERLINK("http://legacy.baseballprospectus.com/p/58217",58217)</f>
        <v>58217</v>
      </c>
      <c r="B288" t="s">
        <v>1915</v>
      </c>
      <c r="C288" t="s">
        <v>159</v>
      </c>
      <c r="D288" s="10">
        <v>31994</v>
      </c>
      <c r="E288" t="s">
        <v>54</v>
      </c>
      <c r="F288" t="s">
        <v>33</v>
      </c>
      <c r="G288" t="s">
        <v>33</v>
      </c>
      <c r="H288">
        <v>70</v>
      </c>
      <c r="I288">
        <v>215</v>
      </c>
      <c r="J288">
        <v>2018</v>
      </c>
      <c r="K288" s="4" t="str">
        <f>HYPERLINK("http://legacy.baseballprospectus.com/fantasy/dc/index.php?tm=HOU","HOU")</f>
        <v>HOU</v>
      </c>
      <c r="L288" t="s">
        <v>95</v>
      </c>
      <c r="M288" t="s">
        <v>34</v>
      </c>
      <c r="N288">
        <v>30</v>
      </c>
      <c r="O288">
        <v>250</v>
      </c>
      <c r="P288" t="s">
        <v>1680</v>
      </c>
      <c r="Q288">
        <v>227</v>
      </c>
      <c r="R288">
        <v>28</v>
      </c>
      <c r="S288">
        <v>33</v>
      </c>
      <c r="T288">
        <v>12</v>
      </c>
      <c r="U288">
        <v>0</v>
      </c>
      <c r="V288">
        <v>9</v>
      </c>
      <c r="W288">
        <v>54</v>
      </c>
      <c r="X288">
        <v>93</v>
      </c>
      <c r="Y288">
        <v>33</v>
      </c>
      <c r="Z288">
        <v>19</v>
      </c>
      <c r="AA288">
        <v>2</v>
      </c>
      <c r="AB288">
        <v>2</v>
      </c>
      <c r="AC288">
        <v>68</v>
      </c>
      <c r="AD288">
        <v>1</v>
      </c>
      <c r="AE288">
        <v>1</v>
      </c>
      <c r="AF288">
        <v>8</v>
      </c>
      <c r="AG288">
        <v>0</v>
      </c>
      <c r="AH288">
        <v>0</v>
      </c>
      <c r="AI288" s="5">
        <v>0.24299999999999999</v>
      </c>
      <c r="AJ288" s="5">
        <v>0.30399999999999999</v>
      </c>
      <c r="AK288" s="5">
        <v>0.42199999999999999</v>
      </c>
      <c r="AL288" s="5">
        <v>0.245</v>
      </c>
      <c r="AM288" s="5">
        <v>0.30099999999999999</v>
      </c>
      <c r="AN288">
        <v>-0.4</v>
      </c>
      <c r="AO288">
        <v>5.31</v>
      </c>
      <c r="AP288">
        <v>7</v>
      </c>
      <c r="AQ288">
        <v>-3.98</v>
      </c>
      <c r="AR288">
        <v>-2.1</v>
      </c>
      <c r="AS288" t="s">
        <v>3863</v>
      </c>
      <c r="AT288">
        <v>0.6</v>
      </c>
      <c r="AU288">
        <v>7.9</v>
      </c>
      <c r="AV288">
        <v>11</v>
      </c>
      <c r="AW288">
        <v>20</v>
      </c>
      <c r="AX288">
        <v>5</v>
      </c>
      <c r="AY288">
        <v>18</v>
      </c>
      <c r="AZ288" t="s">
        <v>3864</v>
      </c>
      <c r="BA288">
        <v>42</v>
      </c>
      <c r="BB288" t="s">
        <v>36</v>
      </c>
      <c r="BC288" t="s">
        <v>36</v>
      </c>
      <c r="BD288" s="4">
        <f>HYPERLINK("http://mlb.mlb.com/team/player.jsp?player_id=543148",543148)</f>
        <v>543148</v>
      </c>
      <c r="BE288">
        <v>0</v>
      </c>
      <c r="BF288">
        <v>0</v>
      </c>
      <c r="BG288">
        <v>14</v>
      </c>
      <c r="BH288">
        <v>13</v>
      </c>
    </row>
    <row r="289" spans="1:60" x14ac:dyDescent="0.3">
      <c r="A289" s="4">
        <f>HYPERLINK("http://legacy.baseballprospectus.com/p/59915",59915)</f>
        <v>59915</v>
      </c>
      <c r="B289" t="s">
        <v>475</v>
      </c>
      <c r="C289" t="s">
        <v>476</v>
      </c>
      <c r="D289" s="10">
        <v>33409</v>
      </c>
      <c r="E289" t="s">
        <v>57</v>
      </c>
      <c r="F289" t="s">
        <v>33</v>
      </c>
      <c r="G289" t="s">
        <v>33</v>
      </c>
      <c r="H289">
        <v>72</v>
      </c>
      <c r="I289">
        <v>230</v>
      </c>
      <c r="J289">
        <v>2018</v>
      </c>
      <c r="K289" s="4" t="str">
        <f>HYPERLINK("http://legacy.baseballprospectus.com/fantasy/dc/index.php?tm=ANA","ANA")</f>
        <v>ANA</v>
      </c>
      <c r="L289" t="s">
        <v>95</v>
      </c>
      <c r="M289" t="s">
        <v>34</v>
      </c>
      <c r="N289">
        <v>27</v>
      </c>
      <c r="O289">
        <v>250</v>
      </c>
      <c r="P289" t="s">
        <v>1680</v>
      </c>
      <c r="Q289">
        <v>222</v>
      </c>
      <c r="R289">
        <v>29</v>
      </c>
      <c r="S289">
        <v>33</v>
      </c>
      <c r="T289">
        <v>10</v>
      </c>
      <c r="U289">
        <v>1</v>
      </c>
      <c r="V289">
        <v>8</v>
      </c>
      <c r="W289">
        <v>52</v>
      </c>
      <c r="X289">
        <v>88</v>
      </c>
      <c r="Y289">
        <v>30</v>
      </c>
      <c r="Z289">
        <v>23</v>
      </c>
      <c r="AA289">
        <v>1</v>
      </c>
      <c r="AB289">
        <v>3</v>
      </c>
      <c r="AC289">
        <v>74</v>
      </c>
      <c r="AD289">
        <v>1</v>
      </c>
      <c r="AE289">
        <v>1</v>
      </c>
      <c r="AF289">
        <v>7</v>
      </c>
      <c r="AG289">
        <v>4</v>
      </c>
      <c r="AH289">
        <v>2</v>
      </c>
      <c r="AI289" s="5">
        <v>0.23699999999999999</v>
      </c>
      <c r="AJ289" s="5">
        <v>0.318</v>
      </c>
      <c r="AK289" s="5">
        <v>0.40300000000000002</v>
      </c>
      <c r="AL289" s="5">
        <v>0.24399999999999999</v>
      </c>
      <c r="AM289" s="5">
        <v>0.314</v>
      </c>
      <c r="AN289">
        <v>-0.1</v>
      </c>
      <c r="AO289">
        <v>0.22</v>
      </c>
      <c r="AP289">
        <v>7</v>
      </c>
      <c r="AQ289">
        <v>-4.32</v>
      </c>
      <c r="AR289">
        <v>3</v>
      </c>
      <c r="AS289" t="s">
        <v>1814</v>
      </c>
      <c r="AT289">
        <v>0.6</v>
      </c>
      <c r="AU289">
        <v>2.8</v>
      </c>
      <c r="AV289">
        <v>6</v>
      </c>
      <c r="AW289">
        <v>19</v>
      </c>
      <c r="AX289">
        <v>10</v>
      </c>
      <c r="AY289">
        <v>22</v>
      </c>
      <c r="AZ289" t="s">
        <v>3899</v>
      </c>
      <c r="BA289">
        <v>39</v>
      </c>
      <c r="BB289" t="s">
        <v>36</v>
      </c>
      <c r="BC289" t="s">
        <v>36</v>
      </c>
      <c r="BD289" s="4">
        <f>HYPERLINK("http://mlb.mlb.com/team/player.jsp?player_id=542642",542642)</f>
        <v>542642</v>
      </c>
      <c r="BE289">
        <v>0</v>
      </c>
      <c r="BF289">
        <v>0</v>
      </c>
      <c r="BG289">
        <v>46</v>
      </c>
      <c r="BH289">
        <v>41</v>
      </c>
    </row>
    <row r="290" spans="1:60" x14ac:dyDescent="0.3">
      <c r="A290" s="4">
        <f>HYPERLINK("http://legacy.baseballprospectus.com/p/65846",65846)</f>
        <v>65846</v>
      </c>
      <c r="B290" t="s">
        <v>1910</v>
      </c>
      <c r="C290" t="s">
        <v>308</v>
      </c>
      <c r="D290" s="10">
        <v>32020</v>
      </c>
      <c r="E290" t="s">
        <v>59</v>
      </c>
      <c r="F290" t="s">
        <v>33</v>
      </c>
      <c r="G290" t="s">
        <v>33</v>
      </c>
      <c r="H290">
        <v>72</v>
      </c>
      <c r="I290">
        <v>215</v>
      </c>
      <c r="J290">
        <v>2018</v>
      </c>
      <c r="K290" s="4" t="str">
        <f>HYPERLINK("http://legacy.baseballprospectus.com/fantasy/dc/index.php?tm=COL","COL")</f>
        <v>COL</v>
      </c>
      <c r="L290" t="s">
        <v>100</v>
      </c>
      <c r="M290" t="s">
        <v>34</v>
      </c>
      <c r="N290">
        <v>30</v>
      </c>
      <c r="O290">
        <v>250</v>
      </c>
      <c r="P290" t="s">
        <v>1680</v>
      </c>
      <c r="Q290">
        <v>223</v>
      </c>
      <c r="R290">
        <v>30</v>
      </c>
      <c r="S290">
        <v>34</v>
      </c>
      <c r="T290">
        <v>12</v>
      </c>
      <c r="U290">
        <v>2</v>
      </c>
      <c r="V290">
        <v>9</v>
      </c>
      <c r="W290">
        <v>57</v>
      </c>
      <c r="X290">
        <v>100</v>
      </c>
      <c r="Y290">
        <v>33</v>
      </c>
      <c r="Z290">
        <v>24</v>
      </c>
      <c r="AA290">
        <v>1</v>
      </c>
      <c r="AB290">
        <v>2</v>
      </c>
      <c r="AC290">
        <v>47</v>
      </c>
      <c r="AD290">
        <v>0</v>
      </c>
      <c r="AE290">
        <v>1</v>
      </c>
      <c r="AF290">
        <v>6</v>
      </c>
      <c r="AG290">
        <v>2</v>
      </c>
      <c r="AH290">
        <v>1</v>
      </c>
      <c r="AI290" s="5">
        <v>0.254</v>
      </c>
      <c r="AJ290" s="5">
        <v>0.33</v>
      </c>
      <c r="AK290" s="5">
        <v>0.44500000000000001</v>
      </c>
      <c r="AL290" s="5">
        <v>0.252</v>
      </c>
      <c r="AM290" s="5">
        <v>0.28299999999999997</v>
      </c>
      <c r="AN290">
        <v>-0.2</v>
      </c>
      <c r="AO290">
        <v>0.67</v>
      </c>
      <c r="AP290">
        <v>7</v>
      </c>
      <c r="AQ290">
        <v>-2.17</v>
      </c>
      <c r="AR290">
        <v>0.1</v>
      </c>
      <c r="AS290" t="s">
        <v>4897</v>
      </c>
      <c r="AT290">
        <v>0.6</v>
      </c>
      <c r="AU290">
        <v>5.3</v>
      </c>
      <c r="AV290">
        <v>0</v>
      </c>
      <c r="AW290">
        <v>8</v>
      </c>
      <c r="AX290">
        <v>5</v>
      </c>
      <c r="AY290">
        <v>17</v>
      </c>
      <c r="AZ290" t="s">
        <v>3900</v>
      </c>
      <c r="BA290">
        <v>29</v>
      </c>
      <c r="BB290" t="s">
        <v>36</v>
      </c>
      <c r="BC290" t="s">
        <v>35</v>
      </c>
      <c r="BD290" s="4">
        <f>HYPERLINK("http://mlb.mlb.com/team/player.jsp?player_id=506924",506924)</f>
        <v>506924</v>
      </c>
      <c r="BE290">
        <v>0</v>
      </c>
      <c r="BF290">
        <v>0</v>
      </c>
      <c r="BG290">
        <v>32</v>
      </c>
      <c r="BH290">
        <v>28</v>
      </c>
    </row>
    <row r="291" spans="1:60" x14ac:dyDescent="0.3">
      <c r="A291" s="4">
        <f>HYPERLINK("http://legacy.baseballprospectus.com/p/68969",68969)</f>
        <v>68969</v>
      </c>
      <c r="B291" t="s">
        <v>651</v>
      </c>
      <c r="C291" t="s">
        <v>427</v>
      </c>
      <c r="D291" s="10">
        <v>32727</v>
      </c>
      <c r="E291" t="s">
        <v>50</v>
      </c>
      <c r="F291" t="s">
        <v>9</v>
      </c>
      <c r="G291" t="s">
        <v>9</v>
      </c>
      <c r="H291">
        <v>74</v>
      </c>
      <c r="I291">
        <v>190</v>
      </c>
      <c r="J291">
        <v>2018</v>
      </c>
      <c r="K291" s="4" t="str">
        <f>HYPERLINK("http://legacy.baseballprospectus.com/fantasy/dc/index.php?tm=MIN","MIN")</f>
        <v>MIN</v>
      </c>
      <c r="L291" t="s">
        <v>100</v>
      </c>
      <c r="M291" t="s">
        <v>34</v>
      </c>
      <c r="N291">
        <v>28</v>
      </c>
      <c r="O291">
        <v>250</v>
      </c>
      <c r="P291" t="s">
        <v>1680</v>
      </c>
      <c r="Q291">
        <v>216</v>
      </c>
      <c r="R291">
        <v>29</v>
      </c>
      <c r="S291">
        <v>33</v>
      </c>
      <c r="T291">
        <v>11</v>
      </c>
      <c r="U291">
        <v>0</v>
      </c>
      <c r="V291">
        <v>9</v>
      </c>
      <c r="W291">
        <v>53</v>
      </c>
      <c r="X291">
        <v>91</v>
      </c>
      <c r="Y291">
        <v>33</v>
      </c>
      <c r="Z291">
        <v>31</v>
      </c>
      <c r="AA291">
        <v>1</v>
      </c>
      <c r="AB291">
        <v>1</v>
      </c>
      <c r="AC291">
        <v>54</v>
      </c>
      <c r="AD291">
        <v>0</v>
      </c>
      <c r="AE291">
        <v>2</v>
      </c>
      <c r="AF291">
        <v>6</v>
      </c>
      <c r="AG291">
        <v>0</v>
      </c>
      <c r="AH291">
        <v>0</v>
      </c>
      <c r="AI291" s="5">
        <v>0.246</v>
      </c>
      <c r="AJ291" s="5">
        <v>0.34200000000000003</v>
      </c>
      <c r="AK291" s="5">
        <v>0.42699999999999999</v>
      </c>
      <c r="AL291" s="5">
        <v>0.25900000000000001</v>
      </c>
      <c r="AM291" s="5">
        <v>0.28499999999999998</v>
      </c>
      <c r="AN291">
        <v>-0.5</v>
      </c>
      <c r="AO291">
        <v>-0.88</v>
      </c>
      <c r="AP291">
        <v>7</v>
      </c>
      <c r="AQ291">
        <v>-0.14000000000000001</v>
      </c>
      <c r="AR291">
        <v>0.3</v>
      </c>
      <c r="AS291" t="s">
        <v>3868</v>
      </c>
      <c r="AT291">
        <v>0.6</v>
      </c>
      <c r="AU291">
        <v>5.5</v>
      </c>
      <c r="AV291">
        <v>3</v>
      </c>
      <c r="AW291">
        <v>8</v>
      </c>
      <c r="AX291">
        <v>12</v>
      </c>
      <c r="AY291">
        <v>19</v>
      </c>
      <c r="AZ291" t="s">
        <v>3869</v>
      </c>
      <c r="BA291">
        <v>33</v>
      </c>
      <c r="BB291" t="s">
        <v>36</v>
      </c>
      <c r="BC291" t="s">
        <v>35</v>
      </c>
      <c r="BD291" s="4">
        <f>HYPERLINK("http://mlb.mlb.com/team/player.jsp?player_id=595426",595426)</f>
        <v>595426</v>
      </c>
      <c r="BE291">
        <v>750</v>
      </c>
      <c r="BF291">
        <v>1750</v>
      </c>
      <c r="BG291">
        <v>90</v>
      </c>
      <c r="BH291">
        <v>78</v>
      </c>
    </row>
    <row r="292" spans="1:60" x14ac:dyDescent="0.3">
      <c r="A292" s="4">
        <f>HYPERLINK("http://legacy.baseballprospectus.com/p/69201",69201)</f>
        <v>69201</v>
      </c>
      <c r="B292" t="s">
        <v>380</v>
      </c>
      <c r="C292" t="s">
        <v>633</v>
      </c>
      <c r="D292" s="10">
        <v>33798</v>
      </c>
      <c r="E292" t="s">
        <v>54</v>
      </c>
      <c r="F292" t="s">
        <v>33</v>
      </c>
      <c r="G292" t="s">
        <v>33</v>
      </c>
      <c r="H292">
        <v>73</v>
      </c>
      <c r="I292">
        <v>225</v>
      </c>
      <c r="J292">
        <v>2018</v>
      </c>
      <c r="K292" s="4" t="str">
        <f>HYPERLINK("http://legacy.baseballprospectus.com/fantasy/dc/index.php?tm=CHA","CHA")</f>
        <v>CHA</v>
      </c>
      <c r="L292" t="s">
        <v>95</v>
      </c>
      <c r="M292" t="s">
        <v>34</v>
      </c>
      <c r="N292">
        <v>25</v>
      </c>
      <c r="O292">
        <v>250</v>
      </c>
      <c r="P292" t="s">
        <v>1680</v>
      </c>
      <c r="Q292">
        <v>221</v>
      </c>
      <c r="R292">
        <v>26</v>
      </c>
      <c r="S292">
        <v>36</v>
      </c>
      <c r="T292">
        <v>8</v>
      </c>
      <c r="U292">
        <v>1</v>
      </c>
      <c r="V292">
        <v>5</v>
      </c>
      <c r="W292">
        <v>50</v>
      </c>
      <c r="X292">
        <v>75</v>
      </c>
      <c r="Y292">
        <v>25</v>
      </c>
      <c r="Z292">
        <v>23</v>
      </c>
      <c r="AA292">
        <v>1</v>
      </c>
      <c r="AB292">
        <v>3</v>
      </c>
      <c r="AC292">
        <v>59</v>
      </c>
      <c r="AD292">
        <v>2</v>
      </c>
      <c r="AE292">
        <v>1</v>
      </c>
      <c r="AF292">
        <v>6</v>
      </c>
      <c r="AG292">
        <v>1</v>
      </c>
      <c r="AH292">
        <v>1</v>
      </c>
      <c r="AI292" s="5">
        <v>0.22900000000000001</v>
      </c>
      <c r="AJ292" s="5">
        <v>0.309</v>
      </c>
      <c r="AK292" s="5">
        <v>0.34899999999999998</v>
      </c>
      <c r="AL292" s="5">
        <v>0.22500000000000001</v>
      </c>
      <c r="AM292" s="5">
        <v>0.28199999999999997</v>
      </c>
      <c r="AN292">
        <v>-0.3</v>
      </c>
      <c r="AO292">
        <v>5.51</v>
      </c>
      <c r="AP292">
        <v>7</v>
      </c>
      <c r="AQ292">
        <v>-9.11</v>
      </c>
      <c r="AR292">
        <v>2</v>
      </c>
      <c r="AS292" t="s">
        <v>1017</v>
      </c>
      <c r="AT292">
        <v>0.6</v>
      </c>
      <c r="AU292">
        <v>3.1</v>
      </c>
      <c r="AV292">
        <v>4</v>
      </c>
      <c r="AW292">
        <v>11</v>
      </c>
      <c r="AX292">
        <v>4</v>
      </c>
      <c r="AY292">
        <v>13</v>
      </c>
      <c r="AZ292" t="s">
        <v>3902</v>
      </c>
      <c r="BA292">
        <v>25</v>
      </c>
      <c r="BB292" t="s">
        <v>36</v>
      </c>
      <c r="BC292" t="s">
        <v>35</v>
      </c>
      <c r="BD292" s="4">
        <f>HYPERLINK("http://mlb.mlb.com/team/player.jsp?player_id=554054",554054)</f>
        <v>554054</v>
      </c>
      <c r="BE292">
        <v>0</v>
      </c>
      <c r="BF292">
        <v>0</v>
      </c>
      <c r="BG292">
        <v>0</v>
      </c>
      <c r="BH292">
        <v>0</v>
      </c>
    </row>
    <row r="293" spans="1:60" x14ac:dyDescent="0.3">
      <c r="A293" s="4">
        <f>HYPERLINK("http://legacy.baseballprospectus.com/p/70378",70378)</f>
        <v>70378</v>
      </c>
      <c r="B293" t="s">
        <v>1352</v>
      </c>
      <c r="C293" t="s">
        <v>388</v>
      </c>
      <c r="D293" s="10">
        <v>32456</v>
      </c>
      <c r="E293" t="s">
        <v>54</v>
      </c>
      <c r="F293" t="s">
        <v>33</v>
      </c>
      <c r="G293" t="s">
        <v>33</v>
      </c>
      <c r="H293">
        <v>75</v>
      </c>
      <c r="I293">
        <v>235</v>
      </c>
      <c r="J293">
        <v>2018</v>
      </c>
      <c r="K293" s="4" t="str">
        <f>HYPERLINK("http://legacy.baseballprospectus.com/fantasy/dc/index.php?tm=TBA","TBA")</f>
        <v>TBA</v>
      </c>
      <c r="L293" t="s">
        <v>95</v>
      </c>
      <c r="M293" t="s">
        <v>34</v>
      </c>
      <c r="N293">
        <v>29</v>
      </c>
      <c r="O293">
        <v>250</v>
      </c>
      <c r="P293" t="s">
        <v>1680</v>
      </c>
      <c r="Q293">
        <v>214</v>
      </c>
      <c r="R293">
        <v>28</v>
      </c>
      <c r="S293">
        <v>30</v>
      </c>
      <c r="T293">
        <v>9</v>
      </c>
      <c r="U293">
        <v>0</v>
      </c>
      <c r="V293">
        <v>8</v>
      </c>
      <c r="W293">
        <v>47</v>
      </c>
      <c r="X293">
        <v>80</v>
      </c>
      <c r="Y293">
        <v>28</v>
      </c>
      <c r="Z293">
        <v>30</v>
      </c>
      <c r="AA293">
        <v>1</v>
      </c>
      <c r="AB293">
        <v>3</v>
      </c>
      <c r="AC293">
        <v>68</v>
      </c>
      <c r="AD293">
        <v>2</v>
      </c>
      <c r="AE293">
        <v>1</v>
      </c>
      <c r="AF293">
        <v>6</v>
      </c>
      <c r="AG293">
        <v>0</v>
      </c>
      <c r="AH293">
        <v>0</v>
      </c>
      <c r="AI293" s="5">
        <v>0.22</v>
      </c>
      <c r="AJ293" s="5">
        <v>0.32300000000000001</v>
      </c>
      <c r="AK293" s="5">
        <v>0.372</v>
      </c>
      <c r="AL293" s="5">
        <v>0.247</v>
      </c>
      <c r="AM293" s="5">
        <v>0.27900000000000003</v>
      </c>
      <c r="AN293">
        <v>-1.1000000000000001</v>
      </c>
      <c r="AO293">
        <v>4.7</v>
      </c>
      <c r="AP293">
        <v>7</v>
      </c>
      <c r="AQ293">
        <v>-3.52</v>
      </c>
      <c r="AR293">
        <v>-1.5</v>
      </c>
      <c r="AS293" t="s">
        <v>60</v>
      </c>
      <c r="AT293">
        <v>0.6</v>
      </c>
      <c r="AU293">
        <v>7.1</v>
      </c>
      <c r="AV293">
        <v>5</v>
      </c>
      <c r="AW293">
        <v>22</v>
      </c>
      <c r="AX293">
        <v>14</v>
      </c>
      <c r="AY293">
        <v>29</v>
      </c>
      <c r="AZ293" t="s">
        <v>3872</v>
      </c>
      <c r="BA293">
        <v>65</v>
      </c>
      <c r="BB293" t="s">
        <v>36</v>
      </c>
      <c r="BC293" t="s">
        <v>36</v>
      </c>
      <c r="BD293" s="4">
        <f>HYPERLINK("http://mlb.mlb.com/team/player.jsp?player_id=592200",592200)</f>
        <v>592200</v>
      </c>
      <c r="BE293">
        <v>0</v>
      </c>
      <c r="BF293">
        <v>0</v>
      </c>
      <c r="BG293">
        <v>13</v>
      </c>
      <c r="BH293">
        <v>9</v>
      </c>
    </row>
    <row r="294" spans="1:60" x14ac:dyDescent="0.3">
      <c r="A294" s="4">
        <f>HYPERLINK("http://legacy.baseballprospectus.com/p/70643",70643)</f>
        <v>70643</v>
      </c>
      <c r="B294" t="s">
        <v>2880</v>
      </c>
      <c r="C294" t="s">
        <v>3903</v>
      </c>
      <c r="D294" s="10">
        <v>33492</v>
      </c>
      <c r="E294" t="s">
        <v>58</v>
      </c>
      <c r="F294" t="s">
        <v>9</v>
      </c>
      <c r="G294" t="s">
        <v>33</v>
      </c>
      <c r="H294">
        <v>74</v>
      </c>
      <c r="I294">
        <v>200</v>
      </c>
      <c r="J294">
        <v>2018</v>
      </c>
      <c r="K294" s="4" t="str">
        <f>HYPERLINK("http://legacy.baseballprospectus.com/fantasy/dc/index.php?tm=PIT","PIT")</f>
        <v>PIT</v>
      </c>
      <c r="L294" t="s">
        <v>100</v>
      </c>
      <c r="M294" t="s">
        <v>34</v>
      </c>
      <c r="N294">
        <v>26</v>
      </c>
      <c r="O294">
        <v>250</v>
      </c>
      <c r="P294" t="s">
        <v>1680</v>
      </c>
      <c r="Q294">
        <v>223</v>
      </c>
      <c r="R294">
        <v>26</v>
      </c>
      <c r="S294">
        <v>37</v>
      </c>
      <c r="T294">
        <v>11</v>
      </c>
      <c r="U294">
        <v>2</v>
      </c>
      <c r="V294">
        <v>6</v>
      </c>
      <c r="W294">
        <v>56</v>
      </c>
      <c r="X294">
        <v>89</v>
      </c>
      <c r="Y294">
        <v>28</v>
      </c>
      <c r="Z294">
        <v>22</v>
      </c>
      <c r="AA294">
        <v>1</v>
      </c>
      <c r="AB294">
        <v>2</v>
      </c>
      <c r="AC294">
        <v>55</v>
      </c>
      <c r="AD294">
        <v>2</v>
      </c>
      <c r="AE294">
        <v>1</v>
      </c>
      <c r="AF294">
        <v>6</v>
      </c>
      <c r="AG294">
        <v>2</v>
      </c>
      <c r="AH294">
        <v>1</v>
      </c>
      <c r="AI294" s="5">
        <v>0.249</v>
      </c>
      <c r="AJ294" s="5">
        <v>0.32</v>
      </c>
      <c r="AK294" s="5">
        <v>0.39100000000000001</v>
      </c>
      <c r="AL294" s="5">
        <v>0.24199999999999999</v>
      </c>
      <c r="AM294" s="5">
        <v>0.3</v>
      </c>
      <c r="AN294">
        <v>-0.1</v>
      </c>
      <c r="AO294">
        <v>2.21</v>
      </c>
      <c r="AP294">
        <v>7</v>
      </c>
      <c r="AQ294">
        <v>-4.7</v>
      </c>
      <c r="AR294">
        <v>1.5</v>
      </c>
      <c r="AS294" t="s">
        <v>3904</v>
      </c>
      <c r="AT294">
        <v>0.6</v>
      </c>
      <c r="AU294">
        <v>4.4000000000000004</v>
      </c>
      <c r="AV294">
        <v>5</v>
      </c>
      <c r="AW294">
        <v>21</v>
      </c>
      <c r="AX294">
        <v>9</v>
      </c>
      <c r="AY294">
        <v>27</v>
      </c>
      <c r="AZ294" t="s">
        <v>3905</v>
      </c>
      <c r="BA294">
        <v>33</v>
      </c>
      <c r="BB294" t="s">
        <v>36</v>
      </c>
      <c r="BC294" t="s">
        <v>35</v>
      </c>
      <c r="BD294" s="4">
        <f>HYPERLINK("http://mlb.mlb.com/team/player.jsp?player_id=608382",608382)</f>
        <v>608382</v>
      </c>
      <c r="BE294">
        <v>0</v>
      </c>
      <c r="BF294">
        <v>0</v>
      </c>
      <c r="BG294">
        <v>0</v>
      </c>
      <c r="BH294">
        <v>0</v>
      </c>
    </row>
    <row r="295" spans="1:60" x14ac:dyDescent="0.3">
      <c r="A295" s="4">
        <f>HYPERLINK("http://legacy.baseballprospectus.com/p/101165",101165)</f>
        <v>101165</v>
      </c>
      <c r="B295" t="s">
        <v>867</v>
      </c>
      <c r="C295" t="s">
        <v>111</v>
      </c>
      <c r="D295" s="10">
        <v>34873</v>
      </c>
      <c r="E295" t="s">
        <v>53</v>
      </c>
      <c r="F295" t="s">
        <v>33</v>
      </c>
      <c r="G295" t="s">
        <v>33</v>
      </c>
      <c r="H295">
        <v>72</v>
      </c>
      <c r="I295">
        <v>190</v>
      </c>
      <c r="J295">
        <v>2018</v>
      </c>
      <c r="K295" s="4" t="str">
        <f>HYPERLINK("http://legacy.baseballprospectus.com/fantasy/dc/index.php?tm=OAK","OAK")</f>
        <v>OAK</v>
      </c>
      <c r="L295" t="s">
        <v>95</v>
      </c>
      <c r="M295" t="s">
        <v>34</v>
      </c>
      <c r="N295">
        <v>23</v>
      </c>
      <c r="O295">
        <v>250</v>
      </c>
      <c r="P295" t="s">
        <v>1680</v>
      </c>
      <c r="Q295">
        <v>230</v>
      </c>
      <c r="R295">
        <v>36</v>
      </c>
      <c r="S295">
        <v>31</v>
      </c>
      <c r="T295">
        <v>10</v>
      </c>
      <c r="U295">
        <v>4</v>
      </c>
      <c r="V295">
        <v>7</v>
      </c>
      <c r="W295">
        <v>52</v>
      </c>
      <c r="X295">
        <v>91</v>
      </c>
      <c r="Y295">
        <v>24</v>
      </c>
      <c r="Z295">
        <v>15</v>
      </c>
      <c r="AA295">
        <v>1</v>
      </c>
      <c r="AB295">
        <v>1</v>
      </c>
      <c r="AC295">
        <v>71</v>
      </c>
      <c r="AD295">
        <v>2</v>
      </c>
      <c r="AE295">
        <v>1</v>
      </c>
      <c r="AF295">
        <v>5</v>
      </c>
      <c r="AG295">
        <v>16</v>
      </c>
      <c r="AH295">
        <v>5</v>
      </c>
      <c r="AI295" s="5">
        <v>0.23</v>
      </c>
      <c r="AJ295" s="5">
        <v>0.28100000000000003</v>
      </c>
      <c r="AK295" s="5">
        <v>0.40200000000000002</v>
      </c>
      <c r="AL295" s="5">
        <v>0.22500000000000001</v>
      </c>
      <c r="AM295" s="5">
        <v>0.29599999999999999</v>
      </c>
      <c r="AN295">
        <v>2.1</v>
      </c>
      <c r="AO295">
        <v>3.94</v>
      </c>
      <c r="AP295">
        <v>7</v>
      </c>
      <c r="AQ295">
        <v>-9.09</v>
      </c>
      <c r="AR295">
        <v>1.2</v>
      </c>
      <c r="AS295" t="s">
        <v>3907</v>
      </c>
      <c r="AT295">
        <v>0.6</v>
      </c>
      <c r="AU295">
        <v>3.9</v>
      </c>
      <c r="AV295">
        <v>18</v>
      </c>
      <c r="AW295">
        <v>37</v>
      </c>
      <c r="AX295">
        <v>5</v>
      </c>
      <c r="AY295">
        <v>20</v>
      </c>
      <c r="AZ295" t="s">
        <v>3908</v>
      </c>
      <c r="BA295">
        <v>45</v>
      </c>
      <c r="BB295" t="s">
        <v>36</v>
      </c>
      <c r="BC295" t="s">
        <v>35</v>
      </c>
      <c r="BD295" s="4">
        <f>HYPERLINK("http://mlb.mlb.com/team/player.jsp?player_id=622761",622761)</f>
        <v>622761</v>
      </c>
      <c r="BE295">
        <v>544</v>
      </c>
      <c r="BF295">
        <v>1544</v>
      </c>
      <c r="BG295">
        <v>0</v>
      </c>
      <c r="BH295">
        <v>0</v>
      </c>
    </row>
    <row r="296" spans="1:60" x14ac:dyDescent="0.3">
      <c r="A296" s="4">
        <f>HYPERLINK("http://legacy.baseballprospectus.com/p/102646",102646)</f>
        <v>102646</v>
      </c>
      <c r="B296" t="s">
        <v>3909</v>
      </c>
      <c r="C296" t="s">
        <v>159</v>
      </c>
      <c r="D296" s="10">
        <v>33799</v>
      </c>
      <c r="E296" t="s">
        <v>58</v>
      </c>
      <c r="F296" t="s">
        <v>33</v>
      </c>
      <c r="G296" t="s">
        <v>33</v>
      </c>
      <c r="H296">
        <v>73</v>
      </c>
      <c r="I296">
        <v>200</v>
      </c>
      <c r="J296">
        <v>2018</v>
      </c>
      <c r="K296" s="4" t="str">
        <f>HYPERLINK("http://legacy.baseballprospectus.com/fantasy/dc/index.php?tm=LAN","LAN")</f>
        <v>LAN</v>
      </c>
      <c r="L296" t="s">
        <v>100</v>
      </c>
      <c r="M296" t="s">
        <v>34</v>
      </c>
      <c r="N296">
        <v>25</v>
      </c>
      <c r="O296">
        <v>250</v>
      </c>
      <c r="P296" t="s">
        <v>1680</v>
      </c>
      <c r="Q296">
        <v>224</v>
      </c>
      <c r="R296">
        <v>33</v>
      </c>
      <c r="S296">
        <v>37</v>
      </c>
      <c r="T296">
        <v>12</v>
      </c>
      <c r="U296">
        <v>1</v>
      </c>
      <c r="V296">
        <v>6</v>
      </c>
      <c r="W296">
        <v>56</v>
      </c>
      <c r="X296">
        <v>88</v>
      </c>
      <c r="Y296">
        <v>23</v>
      </c>
      <c r="Z296">
        <v>12</v>
      </c>
      <c r="AA296">
        <v>1</v>
      </c>
      <c r="AB296">
        <v>11</v>
      </c>
      <c r="AC296">
        <v>46</v>
      </c>
      <c r="AD296">
        <v>1</v>
      </c>
      <c r="AE296">
        <v>2</v>
      </c>
      <c r="AF296">
        <v>5</v>
      </c>
      <c r="AG296">
        <v>9</v>
      </c>
      <c r="AH296">
        <v>2</v>
      </c>
      <c r="AI296" s="5">
        <v>0.248</v>
      </c>
      <c r="AJ296" s="5">
        <v>0.316</v>
      </c>
      <c r="AK296" s="5">
        <v>0.38700000000000001</v>
      </c>
      <c r="AL296" s="5">
        <v>0.245</v>
      </c>
      <c r="AM296" s="5">
        <v>0.28399999999999997</v>
      </c>
      <c r="AN296">
        <v>0.8</v>
      </c>
      <c r="AO296">
        <v>3.36</v>
      </c>
      <c r="AP296">
        <v>7</v>
      </c>
      <c r="AQ296">
        <v>-4.03</v>
      </c>
      <c r="AR296">
        <v>-1.6</v>
      </c>
      <c r="AS296" t="s">
        <v>4855</v>
      </c>
      <c r="AT296">
        <v>0.6</v>
      </c>
      <c r="AU296">
        <v>7.1</v>
      </c>
      <c r="AV296">
        <v>4</v>
      </c>
      <c r="AW296">
        <v>29</v>
      </c>
      <c r="AX296">
        <v>10</v>
      </c>
      <c r="AY296">
        <v>30</v>
      </c>
      <c r="AZ296" t="s">
        <v>3910</v>
      </c>
      <c r="BA296">
        <v>49</v>
      </c>
      <c r="BB296" t="s">
        <v>36</v>
      </c>
      <c r="BC296" t="s">
        <v>35</v>
      </c>
      <c r="BD296" s="4">
        <f>HYPERLINK("http://mlb.mlb.com/team/player.jsp?player_id=641796",641796)</f>
        <v>641796</v>
      </c>
      <c r="BE296">
        <v>1474</v>
      </c>
      <c r="BF296">
        <v>474</v>
      </c>
      <c r="BG296">
        <v>1</v>
      </c>
      <c r="BH296">
        <v>1</v>
      </c>
    </row>
    <row r="297" spans="1:60" x14ac:dyDescent="0.3">
      <c r="A297" s="4">
        <f>HYPERLINK("http://legacy.baseballprospectus.com/p/102667",102667)</f>
        <v>102667</v>
      </c>
      <c r="B297" t="s">
        <v>1269</v>
      </c>
      <c r="C297" t="s">
        <v>213</v>
      </c>
      <c r="D297" s="10">
        <v>34569</v>
      </c>
      <c r="E297" t="s">
        <v>57</v>
      </c>
      <c r="F297" t="s">
        <v>9</v>
      </c>
      <c r="G297" t="s">
        <v>9</v>
      </c>
      <c r="H297">
        <v>73</v>
      </c>
      <c r="I297">
        <v>205</v>
      </c>
      <c r="J297">
        <v>2018</v>
      </c>
      <c r="K297" s="4" t="str">
        <f>HYPERLINK("http://legacy.baseballprospectus.com/fantasy/dc/index.php?tm=NYA","NYA")</f>
        <v>NYA</v>
      </c>
      <c r="L297" t="s">
        <v>95</v>
      </c>
      <c r="M297" t="s">
        <v>34</v>
      </c>
      <c r="N297">
        <v>23</v>
      </c>
      <c r="O297">
        <v>250</v>
      </c>
      <c r="P297" t="s">
        <v>1680</v>
      </c>
      <c r="Q297">
        <v>223</v>
      </c>
      <c r="R297">
        <v>27</v>
      </c>
      <c r="S297">
        <v>33</v>
      </c>
      <c r="T297">
        <v>12</v>
      </c>
      <c r="U297">
        <v>1</v>
      </c>
      <c r="V297">
        <v>8</v>
      </c>
      <c r="W297">
        <v>54</v>
      </c>
      <c r="X297">
        <v>92</v>
      </c>
      <c r="Y297">
        <v>32</v>
      </c>
      <c r="Z297">
        <v>22</v>
      </c>
      <c r="AA297">
        <v>1</v>
      </c>
      <c r="AB297">
        <v>2</v>
      </c>
      <c r="AC297">
        <v>59</v>
      </c>
      <c r="AD297">
        <v>1</v>
      </c>
      <c r="AE297">
        <v>2</v>
      </c>
      <c r="AF297">
        <v>6</v>
      </c>
      <c r="AG297">
        <v>0</v>
      </c>
      <c r="AH297">
        <v>0</v>
      </c>
      <c r="AI297" s="5">
        <v>0.246</v>
      </c>
      <c r="AJ297" s="5">
        <v>0.317</v>
      </c>
      <c r="AK297" s="5">
        <v>0.42199999999999999</v>
      </c>
      <c r="AL297" s="5">
        <v>0.249</v>
      </c>
      <c r="AM297" s="5">
        <v>0.29399999999999998</v>
      </c>
      <c r="AN297">
        <v>-0.4</v>
      </c>
      <c r="AO297">
        <v>0.26</v>
      </c>
      <c r="AP297">
        <v>7</v>
      </c>
      <c r="AQ297">
        <v>-2.96</v>
      </c>
      <c r="AR297">
        <v>1.4</v>
      </c>
      <c r="AS297" t="s">
        <v>1845</v>
      </c>
      <c r="AT297">
        <v>0.6</v>
      </c>
      <c r="AU297">
        <v>3.9</v>
      </c>
      <c r="AV297">
        <v>1</v>
      </c>
      <c r="AW297">
        <v>14</v>
      </c>
      <c r="AX297">
        <v>7</v>
      </c>
      <c r="AY297">
        <v>10</v>
      </c>
      <c r="AZ297" t="s">
        <v>3911</v>
      </c>
      <c r="BA297">
        <v>24</v>
      </c>
      <c r="BB297" t="s">
        <v>36</v>
      </c>
      <c r="BC297" t="s">
        <v>35</v>
      </c>
      <c r="BD297" s="4">
        <f>HYPERLINK("http://mlb.mlb.com/team/player.jsp?player_id=641856",641856)</f>
        <v>641856</v>
      </c>
      <c r="BE297">
        <v>662</v>
      </c>
      <c r="BF297">
        <v>1662</v>
      </c>
      <c r="BG297">
        <v>0</v>
      </c>
      <c r="BH297">
        <v>0</v>
      </c>
    </row>
    <row r="298" spans="1:60" x14ac:dyDescent="0.3">
      <c r="A298" s="4">
        <f>HYPERLINK("http://legacy.baseballprospectus.com/p/103420",103420)</f>
        <v>103420</v>
      </c>
      <c r="B298" t="s">
        <v>3912</v>
      </c>
      <c r="C298" t="s">
        <v>3913</v>
      </c>
      <c r="D298" s="10">
        <v>34781</v>
      </c>
      <c r="E298" t="s">
        <v>51</v>
      </c>
      <c r="F298" t="s">
        <v>33</v>
      </c>
      <c r="G298" t="s">
        <v>33</v>
      </c>
      <c r="H298">
        <v>70</v>
      </c>
      <c r="I298">
        <v>176</v>
      </c>
      <c r="J298">
        <v>2018</v>
      </c>
      <c r="K298" s="4" t="str">
        <f>HYPERLINK("http://legacy.baseballprospectus.com/fantasy/dc/index.php?tm=TEX","TEX")</f>
        <v>TEX</v>
      </c>
      <c r="L298" t="s">
        <v>95</v>
      </c>
      <c r="M298" t="s">
        <v>34</v>
      </c>
      <c r="N298">
        <v>23</v>
      </c>
      <c r="O298">
        <v>250</v>
      </c>
      <c r="P298" t="s">
        <v>1680</v>
      </c>
      <c r="Q298">
        <v>224</v>
      </c>
      <c r="R298">
        <v>29</v>
      </c>
      <c r="S298">
        <v>43</v>
      </c>
      <c r="T298">
        <v>10</v>
      </c>
      <c r="U298">
        <v>1</v>
      </c>
      <c r="V298">
        <v>4</v>
      </c>
      <c r="W298">
        <v>58</v>
      </c>
      <c r="X298">
        <v>82</v>
      </c>
      <c r="Y298">
        <v>22</v>
      </c>
      <c r="Z298">
        <v>19</v>
      </c>
      <c r="AA298">
        <v>1</v>
      </c>
      <c r="AB298">
        <v>5</v>
      </c>
      <c r="AC298">
        <v>42</v>
      </c>
      <c r="AD298">
        <v>1</v>
      </c>
      <c r="AE298">
        <v>1</v>
      </c>
      <c r="AF298">
        <v>6</v>
      </c>
      <c r="AG298">
        <v>3</v>
      </c>
      <c r="AH298">
        <v>1</v>
      </c>
      <c r="AI298" s="5">
        <v>0.25900000000000001</v>
      </c>
      <c r="AJ298" s="5">
        <v>0.32900000000000001</v>
      </c>
      <c r="AK298" s="5">
        <v>0.37</v>
      </c>
      <c r="AL298" s="5">
        <v>0.23699999999999999</v>
      </c>
      <c r="AM298" s="5">
        <v>0.29799999999999999</v>
      </c>
      <c r="AN298">
        <v>-0.3</v>
      </c>
      <c r="AO298">
        <v>3.26</v>
      </c>
      <c r="AP298">
        <v>7</v>
      </c>
      <c r="AQ298">
        <v>-5.92</v>
      </c>
      <c r="AR298">
        <v>1.5</v>
      </c>
      <c r="AS298" t="s">
        <v>3914</v>
      </c>
      <c r="AT298">
        <v>0.6</v>
      </c>
      <c r="AU298">
        <v>4.0999999999999996</v>
      </c>
      <c r="AV298">
        <v>1</v>
      </c>
      <c r="AW298">
        <v>15</v>
      </c>
      <c r="AX298">
        <v>2</v>
      </c>
      <c r="AY298">
        <v>9</v>
      </c>
      <c r="AZ298" t="s">
        <v>3915</v>
      </c>
      <c r="BA298">
        <v>25</v>
      </c>
      <c r="BB298" t="s">
        <v>36</v>
      </c>
      <c r="BC298" t="s">
        <v>35</v>
      </c>
      <c r="BD298" s="4">
        <f>HYPERLINK("http://mlb.mlb.com/team/player.jsp?player_id=643396",643396)</f>
        <v>643396</v>
      </c>
      <c r="BE298">
        <v>0</v>
      </c>
      <c r="BF298">
        <v>0</v>
      </c>
      <c r="BG298">
        <v>0</v>
      </c>
      <c r="BH298">
        <v>0</v>
      </c>
    </row>
    <row r="299" spans="1:60" x14ac:dyDescent="0.3">
      <c r="A299" s="4">
        <f>HYPERLINK("http://legacy.baseballprospectus.com/p/103749",103749)</f>
        <v>103749</v>
      </c>
      <c r="B299" t="s">
        <v>192</v>
      </c>
      <c r="C299" t="s">
        <v>344</v>
      </c>
      <c r="D299" s="10">
        <v>34064</v>
      </c>
      <c r="E299" t="s">
        <v>58</v>
      </c>
      <c r="F299" t="s">
        <v>9</v>
      </c>
      <c r="G299" t="s">
        <v>33</v>
      </c>
      <c r="H299">
        <v>73</v>
      </c>
      <c r="I299">
        <v>185</v>
      </c>
      <c r="J299">
        <v>2018</v>
      </c>
      <c r="K299" s="4" t="str">
        <f>HYPERLINK("http://legacy.baseballprospectus.com/fantasy/dc/index.php?tm=LAN","LAN")</f>
        <v>LAN</v>
      </c>
      <c r="L299" t="s">
        <v>95</v>
      </c>
      <c r="M299" t="s">
        <v>34</v>
      </c>
      <c r="N299">
        <v>25</v>
      </c>
      <c r="O299">
        <v>250</v>
      </c>
      <c r="P299" t="s">
        <v>1680</v>
      </c>
      <c r="Q299">
        <v>225</v>
      </c>
      <c r="R299">
        <v>31</v>
      </c>
      <c r="S299">
        <v>37</v>
      </c>
      <c r="T299">
        <v>10</v>
      </c>
      <c r="U299">
        <v>1</v>
      </c>
      <c r="V299">
        <v>7</v>
      </c>
      <c r="W299">
        <v>55</v>
      </c>
      <c r="X299">
        <v>88</v>
      </c>
      <c r="Y299">
        <v>26</v>
      </c>
      <c r="Z299">
        <v>20</v>
      </c>
      <c r="AA299">
        <v>1</v>
      </c>
      <c r="AB299">
        <v>2</v>
      </c>
      <c r="AC299">
        <v>62</v>
      </c>
      <c r="AD299">
        <v>1</v>
      </c>
      <c r="AE299">
        <v>1</v>
      </c>
      <c r="AF299">
        <v>5</v>
      </c>
      <c r="AG299">
        <v>3</v>
      </c>
      <c r="AH299">
        <v>1</v>
      </c>
      <c r="AI299" s="5">
        <v>0.246</v>
      </c>
      <c r="AJ299" s="5">
        <v>0.314</v>
      </c>
      <c r="AK299" s="5">
        <v>0.39200000000000002</v>
      </c>
      <c r="AL299" s="5">
        <v>0.23899999999999999</v>
      </c>
      <c r="AM299" s="5">
        <v>0.30499999999999999</v>
      </c>
      <c r="AN299">
        <v>-0.1</v>
      </c>
      <c r="AO299">
        <v>2.97</v>
      </c>
      <c r="AP299">
        <v>7</v>
      </c>
      <c r="AQ299">
        <v>-5.39</v>
      </c>
      <c r="AR299">
        <v>1</v>
      </c>
      <c r="AS299" t="s">
        <v>3916</v>
      </c>
      <c r="AT299">
        <v>0.6</v>
      </c>
      <c r="AU299">
        <v>4.5</v>
      </c>
      <c r="AV299">
        <v>1</v>
      </c>
      <c r="AW299">
        <v>8</v>
      </c>
      <c r="AX299">
        <v>6</v>
      </c>
      <c r="AY299">
        <v>15</v>
      </c>
      <c r="AZ299" t="s">
        <v>3917</v>
      </c>
      <c r="BA299">
        <v>30</v>
      </c>
      <c r="BB299" t="s">
        <v>36</v>
      </c>
      <c r="BC299" t="s">
        <v>35</v>
      </c>
      <c r="BD299" s="4">
        <f>HYPERLINK("http://mlb.mlb.com/team/player.jsp?player_id=656846",656846)</f>
        <v>656846</v>
      </c>
      <c r="BE299">
        <v>0</v>
      </c>
      <c r="BF299">
        <v>0</v>
      </c>
      <c r="BG299">
        <v>0</v>
      </c>
      <c r="BH299">
        <v>0</v>
      </c>
    </row>
    <row r="300" spans="1:60" x14ac:dyDescent="0.3">
      <c r="A300" s="4">
        <f>HYPERLINK("http://legacy.baseballprospectus.com/p/106121",106121)</f>
        <v>106121</v>
      </c>
      <c r="B300" t="s">
        <v>1758</v>
      </c>
      <c r="C300" t="s">
        <v>1759</v>
      </c>
      <c r="D300" s="10">
        <v>35458</v>
      </c>
      <c r="E300" t="s">
        <v>51</v>
      </c>
      <c r="F300" t="s">
        <v>33</v>
      </c>
      <c r="G300" t="s">
        <v>33</v>
      </c>
      <c r="H300">
        <v>73</v>
      </c>
      <c r="I300">
        <v>210</v>
      </c>
      <c r="J300">
        <v>2018</v>
      </c>
      <c r="K300" s="4" t="str">
        <f>HYPERLINK("http://legacy.baseballprospectus.com/fantasy/dc/index.php?tm=PIT","PIT")</f>
        <v>PIT</v>
      </c>
      <c r="L300" t="s">
        <v>100</v>
      </c>
      <c r="M300" t="s">
        <v>34</v>
      </c>
      <c r="N300">
        <v>21</v>
      </c>
      <c r="O300">
        <v>250</v>
      </c>
      <c r="P300" t="s">
        <v>1680</v>
      </c>
      <c r="Q300">
        <v>226</v>
      </c>
      <c r="R300">
        <v>26</v>
      </c>
      <c r="S300">
        <v>38</v>
      </c>
      <c r="T300">
        <v>10</v>
      </c>
      <c r="U300">
        <v>1</v>
      </c>
      <c r="V300">
        <v>5</v>
      </c>
      <c r="W300">
        <v>54</v>
      </c>
      <c r="X300">
        <v>81</v>
      </c>
      <c r="Y300">
        <v>26</v>
      </c>
      <c r="Z300">
        <v>17</v>
      </c>
      <c r="AA300">
        <v>1</v>
      </c>
      <c r="AB300">
        <v>2</v>
      </c>
      <c r="AC300">
        <v>56</v>
      </c>
      <c r="AD300">
        <v>3</v>
      </c>
      <c r="AE300">
        <v>2</v>
      </c>
      <c r="AF300">
        <v>7</v>
      </c>
      <c r="AG300">
        <v>6</v>
      </c>
      <c r="AH300">
        <v>2</v>
      </c>
      <c r="AI300" s="5">
        <v>0.24199999999999999</v>
      </c>
      <c r="AJ300" s="5">
        <v>0.29899999999999999</v>
      </c>
      <c r="AK300" s="5">
        <v>0.36899999999999999</v>
      </c>
      <c r="AL300" s="5">
        <v>0.22700000000000001</v>
      </c>
      <c r="AM300" s="5">
        <v>0.28999999999999998</v>
      </c>
      <c r="AN300">
        <v>0.4</v>
      </c>
      <c r="AO300">
        <v>1.59</v>
      </c>
      <c r="AP300">
        <v>7</v>
      </c>
      <c r="AQ300">
        <v>-8.7899999999999991</v>
      </c>
      <c r="AR300">
        <v>5.5</v>
      </c>
      <c r="AS300" t="s">
        <v>2172</v>
      </c>
      <c r="AT300">
        <v>0.6</v>
      </c>
      <c r="AU300">
        <v>0.2</v>
      </c>
      <c r="AV300">
        <v>2</v>
      </c>
      <c r="AW300">
        <v>5</v>
      </c>
      <c r="AX300">
        <v>0</v>
      </c>
      <c r="AY300">
        <v>7</v>
      </c>
      <c r="AZ300" t="s">
        <v>3918</v>
      </c>
      <c r="BA300">
        <v>11</v>
      </c>
      <c r="BB300" t="s">
        <v>36</v>
      </c>
      <c r="BC300" t="s">
        <v>35</v>
      </c>
      <c r="BD300" s="4">
        <f>HYPERLINK("http://mlb.mlb.com/team/player.jsp?player_id=663647",663647)</f>
        <v>663647</v>
      </c>
      <c r="BE300">
        <v>1515</v>
      </c>
      <c r="BF300">
        <v>515</v>
      </c>
      <c r="BG300">
        <v>0</v>
      </c>
      <c r="BH300">
        <v>0</v>
      </c>
    </row>
    <row r="301" spans="1:60" x14ac:dyDescent="0.3">
      <c r="A301" s="4">
        <f>HYPERLINK("http://legacy.baseballprospectus.com/p/55752",55752)</f>
        <v>55752</v>
      </c>
      <c r="B301" t="s">
        <v>267</v>
      </c>
      <c r="C301" t="s">
        <v>266</v>
      </c>
      <c r="D301" s="10">
        <v>31271</v>
      </c>
      <c r="E301" t="s">
        <v>51</v>
      </c>
      <c r="F301" t="s">
        <v>33</v>
      </c>
      <c r="G301" t="s">
        <v>33</v>
      </c>
      <c r="H301">
        <v>72</v>
      </c>
      <c r="I301">
        <v>204</v>
      </c>
      <c r="J301">
        <v>2018</v>
      </c>
      <c r="K301" s="4" t="str">
        <f>HYPERLINK("http://legacy.baseballprospectus.com/fantasy/dc/index.php?tm=ANA","ANA")</f>
        <v>ANA</v>
      </c>
      <c r="L301" t="s">
        <v>95</v>
      </c>
      <c r="M301" t="s">
        <v>34</v>
      </c>
      <c r="N301">
        <v>32</v>
      </c>
      <c r="O301">
        <v>548</v>
      </c>
      <c r="P301">
        <v>136</v>
      </c>
      <c r="Q301">
        <v>501</v>
      </c>
      <c r="R301">
        <v>59</v>
      </c>
      <c r="S301">
        <v>83</v>
      </c>
      <c r="T301">
        <v>23</v>
      </c>
      <c r="U301">
        <v>3</v>
      </c>
      <c r="V301">
        <v>14</v>
      </c>
      <c r="W301">
        <v>123</v>
      </c>
      <c r="X301">
        <v>194</v>
      </c>
      <c r="Y301">
        <v>59</v>
      </c>
      <c r="Z301">
        <v>35</v>
      </c>
      <c r="AA301">
        <v>2</v>
      </c>
      <c r="AB301">
        <v>4</v>
      </c>
      <c r="AC301">
        <v>85</v>
      </c>
      <c r="AD301">
        <v>4</v>
      </c>
      <c r="AE301">
        <v>4</v>
      </c>
      <c r="AF301">
        <v>15</v>
      </c>
      <c r="AG301">
        <v>4</v>
      </c>
      <c r="AH301">
        <v>1</v>
      </c>
      <c r="AI301" s="5">
        <v>0.246</v>
      </c>
      <c r="AJ301" s="5">
        <v>0.29799999999999999</v>
      </c>
      <c r="AK301" s="5">
        <v>0.38700000000000001</v>
      </c>
      <c r="AL301" s="5">
        <v>0.24399999999999999</v>
      </c>
      <c r="AM301" s="5">
        <v>0.26700000000000002</v>
      </c>
      <c r="AN301">
        <v>-0.1</v>
      </c>
      <c r="AO301">
        <v>0.87</v>
      </c>
      <c r="AP301">
        <v>14.71</v>
      </c>
      <c r="AQ301">
        <v>-9.18</v>
      </c>
      <c r="AR301">
        <v>-0.6</v>
      </c>
      <c r="AS301" t="s">
        <v>4980</v>
      </c>
      <c r="AT301">
        <v>0.6</v>
      </c>
      <c r="AU301">
        <v>6.3</v>
      </c>
      <c r="AV301">
        <v>1</v>
      </c>
      <c r="AW301">
        <v>29</v>
      </c>
      <c r="AX301">
        <v>14</v>
      </c>
      <c r="AY301">
        <v>14</v>
      </c>
      <c r="AZ301" t="s">
        <v>4044</v>
      </c>
      <c r="BA301">
        <v>97</v>
      </c>
      <c r="BB301" t="s">
        <v>35</v>
      </c>
      <c r="BC301" t="s">
        <v>36</v>
      </c>
      <c r="BD301" s="4">
        <f>HYPERLINK("http://mlb.mlb.com/team/player.jsp?player_id=446359",446359)</f>
        <v>446359</v>
      </c>
      <c r="BE301">
        <v>505</v>
      </c>
      <c r="BF301">
        <v>1505</v>
      </c>
      <c r="BG301">
        <v>507</v>
      </c>
      <c r="BH301">
        <v>438</v>
      </c>
    </row>
    <row r="302" spans="1:60" x14ac:dyDescent="0.3">
      <c r="A302" s="4">
        <f>HYPERLINK("http://legacy.baseballprospectus.com/p/60150",60150)</f>
        <v>60150</v>
      </c>
      <c r="B302" t="s">
        <v>101</v>
      </c>
      <c r="C302" t="s">
        <v>3941</v>
      </c>
      <c r="D302" s="10">
        <v>32825</v>
      </c>
      <c r="E302" t="s">
        <v>59</v>
      </c>
      <c r="F302" t="s">
        <v>33</v>
      </c>
      <c r="G302" t="s">
        <v>33</v>
      </c>
      <c r="H302">
        <v>75</v>
      </c>
      <c r="I302">
        <v>220</v>
      </c>
      <c r="J302">
        <v>2018</v>
      </c>
      <c r="K302" s="4" t="str">
        <f>HYPERLINK("http://legacy.baseballprospectus.com/fantasy/dc/index.php?tm=ATL","ATL")</f>
        <v>ATL</v>
      </c>
      <c r="L302" t="s">
        <v>100</v>
      </c>
      <c r="M302" t="s">
        <v>34</v>
      </c>
      <c r="N302">
        <v>28</v>
      </c>
      <c r="O302">
        <v>239</v>
      </c>
      <c r="P302">
        <v>102</v>
      </c>
      <c r="Q302">
        <v>217</v>
      </c>
      <c r="R302">
        <v>32</v>
      </c>
      <c r="S302">
        <v>34</v>
      </c>
      <c r="T302">
        <v>10</v>
      </c>
      <c r="U302">
        <v>1</v>
      </c>
      <c r="V302">
        <v>7</v>
      </c>
      <c r="W302">
        <v>52</v>
      </c>
      <c r="X302">
        <v>85</v>
      </c>
      <c r="Y302">
        <v>25</v>
      </c>
      <c r="Z302">
        <v>18</v>
      </c>
      <c r="AA302">
        <v>1</v>
      </c>
      <c r="AB302">
        <v>3</v>
      </c>
      <c r="AC302">
        <v>65</v>
      </c>
      <c r="AD302">
        <v>1</v>
      </c>
      <c r="AE302">
        <v>1</v>
      </c>
      <c r="AF302">
        <v>5</v>
      </c>
      <c r="AG302">
        <v>15</v>
      </c>
      <c r="AH302">
        <v>2</v>
      </c>
      <c r="AI302" s="5">
        <v>0.24</v>
      </c>
      <c r="AJ302" s="5">
        <v>0.30499999999999999</v>
      </c>
      <c r="AK302" s="5">
        <v>0.39200000000000002</v>
      </c>
      <c r="AL302" s="5">
        <v>0.246</v>
      </c>
      <c r="AM302" s="5">
        <v>0.311</v>
      </c>
      <c r="AN302">
        <v>2.2999999999999998</v>
      </c>
      <c r="AO302">
        <v>-0.82</v>
      </c>
      <c r="AP302">
        <v>6.42</v>
      </c>
      <c r="AQ302">
        <v>-3.53</v>
      </c>
      <c r="AR302">
        <v>1.9</v>
      </c>
      <c r="AS302" t="s">
        <v>2207</v>
      </c>
      <c r="AT302">
        <v>0.6</v>
      </c>
      <c r="AU302">
        <v>4.4000000000000004</v>
      </c>
      <c r="AV302">
        <v>2</v>
      </c>
      <c r="AW302">
        <v>10</v>
      </c>
      <c r="AX302">
        <v>18</v>
      </c>
      <c r="AY302">
        <v>33</v>
      </c>
      <c r="AZ302" t="s">
        <v>3942</v>
      </c>
      <c r="BA302">
        <v>42</v>
      </c>
      <c r="BB302" t="s">
        <v>35</v>
      </c>
      <c r="BC302" t="s">
        <v>35</v>
      </c>
      <c r="BD302" s="4">
        <f>HYPERLINK("http://mlb.mlb.com/team/player.jsp?player_id=572669",572669)</f>
        <v>572669</v>
      </c>
      <c r="BE302">
        <v>1626</v>
      </c>
      <c r="BF302">
        <v>626</v>
      </c>
      <c r="BG302">
        <v>122</v>
      </c>
      <c r="BH302">
        <v>109</v>
      </c>
    </row>
    <row r="303" spans="1:60" x14ac:dyDescent="0.3">
      <c r="A303" s="4">
        <f>HYPERLINK("http://legacy.baseballprospectus.com/p/47678",47678)</f>
        <v>47678</v>
      </c>
      <c r="B303" t="s">
        <v>380</v>
      </c>
      <c r="C303" t="s">
        <v>165</v>
      </c>
      <c r="D303" s="10">
        <v>31337</v>
      </c>
      <c r="E303" t="s">
        <v>57</v>
      </c>
      <c r="F303" t="s">
        <v>9</v>
      </c>
      <c r="G303" t="s">
        <v>9</v>
      </c>
      <c r="H303">
        <v>73</v>
      </c>
      <c r="I303">
        <v>220</v>
      </c>
      <c r="J303">
        <v>2018</v>
      </c>
      <c r="K303" s="4" t="str">
        <f>HYPERLINK("http://legacy.baseballprospectus.com/fantasy/dc/index.php?tm=COL","COL")</f>
        <v>COL</v>
      </c>
      <c r="L303" t="s">
        <v>100</v>
      </c>
      <c r="M303" t="s">
        <v>34</v>
      </c>
      <c r="N303">
        <v>32</v>
      </c>
      <c r="O303">
        <v>414</v>
      </c>
      <c r="P303">
        <v>103</v>
      </c>
      <c r="Q303">
        <v>377</v>
      </c>
      <c r="R303">
        <v>52</v>
      </c>
      <c r="S303">
        <v>57</v>
      </c>
      <c r="T303">
        <v>21</v>
      </c>
      <c r="U303">
        <v>2</v>
      </c>
      <c r="V303">
        <v>18</v>
      </c>
      <c r="W303">
        <v>98</v>
      </c>
      <c r="X303">
        <v>177</v>
      </c>
      <c r="Y303">
        <v>60</v>
      </c>
      <c r="Z303">
        <v>34</v>
      </c>
      <c r="AA303">
        <v>2</v>
      </c>
      <c r="AB303">
        <v>1</v>
      </c>
      <c r="AC303">
        <v>97</v>
      </c>
      <c r="AD303">
        <v>0</v>
      </c>
      <c r="AE303">
        <v>2</v>
      </c>
      <c r="AF303">
        <v>9</v>
      </c>
      <c r="AG303">
        <v>2</v>
      </c>
      <c r="AH303">
        <v>0</v>
      </c>
      <c r="AI303" s="5">
        <v>0.26</v>
      </c>
      <c r="AJ303" s="5">
        <v>0.32100000000000001</v>
      </c>
      <c r="AK303" s="5">
        <v>0.46899999999999997</v>
      </c>
      <c r="AL303" s="5">
        <v>0.26</v>
      </c>
      <c r="AM303" s="5">
        <v>0.30299999999999999</v>
      </c>
      <c r="AN303">
        <v>-0.5</v>
      </c>
      <c r="AO303">
        <v>-1.48</v>
      </c>
      <c r="AP303">
        <v>11.11</v>
      </c>
      <c r="AQ303">
        <v>-0.16</v>
      </c>
      <c r="AR303">
        <v>-3</v>
      </c>
      <c r="AS303" t="s">
        <v>1826</v>
      </c>
      <c r="AT303">
        <v>0.6</v>
      </c>
      <c r="AU303">
        <v>9</v>
      </c>
      <c r="AV303">
        <v>1</v>
      </c>
      <c r="AW303">
        <v>37</v>
      </c>
      <c r="AX303">
        <v>6</v>
      </c>
      <c r="AY303">
        <v>13</v>
      </c>
      <c r="AZ303" t="s">
        <v>3746</v>
      </c>
      <c r="BA303">
        <v>95</v>
      </c>
      <c r="BB303" t="s">
        <v>35</v>
      </c>
      <c r="BC303" t="s">
        <v>36</v>
      </c>
      <c r="BD303" s="4">
        <f>HYPERLINK("http://mlb.mlb.com/team/player.jsp?player_id=471865",471865)</f>
        <v>471865</v>
      </c>
      <c r="BE303">
        <v>1723</v>
      </c>
      <c r="BF303">
        <v>723</v>
      </c>
      <c r="BG303">
        <v>534</v>
      </c>
      <c r="BH303">
        <v>470</v>
      </c>
    </row>
    <row r="304" spans="1:60" x14ac:dyDescent="0.3">
      <c r="A304" s="4">
        <f>HYPERLINK("http://legacy.baseballprospectus.com/p/61044",61044)</f>
        <v>61044</v>
      </c>
      <c r="B304" t="s">
        <v>437</v>
      </c>
      <c r="C304" t="s">
        <v>119</v>
      </c>
      <c r="D304" s="10">
        <v>32878</v>
      </c>
      <c r="E304" t="s">
        <v>53</v>
      </c>
      <c r="F304" t="s">
        <v>33</v>
      </c>
      <c r="G304" t="s">
        <v>33</v>
      </c>
      <c r="H304">
        <v>71</v>
      </c>
      <c r="I304">
        <v>185</v>
      </c>
      <c r="J304">
        <v>2018</v>
      </c>
      <c r="K304" s="4" t="str">
        <f>HYPERLINK("http://legacy.baseballprospectus.com/fantasy/dc/index.php?tm=DET","DET")</f>
        <v>DET</v>
      </c>
      <c r="L304" t="s">
        <v>95</v>
      </c>
      <c r="M304" t="s">
        <v>34</v>
      </c>
      <c r="N304">
        <v>28</v>
      </c>
      <c r="O304">
        <v>539</v>
      </c>
      <c r="P304">
        <v>148</v>
      </c>
      <c r="Q304">
        <v>497</v>
      </c>
      <c r="R304">
        <v>57</v>
      </c>
      <c r="S304">
        <v>102</v>
      </c>
      <c r="T304">
        <v>26</v>
      </c>
      <c r="U304">
        <v>3</v>
      </c>
      <c r="V304">
        <v>7</v>
      </c>
      <c r="W304">
        <v>138</v>
      </c>
      <c r="X304">
        <v>191</v>
      </c>
      <c r="Y304">
        <v>49</v>
      </c>
      <c r="Z304">
        <v>27</v>
      </c>
      <c r="AA304">
        <v>2</v>
      </c>
      <c r="AB304">
        <v>7</v>
      </c>
      <c r="AC304">
        <v>62</v>
      </c>
      <c r="AD304">
        <v>5</v>
      </c>
      <c r="AE304">
        <v>3</v>
      </c>
      <c r="AF304">
        <v>13</v>
      </c>
      <c r="AG304">
        <v>9</v>
      </c>
      <c r="AH304">
        <v>5</v>
      </c>
      <c r="AI304" s="5">
        <v>0.27800000000000002</v>
      </c>
      <c r="AJ304" s="5">
        <v>0.32200000000000001</v>
      </c>
      <c r="AK304" s="5">
        <v>0.38400000000000001</v>
      </c>
      <c r="AL304" s="5">
        <v>0.23899999999999999</v>
      </c>
      <c r="AM304" s="5">
        <v>0.29899999999999999</v>
      </c>
      <c r="AN304">
        <v>-0.7</v>
      </c>
      <c r="AO304">
        <v>3.71</v>
      </c>
      <c r="AP304">
        <v>14.47</v>
      </c>
      <c r="AQ304">
        <v>-11.82</v>
      </c>
      <c r="AR304">
        <v>0.8</v>
      </c>
      <c r="AS304" t="s">
        <v>75</v>
      </c>
      <c r="AT304">
        <v>0.6</v>
      </c>
      <c r="AU304">
        <v>5.7</v>
      </c>
      <c r="AV304">
        <v>1</v>
      </c>
      <c r="AW304">
        <v>38</v>
      </c>
      <c r="AX304">
        <v>9</v>
      </c>
      <c r="AY304">
        <v>12</v>
      </c>
      <c r="AZ304" t="s">
        <v>3842</v>
      </c>
      <c r="BA304">
        <v>96</v>
      </c>
      <c r="BB304" t="s">
        <v>35</v>
      </c>
      <c r="BC304" t="s">
        <v>36</v>
      </c>
      <c r="BD304" s="4">
        <f>HYPERLINK("http://mlb.mlb.com/team/player.jsp?player_id=578428",578428)</f>
        <v>578428</v>
      </c>
      <c r="BE304">
        <v>507</v>
      </c>
      <c r="BF304">
        <v>1507</v>
      </c>
      <c r="BG304">
        <v>489</v>
      </c>
      <c r="BH304">
        <v>463</v>
      </c>
    </row>
    <row r="305" spans="1:60" x14ac:dyDescent="0.3">
      <c r="A305" s="4">
        <f>HYPERLINK("http://legacy.baseballprospectus.com/p/65977",65977)</f>
        <v>65977</v>
      </c>
      <c r="B305" t="s">
        <v>1047</v>
      </c>
      <c r="C305" t="s">
        <v>1048</v>
      </c>
      <c r="D305" s="10">
        <v>32842</v>
      </c>
      <c r="E305" t="s">
        <v>59</v>
      </c>
      <c r="F305" t="s">
        <v>33</v>
      </c>
      <c r="G305" t="s">
        <v>33</v>
      </c>
      <c r="H305">
        <v>73</v>
      </c>
      <c r="I305">
        <v>200</v>
      </c>
      <c r="J305">
        <v>2018</v>
      </c>
      <c r="K305" s="4" t="str">
        <f>HYPERLINK("http://legacy.baseballprospectus.com/fantasy/dc/index.php?tm=DET","DET")</f>
        <v>DET</v>
      </c>
      <c r="L305" t="s">
        <v>95</v>
      </c>
      <c r="M305" t="s">
        <v>34</v>
      </c>
      <c r="N305">
        <v>28</v>
      </c>
      <c r="O305">
        <v>505</v>
      </c>
      <c r="P305">
        <v>151</v>
      </c>
      <c r="Q305">
        <v>465</v>
      </c>
      <c r="R305">
        <v>59</v>
      </c>
      <c r="S305">
        <v>75</v>
      </c>
      <c r="T305">
        <v>23</v>
      </c>
      <c r="U305">
        <v>5</v>
      </c>
      <c r="V305">
        <v>14</v>
      </c>
      <c r="W305">
        <v>117</v>
      </c>
      <c r="X305">
        <v>192</v>
      </c>
      <c r="Y305">
        <v>57</v>
      </c>
      <c r="Z305">
        <v>29</v>
      </c>
      <c r="AA305">
        <v>1</v>
      </c>
      <c r="AB305">
        <v>8</v>
      </c>
      <c r="AC305">
        <v>125</v>
      </c>
      <c r="AD305">
        <v>1</v>
      </c>
      <c r="AE305">
        <v>3</v>
      </c>
      <c r="AF305">
        <v>8</v>
      </c>
      <c r="AG305">
        <v>8</v>
      </c>
      <c r="AH305">
        <v>2</v>
      </c>
      <c r="AI305" s="5">
        <v>0.252</v>
      </c>
      <c r="AJ305" s="5">
        <v>0.30499999999999999</v>
      </c>
      <c r="AK305" s="5">
        <v>0.41299999999999998</v>
      </c>
      <c r="AL305" s="5">
        <v>0.247</v>
      </c>
      <c r="AM305" s="5">
        <v>0.314</v>
      </c>
      <c r="AN305">
        <v>0.7</v>
      </c>
      <c r="AO305">
        <v>-1.01</v>
      </c>
      <c r="AP305">
        <v>13.56</v>
      </c>
      <c r="AQ305">
        <v>-6.9</v>
      </c>
      <c r="AR305">
        <v>-0.7</v>
      </c>
      <c r="AS305" t="s">
        <v>4895</v>
      </c>
      <c r="AT305">
        <v>0.6</v>
      </c>
      <c r="AU305">
        <v>6.4</v>
      </c>
      <c r="AV305">
        <v>1</v>
      </c>
      <c r="AW305">
        <v>38</v>
      </c>
      <c r="AX305">
        <v>11</v>
      </c>
      <c r="AY305">
        <v>24</v>
      </c>
      <c r="AZ305" t="s">
        <v>3843</v>
      </c>
      <c r="BA305">
        <v>83</v>
      </c>
      <c r="BB305" t="s">
        <v>35</v>
      </c>
      <c r="BC305" t="s">
        <v>36</v>
      </c>
      <c r="BD305" s="4">
        <f>HYPERLINK("http://mlb.mlb.com/team/player.jsp?player_id=543484",543484)</f>
        <v>543484</v>
      </c>
      <c r="BE305">
        <v>592</v>
      </c>
      <c r="BF305">
        <v>1592</v>
      </c>
      <c r="BG305">
        <v>379</v>
      </c>
      <c r="BH305">
        <v>348</v>
      </c>
    </row>
    <row r="306" spans="1:60" x14ac:dyDescent="0.3">
      <c r="A306" s="4">
        <f>HYPERLINK("http://legacy.baseballprospectus.com/p/31759",31759)</f>
        <v>31759</v>
      </c>
      <c r="B306" t="s">
        <v>504</v>
      </c>
      <c r="C306" t="s">
        <v>169</v>
      </c>
      <c r="D306" s="10">
        <v>30425</v>
      </c>
      <c r="E306" t="s">
        <v>50</v>
      </c>
      <c r="F306" t="s">
        <v>9</v>
      </c>
      <c r="G306" t="s">
        <v>33</v>
      </c>
      <c r="H306">
        <v>77</v>
      </c>
      <c r="I306">
        <v>225</v>
      </c>
      <c r="J306">
        <v>2018</v>
      </c>
      <c r="K306" s="4" t="str">
        <f>HYPERLINK("http://legacy.baseballprospectus.com/fantasy/dc/index.php?tm=MIN","MIN")</f>
        <v>MIN</v>
      </c>
      <c r="L306" t="s">
        <v>95</v>
      </c>
      <c r="M306" t="s">
        <v>34</v>
      </c>
      <c r="N306">
        <v>35</v>
      </c>
      <c r="O306">
        <v>549</v>
      </c>
      <c r="P306">
        <v>129</v>
      </c>
      <c r="Q306">
        <v>482</v>
      </c>
      <c r="R306">
        <v>66</v>
      </c>
      <c r="S306">
        <v>95</v>
      </c>
      <c r="T306">
        <v>27</v>
      </c>
      <c r="U306">
        <v>2</v>
      </c>
      <c r="V306">
        <v>8</v>
      </c>
      <c r="W306">
        <v>132</v>
      </c>
      <c r="X306">
        <v>187</v>
      </c>
      <c r="Y306">
        <v>49</v>
      </c>
      <c r="Z306">
        <v>63</v>
      </c>
      <c r="AA306">
        <v>8</v>
      </c>
      <c r="AB306">
        <v>2</v>
      </c>
      <c r="AC306">
        <v>94</v>
      </c>
      <c r="AD306">
        <v>0</v>
      </c>
      <c r="AE306">
        <v>2</v>
      </c>
      <c r="AF306">
        <v>16</v>
      </c>
      <c r="AG306">
        <v>2</v>
      </c>
      <c r="AH306">
        <v>1</v>
      </c>
      <c r="AI306" s="5">
        <v>0.27400000000000002</v>
      </c>
      <c r="AJ306" s="5">
        <v>0.35899999999999999</v>
      </c>
      <c r="AK306" s="5">
        <v>0.38800000000000001</v>
      </c>
      <c r="AL306" s="5">
        <v>0.25800000000000001</v>
      </c>
      <c r="AM306" s="5">
        <v>0.32200000000000001</v>
      </c>
      <c r="AN306">
        <v>-0.8</v>
      </c>
      <c r="AO306">
        <v>-6.16</v>
      </c>
      <c r="AP306">
        <v>14.74</v>
      </c>
      <c r="AQ306">
        <v>-1.34</v>
      </c>
      <c r="AR306">
        <v>-0.3</v>
      </c>
      <c r="AS306" t="s">
        <v>1004</v>
      </c>
      <c r="AT306">
        <v>0.6</v>
      </c>
      <c r="AU306">
        <v>6.4</v>
      </c>
      <c r="AV306">
        <v>4</v>
      </c>
      <c r="AW306">
        <v>26</v>
      </c>
      <c r="AX306">
        <v>6</v>
      </c>
      <c r="AY306">
        <v>30</v>
      </c>
      <c r="AZ306" t="s">
        <v>4053</v>
      </c>
      <c r="BA306">
        <v>81</v>
      </c>
      <c r="BB306" t="s">
        <v>35</v>
      </c>
      <c r="BC306" t="s">
        <v>36</v>
      </c>
      <c r="BD306" s="4">
        <f>HYPERLINK("http://mlb.mlb.com/team/player.jsp?player_id=408045",408045)</f>
        <v>408045</v>
      </c>
      <c r="BE306">
        <v>407</v>
      </c>
      <c r="BF306">
        <v>1407</v>
      </c>
      <c r="BG306">
        <v>597</v>
      </c>
      <c r="BH306">
        <v>525</v>
      </c>
    </row>
    <row r="307" spans="1:60" x14ac:dyDescent="0.3">
      <c r="A307" s="4">
        <f>HYPERLINK("http://legacy.baseballprospectus.com/p/59584",59584)</f>
        <v>59584</v>
      </c>
      <c r="B307" t="s">
        <v>1402</v>
      </c>
      <c r="C307" t="s">
        <v>277</v>
      </c>
      <c r="D307" s="10">
        <v>33252</v>
      </c>
      <c r="E307" t="s">
        <v>57</v>
      </c>
      <c r="F307" t="s">
        <v>33</v>
      </c>
      <c r="G307" t="s">
        <v>33</v>
      </c>
      <c r="H307">
        <v>77</v>
      </c>
      <c r="I307">
        <v>215</v>
      </c>
      <c r="J307">
        <v>2018</v>
      </c>
      <c r="K307" s="4" t="str">
        <f>HYPERLINK("http://legacy.baseballprospectus.com/fantasy/dc/index.php?tm=PHI","PHI")</f>
        <v>PHI</v>
      </c>
      <c r="L307" t="s">
        <v>100</v>
      </c>
      <c r="M307" t="s">
        <v>34</v>
      </c>
      <c r="N307">
        <v>27</v>
      </c>
      <c r="O307">
        <v>365</v>
      </c>
      <c r="P307">
        <v>154</v>
      </c>
      <c r="Q307">
        <v>329</v>
      </c>
      <c r="R307">
        <v>44</v>
      </c>
      <c r="S307">
        <v>46</v>
      </c>
      <c r="T307">
        <v>17</v>
      </c>
      <c r="U307">
        <v>3</v>
      </c>
      <c r="V307">
        <v>12</v>
      </c>
      <c r="W307">
        <v>78</v>
      </c>
      <c r="X307">
        <v>137</v>
      </c>
      <c r="Y307">
        <v>45</v>
      </c>
      <c r="Z307">
        <v>28</v>
      </c>
      <c r="AA307">
        <v>2</v>
      </c>
      <c r="AB307">
        <v>6</v>
      </c>
      <c r="AC307">
        <v>96</v>
      </c>
      <c r="AD307">
        <v>1</v>
      </c>
      <c r="AE307">
        <v>2</v>
      </c>
      <c r="AF307">
        <v>11</v>
      </c>
      <c r="AG307">
        <v>7</v>
      </c>
      <c r="AH307">
        <v>3</v>
      </c>
      <c r="AI307" s="5">
        <v>0.23699999999999999</v>
      </c>
      <c r="AJ307" s="5">
        <v>0.307</v>
      </c>
      <c r="AK307" s="5">
        <v>0.41599999999999998</v>
      </c>
      <c r="AL307" s="5">
        <v>0.253</v>
      </c>
      <c r="AM307" s="5">
        <v>0.29499999999999998</v>
      </c>
      <c r="AN307">
        <v>0.3</v>
      </c>
      <c r="AO307">
        <v>-2.6</v>
      </c>
      <c r="AP307">
        <v>9.8000000000000007</v>
      </c>
      <c r="AQ307">
        <v>-2.76</v>
      </c>
      <c r="AR307">
        <v>1.6</v>
      </c>
      <c r="AS307" t="s">
        <v>1812</v>
      </c>
      <c r="AT307">
        <v>0.6</v>
      </c>
      <c r="AU307">
        <v>4.7</v>
      </c>
      <c r="AV307">
        <v>3</v>
      </c>
      <c r="AW307">
        <v>33</v>
      </c>
      <c r="AX307">
        <v>10</v>
      </c>
      <c r="AY307">
        <v>18</v>
      </c>
      <c r="AZ307" t="s">
        <v>3834</v>
      </c>
      <c r="BA307">
        <v>84</v>
      </c>
      <c r="BB307" t="s">
        <v>35</v>
      </c>
      <c r="BC307" t="s">
        <v>36</v>
      </c>
      <c r="BD307" s="4">
        <f>HYPERLINK("http://mlb.mlb.com/team/player.jsp?player_id=571437",571437)</f>
        <v>571437</v>
      </c>
      <c r="BE307">
        <v>1602</v>
      </c>
      <c r="BF307">
        <v>602</v>
      </c>
      <c r="BG307">
        <v>412</v>
      </c>
      <c r="BH307">
        <v>372</v>
      </c>
    </row>
    <row r="308" spans="1:60" x14ac:dyDescent="0.3">
      <c r="A308" s="4">
        <f>HYPERLINK("http://legacy.baseballprospectus.com/p/46626",46626)</f>
        <v>46626</v>
      </c>
      <c r="B308" t="s">
        <v>645</v>
      </c>
      <c r="C308" t="s">
        <v>646</v>
      </c>
      <c r="D308" s="10">
        <v>30739</v>
      </c>
      <c r="E308" t="s">
        <v>59</v>
      </c>
      <c r="F308" t="s">
        <v>9</v>
      </c>
      <c r="G308" t="s">
        <v>9</v>
      </c>
      <c r="H308">
        <v>72</v>
      </c>
      <c r="I308">
        <v>210</v>
      </c>
      <c r="J308">
        <v>2018</v>
      </c>
      <c r="K308" s="4" t="str">
        <f>HYPERLINK("http://legacy.baseballprospectus.com/fantasy/dc/index.php?tm=TBA","TBA")</f>
        <v>TBA</v>
      </c>
      <c r="L308" t="s">
        <v>95</v>
      </c>
      <c r="M308" t="s">
        <v>34</v>
      </c>
      <c r="N308">
        <v>34</v>
      </c>
      <c r="O308">
        <v>443</v>
      </c>
      <c r="P308">
        <v>101</v>
      </c>
      <c r="Q308">
        <v>401</v>
      </c>
      <c r="R308">
        <v>53</v>
      </c>
      <c r="S308">
        <v>75</v>
      </c>
      <c r="T308">
        <v>19</v>
      </c>
      <c r="U308">
        <v>3</v>
      </c>
      <c r="V308">
        <v>6</v>
      </c>
      <c r="W308">
        <v>103</v>
      </c>
      <c r="X308">
        <v>146</v>
      </c>
      <c r="Y308">
        <v>37</v>
      </c>
      <c r="Z308">
        <v>34</v>
      </c>
      <c r="AA308">
        <v>0</v>
      </c>
      <c r="AB308">
        <v>2</v>
      </c>
      <c r="AC308">
        <v>60</v>
      </c>
      <c r="AD308">
        <v>4</v>
      </c>
      <c r="AE308">
        <v>2</v>
      </c>
      <c r="AF308">
        <v>11</v>
      </c>
      <c r="AG308">
        <v>11</v>
      </c>
      <c r="AH308">
        <v>4</v>
      </c>
      <c r="AI308" s="5">
        <v>0.25700000000000001</v>
      </c>
      <c r="AJ308" s="5">
        <v>0.317</v>
      </c>
      <c r="AK308" s="5">
        <v>0.36399999999999999</v>
      </c>
      <c r="AL308" s="5">
        <v>0.251</v>
      </c>
      <c r="AM308" s="5">
        <v>0.28699999999999998</v>
      </c>
      <c r="AN308">
        <v>0.5</v>
      </c>
      <c r="AO308">
        <v>-1.41</v>
      </c>
      <c r="AP308">
        <v>11.89</v>
      </c>
      <c r="AQ308">
        <v>-3.98</v>
      </c>
      <c r="AR308">
        <v>-0.9</v>
      </c>
      <c r="AS308" t="s">
        <v>1014</v>
      </c>
      <c r="AT308">
        <v>0.6</v>
      </c>
      <c r="AU308">
        <v>7</v>
      </c>
      <c r="AV308">
        <v>1</v>
      </c>
      <c r="AW308">
        <v>32</v>
      </c>
      <c r="AX308">
        <v>7</v>
      </c>
      <c r="AY308">
        <v>17</v>
      </c>
      <c r="AZ308" t="s">
        <v>3930</v>
      </c>
      <c r="BA308">
        <v>87</v>
      </c>
      <c r="BB308" t="s">
        <v>35</v>
      </c>
      <c r="BC308" t="s">
        <v>36</v>
      </c>
      <c r="BD308" s="4">
        <f>HYPERLINK("http://mlb.mlb.com/team/player.jsp?player_id=452655",452655)</f>
        <v>452655</v>
      </c>
      <c r="BE308">
        <v>576</v>
      </c>
      <c r="BF308">
        <v>1576</v>
      </c>
      <c r="BG308">
        <v>542</v>
      </c>
      <c r="BH308">
        <v>497</v>
      </c>
    </row>
    <row r="309" spans="1:60" x14ac:dyDescent="0.3">
      <c r="A309" s="4">
        <f>HYPERLINK("http://legacy.baseballprospectus.com/p/51557",51557)</f>
        <v>51557</v>
      </c>
      <c r="B309" t="s">
        <v>1358</v>
      </c>
      <c r="C309" t="s">
        <v>1359</v>
      </c>
      <c r="D309" s="10">
        <v>31965</v>
      </c>
      <c r="E309" t="s">
        <v>58</v>
      </c>
      <c r="F309" t="s">
        <v>37</v>
      </c>
      <c r="G309" t="s">
        <v>33</v>
      </c>
      <c r="H309">
        <v>71</v>
      </c>
      <c r="I309">
        <v>205</v>
      </c>
      <c r="J309">
        <v>2018</v>
      </c>
      <c r="K309" s="4" t="str">
        <f>HYPERLINK("http://legacy.baseballprospectus.com/fantasy/dc/index.php?tm=TOR","TOR")</f>
        <v>TOR</v>
      </c>
      <c r="L309" t="s">
        <v>95</v>
      </c>
      <c r="M309" t="s">
        <v>34</v>
      </c>
      <c r="N309">
        <v>30</v>
      </c>
      <c r="O309">
        <v>329</v>
      </c>
      <c r="P309">
        <v>82</v>
      </c>
      <c r="Q309">
        <v>298</v>
      </c>
      <c r="R309">
        <v>41</v>
      </c>
      <c r="S309">
        <v>54</v>
      </c>
      <c r="T309">
        <v>16</v>
      </c>
      <c r="U309">
        <v>1</v>
      </c>
      <c r="V309">
        <v>9</v>
      </c>
      <c r="W309">
        <v>80</v>
      </c>
      <c r="X309">
        <v>125</v>
      </c>
      <c r="Y309">
        <v>35</v>
      </c>
      <c r="Z309">
        <v>25</v>
      </c>
      <c r="AA309">
        <v>1</v>
      </c>
      <c r="AB309">
        <v>3</v>
      </c>
      <c r="AC309">
        <v>38</v>
      </c>
      <c r="AD309">
        <v>1</v>
      </c>
      <c r="AE309">
        <v>2</v>
      </c>
      <c r="AF309">
        <v>10</v>
      </c>
      <c r="AG309">
        <v>1</v>
      </c>
      <c r="AH309">
        <v>0</v>
      </c>
      <c r="AI309" s="5">
        <v>0.26800000000000002</v>
      </c>
      <c r="AJ309" s="5">
        <v>0.32900000000000001</v>
      </c>
      <c r="AK309" s="5">
        <v>0.41899999999999998</v>
      </c>
      <c r="AL309" s="5">
        <v>0.26</v>
      </c>
      <c r="AM309" s="5">
        <v>0.28000000000000003</v>
      </c>
      <c r="AN309">
        <v>-0.5</v>
      </c>
      <c r="AO309">
        <v>1.59</v>
      </c>
      <c r="AP309">
        <v>8.83</v>
      </c>
      <c r="AQ309">
        <v>0.02</v>
      </c>
      <c r="AR309">
        <v>-4.0999999999999996</v>
      </c>
      <c r="AS309" t="s">
        <v>5029</v>
      </c>
      <c r="AT309">
        <v>0.6</v>
      </c>
      <c r="AU309">
        <v>9.9</v>
      </c>
      <c r="AV309">
        <v>1</v>
      </c>
      <c r="AW309">
        <v>30</v>
      </c>
      <c r="AX309">
        <v>3</v>
      </c>
      <c r="AY309">
        <v>7</v>
      </c>
      <c r="AZ309" t="s">
        <v>3715</v>
      </c>
      <c r="BA309">
        <v>97</v>
      </c>
      <c r="BB309" t="s">
        <v>35</v>
      </c>
      <c r="BC309" t="s">
        <v>36</v>
      </c>
      <c r="BD309" s="4">
        <f>HYPERLINK("http://mlb.mlb.com/team/player.jsp?player_id=500208",500208)</f>
        <v>500208</v>
      </c>
      <c r="BE309">
        <v>504</v>
      </c>
      <c r="BF309">
        <v>1504</v>
      </c>
      <c r="BG309">
        <v>512</v>
      </c>
      <c r="BH309">
        <v>466</v>
      </c>
    </row>
    <row r="310" spans="1:60" x14ac:dyDescent="0.3">
      <c r="A310" s="4">
        <f>HYPERLINK("http://legacy.baseballprospectus.com/p/103546",103546)</f>
        <v>103546</v>
      </c>
      <c r="B310" t="s">
        <v>982</v>
      </c>
      <c r="C310" t="s">
        <v>258</v>
      </c>
      <c r="D310" s="10">
        <v>33175</v>
      </c>
      <c r="E310" t="s">
        <v>1682</v>
      </c>
      <c r="F310" t="s">
        <v>33</v>
      </c>
      <c r="G310" t="s">
        <v>33</v>
      </c>
      <c r="H310">
        <v>71</v>
      </c>
      <c r="I310">
        <v>225</v>
      </c>
      <c r="J310">
        <v>2018</v>
      </c>
      <c r="K310" s="4" t="str">
        <f>HYPERLINK("http://legacy.baseballprospectus.com/fantasy/dc/index.php?tm=HOU","HOU")</f>
        <v>HOU</v>
      </c>
      <c r="L310" t="s">
        <v>95</v>
      </c>
      <c r="M310" t="s">
        <v>34</v>
      </c>
      <c r="N310">
        <v>27</v>
      </c>
      <c r="O310">
        <v>194</v>
      </c>
      <c r="P310">
        <v>57</v>
      </c>
      <c r="Q310">
        <v>171</v>
      </c>
      <c r="R310">
        <v>25</v>
      </c>
      <c r="S310">
        <v>26</v>
      </c>
      <c r="T310">
        <v>9</v>
      </c>
      <c r="U310">
        <v>0</v>
      </c>
      <c r="V310">
        <v>8</v>
      </c>
      <c r="W310">
        <v>43</v>
      </c>
      <c r="X310">
        <v>76</v>
      </c>
      <c r="Y310">
        <v>26</v>
      </c>
      <c r="Z310">
        <v>20</v>
      </c>
      <c r="AA310">
        <v>1</v>
      </c>
      <c r="AB310">
        <v>2</v>
      </c>
      <c r="AC310">
        <v>44</v>
      </c>
      <c r="AD310">
        <v>0</v>
      </c>
      <c r="AE310">
        <v>1</v>
      </c>
      <c r="AF310">
        <v>5</v>
      </c>
      <c r="AG310">
        <v>1</v>
      </c>
      <c r="AH310">
        <v>0</v>
      </c>
      <c r="AI310" s="5">
        <v>0.251</v>
      </c>
      <c r="AJ310" s="5">
        <v>0.33500000000000002</v>
      </c>
      <c r="AK310" s="5">
        <v>0.44400000000000001</v>
      </c>
      <c r="AL310" s="5">
        <v>0.27300000000000002</v>
      </c>
      <c r="AM310" s="5">
        <v>0.29099999999999998</v>
      </c>
      <c r="AN310">
        <v>-0.4</v>
      </c>
      <c r="AO310">
        <v>-1.89</v>
      </c>
      <c r="AP310">
        <v>5.21</v>
      </c>
      <c r="AQ310">
        <v>2.6</v>
      </c>
      <c r="AR310">
        <v>0</v>
      </c>
      <c r="AT310">
        <v>0.6</v>
      </c>
      <c r="AU310">
        <v>5.5</v>
      </c>
      <c r="AV310">
        <v>8</v>
      </c>
      <c r="AW310">
        <v>38</v>
      </c>
      <c r="AX310">
        <v>17</v>
      </c>
      <c r="AY310">
        <v>23</v>
      </c>
      <c r="AZ310" t="s">
        <v>3973</v>
      </c>
      <c r="BA310">
        <v>71</v>
      </c>
      <c r="BB310" t="s">
        <v>35</v>
      </c>
      <c r="BC310" t="s">
        <v>36</v>
      </c>
      <c r="BD310" s="4">
        <f>HYPERLINK("http://mlb.mlb.com/team/player.jsp?player_id=643603",643603)</f>
        <v>643603</v>
      </c>
      <c r="BE310">
        <v>421</v>
      </c>
      <c r="BF310">
        <v>1421</v>
      </c>
      <c r="BG310">
        <v>67</v>
      </c>
      <c r="BH310">
        <v>61</v>
      </c>
    </row>
    <row r="311" spans="1:60" x14ac:dyDescent="0.3">
      <c r="A311" s="4">
        <f>HYPERLINK("http://legacy.baseballprospectus.com/p/102267",102267)</f>
        <v>102267</v>
      </c>
      <c r="B311" t="s">
        <v>1831</v>
      </c>
      <c r="C311" t="s">
        <v>1832</v>
      </c>
      <c r="D311" s="10">
        <v>33269</v>
      </c>
      <c r="E311" t="s">
        <v>65</v>
      </c>
      <c r="F311" t="s">
        <v>33</v>
      </c>
      <c r="G311" t="s">
        <v>9</v>
      </c>
      <c r="H311">
        <v>70</v>
      </c>
      <c r="I311">
        <v>180</v>
      </c>
      <c r="J311">
        <v>2018</v>
      </c>
      <c r="K311" s="4" t="str">
        <f>HYPERLINK("http://legacy.baseballprospectus.com/fantasy/dc/index.php?tm=SEA","SEA")</f>
        <v>SEA</v>
      </c>
      <c r="L311" t="s">
        <v>95</v>
      </c>
      <c r="M311" t="s">
        <v>34</v>
      </c>
      <c r="N311">
        <v>27</v>
      </c>
      <c r="O311">
        <v>192</v>
      </c>
      <c r="P311">
        <v>59</v>
      </c>
      <c r="Q311">
        <v>170</v>
      </c>
      <c r="R311">
        <v>21</v>
      </c>
      <c r="S311">
        <v>33</v>
      </c>
      <c r="T311">
        <v>7</v>
      </c>
      <c r="U311">
        <v>1</v>
      </c>
      <c r="V311">
        <v>3</v>
      </c>
      <c r="W311">
        <v>44</v>
      </c>
      <c r="X311">
        <v>62</v>
      </c>
      <c r="Y311">
        <v>18</v>
      </c>
      <c r="Z311">
        <v>16</v>
      </c>
      <c r="AA311">
        <v>1</v>
      </c>
      <c r="AB311">
        <v>4</v>
      </c>
      <c r="AC311">
        <v>29</v>
      </c>
      <c r="AD311">
        <v>1</v>
      </c>
      <c r="AE311">
        <v>1</v>
      </c>
      <c r="AF311">
        <v>6</v>
      </c>
      <c r="AG311">
        <v>1</v>
      </c>
      <c r="AH311">
        <v>1</v>
      </c>
      <c r="AI311" s="5">
        <v>0.25900000000000001</v>
      </c>
      <c r="AJ311" s="5">
        <v>0.33500000000000002</v>
      </c>
      <c r="AK311" s="5">
        <v>0.36499999999999999</v>
      </c>
      <c r="AL311" s="5">
        <v>0.25700000000000001</v>
      </c>
      <c r="AM311" s="5">
        <v>0.29199999999999998</v>
      </c>
      <c r="AN311">
        <v>-0.6</v>
      </c>
      <c r="AO311">
        <v>7.0000000000000007E-2</v>
      </c>
      <c r="AP311">
        <v>5.15</v>
      </c>
      <c r="AQ311">
        <v>-0.55000000000000004</v>
      </c>
      <c r="AR311">
        <v>2.2000000000000002</v>
      </c>
      <c r="AS311" t="s">
        <v>1332</v>
      </c>
      <c r="AT311">
        <v>0.6</v>
      </c>
      <c r="AU311">
        <v>4.0999999999999996</v>
      </c>
      <c r="AV311">
        <v>7</v>
      </c>
      <c r="AW311">
        <v>33</v>
      </c>
      <c r="AX311">
        <v>9</v>
      </c>
      <c r="AY311">
        <v>24</v>
      </c>
      <c r="AZ311" t="s">
        <v>3856</v>
      </c>
      <c r="BA311">
        <v>87</v>
      </c>
      <c r="BB311" t="s">
        <v>35</v>
      </c>
      <c r="BC311" t="s">
        <v>36</v>
      </c>
      <c r="BD311" s="4">
        <f>HYPERLINK("http://mlb.mlb.com/team/player.jsp?player_id=628338",628338)</f>
        <v>628338</v>
      </c>
      <c r="BE311">
        <v>585</v>
      </c>
      <c r="BF311">
        <v>1585</v>
      </c>
      <c r="BG311">
        <v>426</v>
      </c>
      <c r="BH311">
        <v>386</v>
      </c>
    </row>
    <row r="312" spans="1:60" x14ac:dyDescent="0.3">
      <c r="A312" s="4">
        <f>HYPERLINK("http://legacy.baseballprospectus.com/p/103209",103209)</f>
        <v>103209</v>
      </c>
      <c r="B312" t="s">
        <v>98</v>
      </c>
      <c r="C312" t="s">
        <v>1390</v>
      </c>
      <c r="D312" s="10">
        <v>34944</v>
      </c>
      <c r="E312" t="s">
        <v>58</v>
      </c>
      <c r="F312" t="s">
        <v>33</v>
      </c>
      <c r="G312" t="s">
        <v>33</v>
      </c>
      <c r="H312">
        <v>72</v>
      </c>
      <c r="I312">
        <v>200</v>
      </c>
      <c r="J312">
        <v>2018</v>
      </c>
      <c r="K312" s="4" t="str">
        <f>HYPERLINK("http://legacy.baseballprospectus.com/fantasy/dc/index.php?tm=TBA","TBA")</f>
        <v>TBA</v>
      </c>
      <c r="L312" t="s">
        <v>95</v>
      </c>
      <c r="M312" t="s">
        <v>34</v>
      </c>
      <c r="N312">
        <v>22</v>
      </c>
      <c r="O312">
        <v>162</v>
      </c>
      <c r="P312">
        <v>50</v>
      </c>
      <c r="Q312">
        <v>142</v>
      </c>
      <c r="R312">
        <v>18</v>
      </c>
      <c r="S312">
        <v>22</v>
      </c>
      <c r="T312">
        <v>7</v>
      </c>
      <c r="U312">
        <v>1</v>
      </c>
      <c r="V312">
        <v>4</v>
      </c>
      <c r="W312">
        <v>34</v>
      </c>
      <c r="X312">
        <v>55</v>
      </c>
      <c r="Y312">
        <v>18</v>
      </c>
      <c r="Z312">
        <v>18</v>
      </c>
      <c r="AA312">
        <v>1</v>
      </c>
      <c r="AB312">
        <v>1</v>
      </c>
      <c r="AC312">
        <v>45</v>
      </c>
      <c r="AD312">
        <v>0</v>
      </c>
      <c r="AE312">
        <v>1</v>
      </c>
      <c r="AF312">
        <v>4</v>
      </c>
      <c r="AG312">
        <v>2</v>
      </c>
      <c r="AH312">
        <v>1</v>
      </c>
      <c r="AI312" s="5">
        <v>0.23899999999999999</v>
      </c>
      <c r="AJ312" s="5">
        <v>0.32700000000000001</v>
      </c>
      <c r="AK312" s="5">
        <v>0.38700000000000001</v>
      </c>
      <c r="AL312" s="5">
        <v>0.25600000000000001</v>
      </c>
      <c r="AM312" s="5">
        <v>0.317</v>
      </c>
      <c r="AN312">
        <v>-0.1</v>
      </c>
      <c r="AO312">
        <v>0.94</v>
      </c>
      <c r="AP312">
        <v>4.3499999999999996</v>
      </c>
      <c r="AQ312">
        <v>-0.6</v>
      </c>
      <c r="AR312">
        <v>1.3</v>
      </c>
      <c r="AS312" t="s">
        <v>1846</v>
      </c>
      <c r="AT312">
        <v>0.6</v>
      </c>
      <c r="AU312">
        <v>4.5999999999999996</v>
      </c>
      <c r="AV312">
        <v>5</v>
      </c>
      <c r="AW312">
        <v>35</v>
      </c>
      <c r="AX312">
        <v>3</v>
      </c>
      <c r="AY312">
        <v>22</v>
      </c>
      <c r="AZ312" t="s">
        <v>3976</v>
      </c>
      <c r="BA312">
        <v>50</v>
      </c>
      <c r="BB312" t="s">
        <v>35</v>
      </c>
      <c r="BC312" t="s">
        <v>35</v>
      </c>
      <c r="BD312" s="4">
        <f>HYPERLINK("http://mlb.mlb.com/team/player.jsp?player_id=642715",642715)</f>
        <v>642715</v>
      </c>
      <c r="BE312">
        <v>551</v>
      </c>
      <c r="BF312">
        <v>1551</v>
      </c>
      <c r="BG312">
        <v>0</v>
      </c>
      <c r="BH312">
        <v>0</v>
      </c>
    </row>
    <row r="313" spans="1:60" x14ac:dyDescent="0.3">
      <c r="A313" s="4">
        <f>HYPERLINK("http://legacy.baseballprospectus.com/p/102514",102514)</f>
        <v>102514</v>
      </c>
      <c r="B313" t="s">
        <v>1415</v>
      </c>
      <c r="C313" t="s">
        <v>344</v>
      </c>
      <c r="D313" s="10">
        <v>34978</v>
      </c>
      <c r="E313" t="s">
        <v>50</v>
      </c>
      <c r="F313" t="s">
        <v>9</v>
      </c>
      <c r="G313" t="s">
        <v>9</v>
      </c>
      <c r="H313">
        <v>73</v>
      </c>
      <c r="I313">
        <v>195</v>
      </c>
      <c r="J313">
        <v>2018</v>
      </c>
      <c r="K313" s="4" t="str">
        <f>HYPERLINK("http://legacy.baseballprospectus.com/fantasy/dc/index.php?tm=TBA","TBA")</f>
        <v>TBA</v>
      </c>
      <c r="L313" t="s">
        <v>95</v>
      </c>
      <c r="M313" t="s">
        <v>34</v>
      </c>
      <c r="N313">
        <v>22</v>
      </c>
      <c r="O313">
        <v>243</v>
      </c>
      <c r="P313">
        <v>75</v>
      </c>
      <c r="Q313">
        <v>213</v>
      </c>
      <c r="R313">
        <v>28</v>
      </c>
      <c r="S313">
        <v>33</v>
      </c>
      <c r="T313">
        <v>11</v>
      </c>
      <c r="U313">
        <v>0</v>
      </c>
      <c r="V313">
        <v>7</v>
      </c>
      <c r="W313">
        <v>51</v>
      </c>
      <c r="X313">
        <v>83</v>
      </c>
      <c r="Y313">
        <v>28</v>
      </c>
      <c r="Z313">
        <v>26</v>
      </c>
      <c r="AA313">
        <v>2</v>
      </c>
      <c r="AB313">
        <v>2</v>
      </c>
      <c r="AC313">
        <v>52</v>
      </c>
      <c r="AD313">
        <v>1</v>
      </c>
      <c r="AE313">
        <v>1</v>
      </c>
      <c r="AF313">
        <v>5</v>
      </c>
      <c r="AG313">
        <v>4</v>
      </c>
      <c r="AH313">
        <v>1</v>
      </c>
      <c r="AI313" s="5">
        <v>0.23899999999999999</v>
      </c>
      <c r="AJ313" s="5">
        <v>0.32600000000000001</v>
      </c>
      <c r="AK313" s="5">
        <v>0.39</v>
      </c>
      <c r="AL313" s="5">
        <v>0.26100000000000001</v>
      </c>
      <c r="AM313" s="5">
        <v>0.28499999999999998</v>
      </c>
      <c r="AN313">
        <v>-0.1</v>
      </c>
      <c r="AO313">
        <v>-1.58</v>
      </c>
      <c r="AP313">
        <v>6.52</v>
      </c>
      <c r="AQ313">
        <v>0.18</v>
      </c>
      <c r="AR313">
        <v>0.6</v>
      </c>
      <c r="AS313" t="s">
        <v>4909</v>
      </c>
      <c r="AT313">
        <v>0.6</v>
      </c>
      <c r="AU313">
        <v>5.0999999999999996</v>
      </c>
      <c r="AV313">
        <v>6</v>
      </c>
      <c r="AW313">
        <v>22</v>
      </c>
      <c r="AX313">
        <v>3</v>
      </c>
      <c r="AY313">
        <v>19</v>
      </c>
      <c r="AZ313" t="s">
        <v>4129</v>
      </c>
      <c r="BA313">
        <v>38</v>
      </c>
      <c r="BB313" t="s">
        <v>35</v>
      </c>
      <c r="BC313" t="s">
        <v>35</v>
      </c>
      <c r="BD313" s="4">
        <f>HYPERLINK("http://mlb.mlb.com/team/player.jsp?player_id=641343",641343)</f>
        <v>641343</v>
      </c>
      <c r="BE313">
        <v>436</v>
      </c>
      <c r="BF313">
        <v>1436</v>
      </c>
      <c r="BG313">
        <v>0</v>
      </c>
      <c r="BH313">
        <v>0</v>
      </c>
    </row>
    <row r="314" spans="1:60" x14ac:dyDescent="0.3">
      <c r="A314" s="4">
        <f>HYPERLINK("http://legacy.baseballprospectus.com/p/107930",107930)</f>
        <v>107930</v>
      </c>
      <c r="B314" t="s">
        <v>1974</v>
      </c>
      <c r="C314" t="s">
        <v>136</v>
      </c>
      <c r="D314" s="10">
        <v>34885</v>
      </c>
      <c r="E314" t="s">
        <v>59</v>
      </c>
      <c r="F314" t="s">
        <v>33</v>
      </c>
      <c r="G314" t="s">
        <v>33</v>
      </c>
      <c r="H314">
        <v>73</v>
      </c>
      <c r="I314">
        <v>195</v>
      </c>
      <c r="J314">
        <v>2018</v>
      </c>
      <c r="K314" s="4" t="str">
        <f>HYPERLINK("http://legacy.baseballprospectus.com/fantasy/dc/index.php?tm=BAL","BAL")</f>
        <v>BAL</v>
      </c>
      <c r="L314" t="s">
        <v>95</v>
      </c>
      <c r="M314" t="s">
        <v>34</v>
      </c>
      <c r="N314">
        <v>22</v>
      </c>
      <c r="O314">
        <v>255</v>
      </c>
      <c r="P314">
        <v>79</v>
      </c>
      <c r="Q314">
        <v>241</v>
      </c>
      <c r="R314">
        <v>33</v>
      </c>
      <c r="S314">
        <v>40</v>
      </c>
      <c r="T314">
        <v>12</v>
      </c>
      <c r="U314">
        <v>1</v>
      </c>
      <c r="V314">
        <v>12</v>
      </c>
      <c r="W314">
        <v>65</v>
      </c>
      <c r="X314">
        <v>115</v>
      </c>
      <c r="Y314">
        <v>37</v>
      </c>
      <c r="Z314">
        <v>10</v>
      </c>
      <c r="AA314">
        <v>1</v>
      </c>
      <c r="AB314">
        <v>2</v>
      </c>
      <c r="AC314">
        <v>57</v>
      </c>
      <c r="AD314">
        <v>1</v>
      </c>
      <c r="AE314">
        <v>1</v>
      </c>
      <c r="AF314">
        <v>6</v>
      </c>
      <c r="AG314">
        <v>1</v>
      </c>
      <c r="AH314">
        <v>1</v>
      </c>
      <c r="AI314" s="5">
        <v>0.27</v>
      </c>
      <c r="AJ314" s="5">
        <v>0.30299999999999999</v>
      </c>
      <c r="AK314" s="5">
        <v>0.47699999999999998</v>
      </c>
      <c r="AL314" s="5">
        <v>0.26600000000000001</v>
      </c>
      <c r="AM314" s="5">
        <v>0.30199999999999999</v>
      </c>
      <c r="AN314">
        <v>-0.5</v>
      </c>
      <c r="AO314">
        <v>-0.49</v>
      </c>
      <c r="AP314">
        <v>6.85</v>
      </c>
      <c r="AQ314">
        <v>1.66</v>
      </c>
      <c r="AR314">
        <v>-1.7</v>
      </c>
      <c r="AS314" t="s">
        <v>2197</v>
      </c>
      <c r="AT314">
        <v>0.6</v>
      </c>
      <c r="AU314">
        <v>7.5</v>
      </c>
      <c r="AV314">
        <v>4</v>
      </c>
      <c r="AW314">
        <v>34</v>
      </c>
      <c r="AX314">
        <v>2</v>
      </c>
      <c r="AY314">
        <v>18</v>
      </c>
      <c r="AZ314" t="s">
        <v>3936</v>
      </c>
      <c r="BA314">
        <v>65</v>
      </c>
      <c r="BB314" t="s">
        <v>35</v>
      </c>
      <c r="BC314" t="s">
        <v>35</v>
      </c>
      <c r="BD314" s="4">
        <f>HYPERLINK("http://mlb.mlb.com/team/player.jsp?player_id=669720",669720)</f>
        <v>669720</v>
      </c>
      <c r="BE314">
        <v>622</v>
      </c>
      <c r="BF314">
        <v>1622</v>
      </c>
      <c r="BG314">
        <v>63</v>
      </c>
      <c r="BH314">
        <v>60</v>
      </c>
    </row>
    <row r="315" spans="1:60" x14ac:dyDescent="0.3">
      <c r="A315" s="4">
        <f>HYPERLINK("http://legacy.baseballprospectus.com/p/46752",46752)</f>
        <v>46752</v>
      </c>
      <c r="B315" t="s">
        <v>676</v>
      </c>
      <c r="C315" t="s">
        <v>304</v>
      </c>
      <c r="D315" s="10">
        <v>31381</v>
      </c>
      <c r="E315" t="s">
        <v>50</v>
      </c>
      <c r="F315" t="s">
        <v>9</v>
      </c>
      <c r="G315" t="s">
        <v>33</v>
      </c>
      <c r="H315">
        <v>70</v>
      </c>
      <c r="I315">
        <v>215</v>
      </c>
      <c r="J315">
        <v>2018</v>
      </c>
      <c r="K315" s="4" t="str">
        <f>HYPERLINK("http://legacy.baseballprospectus.com/fantasy/dc/index.php?tm=ANA","ANA")</f>
        <v>ANA</v>
      </c>
      <c r="L315" t="s">
        <v>95</v>
      </c>
      <c r="M315" t="s">
        <v>34</v>
      </c>
      <c r="N315">
        <v>32</v>
      </c>
      <c r="O315">
        <v>403</v>
      </c>
      <c r="P315">
        <v>105</v>
      </c>
      <c r="Q315">
        <v>351</v>
      </c>
      <c r="R315">
        <v>50</v>
      </c>
      <c r="S315">
        <v>47</v>
      </c>
      <c r="T315">
        <v>16</v>
      </c>
      <c r="U315">
        <v>1</v>
      </c>
      <c r="V315">
        <v>16</v>
      </c>
      <c r="W315">
        <v>80</v>
      </c>
      <c r="X315">
        <v>146</v>
      </c>
      <c r="Y315">
        <v>51</v>
      </c>
      <c r="Z315">
        <v>46</v>
      </c>
      <c r="AA315">
        <v>2</v>
      </c>
      <c r="AB315">
        <v>3</v>
      </c>
      <c r="AC315">
        <v>87</v>
      </c>
      <c r="AD315">
        <v>1</v>
      </c>
      <c r="AE315">
        <v>2</v>
      </c>
      <c r="AF315">
        <v>9</v>
      </c>
      <c r="AG315">
        <v>1</v>
      </c>
      <c r="AH315">
        <v>1</v>
      </c>
      <c r="AI315" s="5">
        <v>0.22800000000000001</v>
      </c>
      <c r="AJ315" s="5">
        <v>0.32100000000000001</v>
      </c>
      <c r="AK315" s="5">
        <v>0.41599999999999998</v>
      </c>
      <c r="AL315" s="5">
        <v>0.26</v>
      </c>
      <c r="AM315" s="5">
        <v>0.25700000000000001</v>
      </c>
      <c r="AN315">
        <v>-1</v>
      </c>
      <c r="AO315">
        <v>-3.3</v>
      </c>
      <c r="AP315">
        <v>10.82</v>
      </c>
      <c r="AQ315">
        <v>0.08</v>
      </c>
      <c r="AR315">
        <v>-1.2</v>
      </c>
      <c r="AS315" t="s">
        <v>4902</v>
      </c>
      <c r="AT315">
        <v>0.5</v>
      </c>
      <c r="AU315">
        <v>6.6</v>
      </c>
      <c r="AV315">
        <v>4</v>
      </c>
      <c r="AW315">
        <v>41</v>
      </c>
      <c r="AX315">
        <v>6</v>
      </c>
      <c r="AY315">
        <v>6</v>
      </c>
      <c r="AZ315" t="s">
        <v>4191</v>
      </c>
      <c r="BA315">
        <v>98</v>
      </c>
      <c r="BB315" t="s">
        <v>35</v>
      </c>
      <c r="BC315" t="s">
        <v>36</v>
      </c>
      <c r="BD315" s="4">
        <f>HYPERLINK("http://mlb.mlb.com/team/player.jsp?player_id=472528",472528)</f>
        <v>472528</v>
      </c>
      <c r="BE315">
        <v>471</v>
      </c>
      <c r="BF315">
        <v>1471</v>
      </c>
      <c r="BG315">
        <v>401</v>
      </c>
      <c r="BH315">
        <v>347</v>
      </c>
    </row>
    <row r="316" spans="1:60" x14ac:dyDescent="0.3">
      <c r="A316" s="4">
        <f>HYPERLINK("http://legacy.baseballprospectus.com/p/31724",31724)</f>
        <v>31724</v>
      </c>
      <c r="B316" t="s">
        <v>588</v>
      </c>
      <c r="C316" t="s">
        <v>590</v>
      </c>
      <c r="D316" s="10">
        <v>30673</v>
      </c>
      <c r="E316" t="s">
        <v>50</v>
      </c>
      <c r="F316" t="s">
        <v>33</v>
      </c>
      <c r="G316" t="s">
        <v>33</v>
      </c>
      <c r="H316">
        <v>74</v>
      </c>
      <c r="I316">
        <v>235</v>
      </c>
      <c r="J316">
        <v>2018</v>
      </c>
      <c r="K316" s="4" t="str">
        <f>HYPERLINK("http://legacy.baseballprospectus.com/fantasy/dc/index.php?tm=BOS","BOS")</f>
        <v>BOS</v>
      </c>
      <c r="L316" t="s">
        <v>95</v>
      </c>
      <c r="M316" t="s">
        <v>34</v>
      </c>
      <c r="N316">
        <v>34</v>
      </c>
      <c r="O316">
        <v>279</v>
      </c>
      <c r="P316">
        <v>68</v>
      </c>
      <c r="Q316">
        <v>251</v>
      </c>
      <c r="R316">
        <v>35</v>
      </c>
      <c r="S316">
        <v>43</v>
      </c>
      <c r="T316">
        <v>13</v>
      </c>
      <c r="U316">
        <v>1</v>
      </c>
      <c r="V316">
        <v>10</v>
      </c>
      <c r="W316">
        <v>67</v>
      </c>
      <c r="X316">
        <v>112</v>
      </c>
      <c r="Y316">
        <v>37</v>
      </c>
      <c r="Z316">
        <v>24</v>
      </c>
      <c r="AA316">
        <v>2</v>
      </c>
      <c r="AB316">
        <v>3</v>
      </c>
      <c r="AC316">
        <v>53</v>
      </c>
      <c r="AD316">
        <v>0</v>
      </c>
      <c r="AE316">
        <v>1</v>
      </c>
      <c r="AF316">
        <v>8</v>
      </c>
      <c r="AG316">
        <v>3</v>
      </c>
      <c r="AH316">
        <v>2</v>
      </c>
      <c r="AI316" s="5">
        <v>0.26700000000000002</v>
      </c>
      <c r="AJ316" s="5">
        <v>0.33700000000000002</v>
      </c>
      <c r="AK316" s="5">
        <v>0.44600000000000001</v>
      </c>
      <c r="AL316" s="5">
        <v>0.27300000000000002</v>
      </c>
      <c r="AM316" s="5">
        <v>0.29899999999999999</v>
      </c>
      <c r="AN316">
        <v>-0.5</v>
      </c>
      <c r="AO316">
        <v>-2.96</v>
      </c>
      <c r="AP316">
        <v>7.49</v>
      </c>
      <c r="AQ316">
        <v>3.8</v>
      </c>
      <c r="AR316">
        <v>-2.5</v>
      </c>
      <c r="AS316" t="s">
        <v>1026</v>
      </c>
      <c r="AT316">
        <v>0.5</v>
      </c>
      <c r="AU316">
        <v>7.9</v>
      </c>
      <c r="AV316">
        <v>0</v>
      </c>
      <c r="AW316">
        <v>31</v>
      </c>
      <c r="AX316">
        <v>3</v>
      </c>
      <c r="AY316">
        <v>14</v>
      </c>
      <c r="AZ316" t="s">
        <v>3686</v>
      </c>
      <c r="BA316">
        <v>93</v>
      </c>
      <c r="BB316" t="s">
        <v>35</v>
      </c>
      <c r="BC316" t="s">
        <v>36</v>
      </c>
      <c r="BD316" s="4">
        <f>HYPERLINK("http://mlb.mlb.com/team/player.jsp?player_id=434670",434670)</f>
        <v>434670</v>
      </c>
      <c r="BE316">
        <v>410</v>
      </c>
      <c r="BF316">
        <v>1410</v>
      </c>
      <c r="BG316">
        <v>553</v>
      </c>
      <c r="BH316">
        <v>496</v>
      </c>
    </row>
    <row r="317" spans="1:60" x14ac:dyDescent="0.3">
      <c r="A317" s="4">
        <f>HYPERLINK("http://legacy.baseballprospectus.com/p/66288",66288)</f>
        <v>66288</v>
      </c>
      <c r="B317" t="s">
        <v>616</v>
      </c>
      <c r="C317" t="s">
        <v>2185</v>
      </c>
      <c r="D317" s="10">
        <v>33784</v>
      </c>
      <c r="E317" t="s">
        <v>51</v>
      </c>
      <c r="F317" t="s">
        <v>37</v>
      </c>
      <c r="G317" t="s">
        <v>33</v>
      </c>
      <c r="H317">
        <v>71</v>
      </c>
      <c r="I317">
        <v>185</v>
      </c>
      <c r="J317">
        <v>2018</v>
      </c>
      <c r="K317" s="4" t="str">
        <f>HYPERLINK("http://legacy.baseballprospectus.com/fantasy/dc/index.php?tm=CHA","CHA")</f>
        <v>CHA</v>
      </c>
      <c r="L317" t="s">
        <v>95</v>
      </c>
      <c r="M317" t="s">
        <v>34</v>
      </c>
      <c r="N317">
        <v>26</v>
      </c>
      <c r="O317">
        <v>555</v>
      </c>
      <c r="P317">
        <v>153</v>
      </c>
      <c r="Q317">
        <v>509</v>
      </c>
      <c r="R317">
        <v>58</v>
      </c>
      <c r="S317">
        <v>87</v>
      </c>
      <c r="T317">
        <v>24</v>
      </c>
      <c r="U317">
        <v>5</v>
      </c>
      <c r="V317">
        <v>12</v>
      </c>
      <c r="W317">
        <v>128</v>
      </c>
      <c r="X317">
        <v>198</v>
      </c>
      <c r="Y317">
        <v>59</v>
      </c>
      <c r="Z317">
        <v>31</v>
      </c>
      <c r="AA317">
        <v>2</v>
      </c>
      <c r="AB317">
        <v>5</v>
      </c>
      <c r="AC317">
        <v>118</v>
      </c>
      <c r="AD317">
        <v>7</v>
      </c>
      <c r="AE317">
        <v>3</v>
      </c>
      <c r="AF317">
        <v>13</v>
      </c>
      <c r="AG317">
        <v>9</v>
      </c>
      <c r="AH317">
        <v>6</v>
      </c>
      <c r="AI317" s="5">
        <v>0.251</v>
      </c>
      <c r="AJ317" s="5">
        <v>0.29899999999999999</v>
      </c>
      <c r="AK317" s="5">
        <v>0.38900000000000001</v>
      </c>
      <c r="AL317" s="5">
        <v>0.23599999999999999</v>
      </c>
      <c r="AM317" s="5">
        <v>0.29599999999999999</v>
      </c>
      <c r="AN317">
        <v>-0.6</v>
      </c>
      <c r="AO317">
        <v>0.83</v>
      </c>
      <c r="AP317">
        <v>14.9</v>
      </c>
      <c r="AQ317">
        <v>-14.12</v>
      </c>
      <c r="AR317">
        <v>3.7</v>
      </c>
      <c r="AS317" t="s">
        <v>4903</v>
      </c>
      <c r="AT317">
        <v>0.5</v>
      </c>
      <c r="AU317">
        <v>1</v>
      </c>
      <c r="AV317">
        <v>7</v>
      </c>
      <c r="AW317">
        <v>53</v>
      </c>
      <c r="AX317">
        <v>13</v>
      </c>
      <c r="AY317">
        <v>24</v>
      </c>
      <c r="AZ317" t="s">
        <v>4110</v>
      </c>
      <c r="BA317">
        <v>95</v>
      </c>
      <c r="BB317" t="s">
        <v>35</v>
      </c>
      <c r="BC317" t="s">
        <v>36</v>
      </c>
      <c r="BD317" s="4">
        <f>HYPERLINK("http://mlb.mlb.com/team/player.jsp?player_id=570560",570560)</f>
        <v>570560</v>
      </c>
      <c r="BE317">
        <v>447</v>
      </c>
      <c r="BF317">
        <v>1447</v>
      </c>
      <c r="BG317">
        <v>534</v>
      </c>
      <c r="BH317">
        <v>484</v>
      </c>
    </row>
    <row r="318" spans="1:60" x14ac:dyDescent="0.3">
      <c r="A318" s="4">
        <f>HYPERLINK("http://legacy.baseballprospectus.com/p/57379",57379)</f>
        <v>57379</v>
      </c>
      <c r="B318" t="s">
        <v>399</v>
      </c>
      <c r="C318" t="s">
        <v>113</v>
      </c>
      <c r="D318" s="10">
        <v>31440</v>
      </c>
      <c r="E318" t="s">
        <v>57</v>
      </c>
      <c r="F318" t="s">
        <v>33</v>
      </c>
      <c r="G318" t="s">
        <v>33</v>
      </c>
      <c r="H318">
        <v>74</v>
      </c>
      <c r="I318">
        <v>200</v>
      </c>
      <c r="J318">
        <v>2018</v>
      </c>
      <c r="K318" s="4" t="str">
        <f>HYPERLINK("http://legacy.baseballprospectus.com/fantasy/dc/index.php?tm=CLE","CLE")</f>
        <v>CLE</v>
      </c>
      <c r="L318" t="s">
        <v>95</v>
      </c>
      <c r="M318" t="s">
        <v>34</v>
      </c>
      <c r="N318">
        <v>32</v>
      </c>
      <c r="O318">
        <v>196</v>
      </c>
      <c r="P318">
        <v>55</v>
      </c>
      <c r="Q318">
        <v>170</v>
      </c>
      <c r="R318">
        <v>22</v>
      </c>
      <c r="S318">
        <v>30</v>
      </c>
      <c r="T318">
        <v>10</v>
      </c>
      <c r="U318">
        <v>1</v>
      </c>
      <c r="V318">
        <v>4</v>
      </c>
      <c r="W318">
        <v>45</v>
      </c>
      <c r="X318">
        <v>69</v>
      </c>
      <c r="Y318">
        <v>21</v>
      </c>
      <c r="Z318">
        <v>13</v>
      </c>
      <c r="AA318">
        <v>0</v>
      </c>
      <c r="AB318">
        <v>10</v>
      </c>
      <c r="AC318">
        <v>35</v>
      </c>
      <c r="AD318">
        <v>2</v>
      </c>
      <c r="AE318">
        <v>1</v>
      </c>
      <c r="AF318">
        <v>4</v>
      </c>
      <c r="AG318">
        <v>3</v>
      </c>
      <c r="AH318">
        <v>1</v>
      </c>
      <c r="AI318" s="5">
        <v>0.26500000000000001</v>
      </c>
      <c r="AJ318" s="5">
        <v>0.35099999999999998</v>
      </c>
      <c r="AK318" s="5">
        <v>0.40600000000000003</v>
      </c>
      <c r="AL318" s="5">
        <v>0.26100000000000001</v>
      </c>
      <c r="AM318" s="5">
        <v>0.30299999999999999</v>
      </c>
      <c r="AN318">
        <v>-0.1</v>
      </c>
      <c r="AO318">
        <v>-0.85</v>
      </c>
      <c r="AP318">
        <v>5.26</v>
      </c>
      <c r="AQ318">
        <v>0.24</v>
      </c>
      <c r="AR318">
        <v>-0.1</v>
      </c>
      <c r="AS318" t="s">
        <v>2186</v>
      </c>
      <c r="AT318">
        <v>0.5</v>
      </c>
      <c r="AU318">
        <v>4.5999999999999996</v>
      </c>
      <c r="AV318">
        <v>3</v>
      </c>
      <c r="AW318">
        <v>36</v>
      </c>
      <c r="AX318">
        <v>3</v>
      </c>
      <c r="AY318">
        <v>16</v>
      </c>
      <c r="AZ318" t="s">
        <v>4048</v>
      </c>
      <c r="BA318">
        <v>92</v>
      </c>
      <c r="BB318" t="s">
        <v>35</v>
      </c>
      <c r="BC318" t="s">
        <v>36</v>
      </c>
      <c r="BD318" s="4">
        <f>HYPERLINK("http://mlb.mlb.com/team/player.jsp?player_id=446386",446386)</f>
        <v>446386</v>
      </c>
      <c r="BE318">
        <v>606</v>
      </c>
      <c r="BF318">
        <v>1606</v>
      </c>
      <c r="BG318">
        <v>192</v>
      </c>
      <c r="BH318">
        <v>165</v>
      </c>
    </row>
    <row r="319" spans="1:60" x14ac:dyDescent="0.3">
      <c r="A319" s="4">
        <f>HYPERLINK("http://legacy.baseballprospectus.com/p/1105",1105)</f>
        <v>1105</v>
      </c>
      <c r="B319" t="s">
        <v>500</v>
      </c>
      <c r="C319" t="s">
        <v>502</v>
      </c>
      <c r="D319" s="10">
        <v>28847</v>
      </c>
      <c r="E319" t="s">
        <v>1682</v>
      </c>
      <c r="F319" t="s">
        <v>37</v>
      </c>
      <c r="G319" t="s">
        <v>33</v>
      </c>
      <c r="H319">
        <v>74</v>
      </c>
      <c r="I319">
        <v>210</v>
      </c>
      <c r="J319">
        <v>2018</v>
      </c>
      <c r="K319" s="4" t="str">
        <f>HYPERLINK("http://legacy.baseballprospectus.com/fantasy/dc/index.php?tm=DET","DET")</f>
        <v>DET</v>
      </c>
      <c r="L319" t="s">
        <v>95</v>
      </c>
      <c r="M319" t="s">
        <v>34</v>
      </c>
      <c r="N319">
        <v>39</v>
      </c>
      <c r="O319">
        <v>593</v>
      </c>
      <c r="P319">
        <v>144</v>
      </c>
      <c r="Q319">
        <v>539</v>
      </c>
      <c r="R319">
        <v>66</v>
      </c>
      <c r="S319">
        <v>104</v>
      </c>
      <c r="T319">
        <v>25</v>
      </c>
      <c r="U319">
        <v>1</v>
      </c>
      <c r="V319">
        <v>17</v>
      </c>
      <c r="W319">
        <v>147</v>
      </c>
      <c r="X319">
        <v>225</v>
      </c>
      <c r="Y319">
        <v>72</v>
      </c>
      <c r="Z319">
        <v>46</v>
      </c>
      <c r="AA319">
        <v>11</v>
      </c>
      <c r="AB319">
        <v>5</v>
      </c>
      <c r="AC319">
        <v>69</v>
      </c>
      <c r="AD319">
        <v>0</v>
      </c>
      <c r="AE319">
        <v>4</v>
      </c>
      <c r="AF319">
        <v>21</v>
      </c>
      <c r="AG319">
        <v>0</v>
      </c>
      <c r="AH319">
        <v>0</v>
      </c>
      <c r="AI319" s="5">
        <v>0.27300000000000002</v>
      </c>
      <c r="AJ319" s="5">
        <v>0.33300000000000002</v>
      </c>
      <c r="AK319" s="5">
        <v>0.41699999999999998</v>
      </c>
      <c r="AL319" s="5">
        <v>0.254</v>
      </c>
      <c r="AM319" s="5">
        <v>0.28499999999999998</v>
      </c>
      <c r="AN319">
        <v>-1.3</v>
      </c>
      <c r="AO319">
        <v>-5.78</v>
      </c>
      <c r="AP319">
        <v>15.92</v>
      </c>
      <c r="AQ319">
        <v>-3.93</v>
      </c>
      <c r="AR319">
        <v>0</v>
      </c>
      <c r="AT319">
        <v>0.5</v>
      </c>
      <c r="AU319">
        <v>4.9000000000000004</v>
      </c>
      <c r="AV319">
        <v>0</v>
      </c>
      <c r="AW319">
        <v>20</v>
      </c>
      <c r="AX319">
        <v>13</v>
      </c>
      <c r="AY319">
        <v>14</v>
      </c>
      <c r="AZ319" t="s">
        <v>4049</v>
      </c>
      <c r="BA319">
        <v>69</v>
      </c>
      <c r="BB319" t="s">
        <v>35</v>
      </c>
      <c r="BC319" t="s">
        <v>36</v>
      </c>
      <c r="BD319" s="4">
        <f>HYPERLINK("http://mlb.mlb.com/team/player.jsp?player_id=400121",400121)</f>
        <v>400121</v>
      </c>
      <c r="BE319">
        <v>681</v>
      </c>
      <c r="BF319">
        <v>1681</v>
      </c>
      <c r="BG319">
        <v>435</v>
      </c>
      <c r="BH319">
        <v>392</v>
      </c>
    </row>
    <row r="320" spans="1:60" x14ac:dyDescent="0.3">
      <c r="A320" s="4">
        <f>HYPERLINK("http://legacy.baseballprospectus.com/p/52054",52054)</f>
        <v>52054</v>
      </c>
      <c r="B320" t="s">
        <v>160</v>
      </c>
      <c r="C320" t="s">
        <v>141</v>
      </c>
      <c r="D320" s="10">
        <v>30722</v>
      </c>
      <c r="E320" t="s">
        <v>59</v>
      </c>
      <c r="F320" t="s">
        <v>9</v>
      </c>
      <c r="G320" t="s">
        <v>33</v>
      </c>
      <c r="H320">
        <v>73</v>
      </c>
      <c r="I320">
        <v>220</v>
      </c>
      <c r="J320">
        <v>2018</v>
      </c>
      <c r="K320" s="4" t="str">
        <f>HYPERLINK("http://legacy.baseballprospectus.com/fantasy/dc/index.php?tm=KCA","KCA")</f>
        <v>KCA</v>
      </c>
      <c r="L320" t="s">
        <v>95</v>
      </c>
      <c r="M320" t="s">
        <v>34</v>
      </c>
      <c r="N320">
        <v>34</v>
      </c>
      <c r="O320">
        <v>603</v>
      </c>
      <c r="P320">
        <v>151</v>
      </c>
      <c r="Q320">
        <v>531</v>
      </c>
      <c r="R320">
        <v>68</v>
      </c>
      <c r="S320">
        <v>86</v>
      </c>
      <c r="T320">
        <v>23</v>
      </c>
      <c r="U320">
        <v>3</v>
      </c>
      <c r="V320">
        <v>15</v>
      </c>
      <c r="W320">
        <v>127</v>
      </c>
      <c r="X320">
        <v>201</v>
      </c>
      <c r="Y320">
        <v>66</v>
      </c>
      <c r="Z320">
        <v>57</v>
      </c>
      <c r="AA320">
        <v>5</v>
      </c>
      <c r="AB320">
        <v>11</v>
      </c>
      <c r="AC320">
        <v>140</v>
      </c>
      <c r="AD320">
        <v>1</v>
      </c>
      <c r="AE320">
        <v>4</v>
      </c>
      <c r="AF320">
        <v>11</v>
      </c>
      <c r="AG320">
        <v>8</v>
      </c>
      <c r="AH320">
        <v>4</v>
      </c>
      <c r="AI320" s="5">
        <v>0.23899999999999999</v>
      </c>
      <c r="AJ320" s="5">
        <v>0.32300000000000001</v>
      </c>
      <c r="AK320" s="5">
        <v>0.379</v>
      </c>
      <c r="AL320" s="5">
        <v>0.249</v>
      </c>
      <c r="AM320" s="5">
        <v>0.29499999999999998</v>
      </c>
      <c r="AN320">
        <v>-0.4</v>
      </c>
      <c r="AO320">
        <v>-1.41</v>
      </c>
      <c r="AP320">
        <v>16.190000000000001</v>
      </c>
      <c r="AQ320">
        <v>-7.06</v>
      </c>
      <c r="AR320">
        <v>-2.4</v>
      </c>
      <c r="AS320" t="s">
        <v>3579</v>
      </c>
      <c r="AT320">
        <v>0.5</v>
      </c>
      <c r="AU320">
        <v>7.3</v>
      </c>
      <c r="AV320">
        <v>1</v>
      </c>
      <c r="AW320">
        <v>30</v>
      </c>
      <c r="AX320">
        <v>21</v>
      </c>
      <c r="AY320">
        <v>25</v>
      </c>
      <c r="AZ320" t="s">
        <v>3926</v>
      </c>
      <c r="BA320">
        <v>88</v>
      </c>
      <c r="BB320" t="s">
        <v>35</v>
      </c>
      <c r="BC320" t="s">
        <v>36</v>
      </c>
      <c r="BD320" s="4">
        <f>HYPERLINK("http://mlb.mlb.com/team/player.jsp?player_id=460086",460086)</f>
        <v>460086</v>
      </c>
      <c r="BE320">
        <v>579</v>
      </c>
      <c r="BF320">
        <v>1579</v>
      </c>
      <c r="BG320">
        <v>541</v>
      </c>
      <c r="BH320">
        <v>476</v>
      </c>
    </row>
    <row r="321" spans="1:60" x14ac:dyDescent="0.3">
      <c r="A321" s="4">
        <f>HYPERLINK("http://legacy.baseballprospectus.com/p/68700",68700)</f>
        <v>68700</v>
      </c>
      <c r="B321" t="s">
        <v>1835</v>
      </c>
      <c r="C321" t="s">
        <v>204</v>
      </c>
      <c r="D321" s="10">
        <v>33748</v>
      </c>
      <c r="E321" t="s">
        <v>59</v>
      </c>
      <c r="F321" t="s">
        <v>9</v>
      </c>
      <c r="G321" t="s">
        <v>33</v>
      </c>
      <c r="H321">
        <v>69</v>
      </c>
      <c r="I321">
        <v>192</v>
      </c>
      <c r="J321">
        <v>2018</v>
      </c>
      <c r="K321" s="4" t="str">
        <f>HYPERLINK("http://legacy.baseballprospectus.com/fantasy/dc/index.php?tm=LAN","LAN")</f>
        <v>LAN</v>
      </c>
      <c r="L321" t="s">
        <v>100</v>
      </c>
      <c r="M321" t="s">
        <v>34</v>
      </c>
      <c r="N321">
        <v>26</v>
      </c>
      <c r="O321">
        <v>123</v>
      </c>
      <c r="P321">
        <v>45</v>
      </c>
      <c r="Q321">
        <v>114</v>
      </c>
      <c r="R321">
        <v>17</v>
      </c>
      <c r="S321">
        <v>19</v>
      </c>
      <c r="T321">
        <v>7</v>
      </c>
      <c r="U321">
        <v>1</v>
      </c>
      <c r="V321">
        <v>4</v>
      </c>
      <c r="W321">
        <v>31</v>
      </c>
      <c r="X321">
        <v>52</v>
      </c>
      <c r="Y321">
        <v>14</v>
      </c>
      <c r="Z321">
        <v>7</v>
      </c>
      <c r="AA321">
        <v>1</v>
      </c>
      <c r="AB321">
        <v>1</v>
      </c>
      <c r="AC321">
        <v>24</v>
      </c>
      <c r="AD321">
        <v>0</v>
      </c>
      <c r="AE321">
        <v>1</v>
      </c>
      <c r="AF321">
        <v>3</v>
      </c>
      <c r="AG321">
        <v>3</v>
      </c>
      <c r="AH321">
        <v>2</v>
      </c>
      <c r="AI321" s="5">
        <v>0.27200000000000002</v>
      </c>
      <c r="AJ321" s="5">
        <v>0.317</v>
      </c>
      <c r="AK321" s="5">
        <v>0.45600000000000002</v>
      </c>
      <c r="AL321" s="5">
        <v>0.26600000000000001</v>
      </c>
      <c r="AM321" s="5">
        <v>0.307</v>
      </c>
      <c r="AN321">
        <v>-0.1</v>
      </c>
      <c r="AO321">
        <v>-0.43</v>
      </c>
      <c r="AP321">
        <v>3.3</v>
      </c>
      <c r="AQ321">
        <v>0.74</v>
      </c>
      <c r="AR321">
        <v>1.8</v>
      </c>
      <c r="AS321" t="s">
        <v>1007</v>
      </c>
      <c r="AT321">
        <v>0.5</v>
      </c>
      <c r="AU321">
        <v>3.5</v>
      </c>
      <c r="AV321">
        <v>9</v>
      </c>
      <c r="AW321">
        <v>45</v>
      </c>
      <c r="AX321">
        <v>6</v>
      </c>
      <c r="AY321">
        <v>19</v>
      </c>
      <c r="AZ321" t="s">
        <v>3950</v>
      </c>
      <c r="BA321">
        <v>86</v>
      </c>
      <c r="BB321" t="s">
        <v>35</v>
      </c>
      <c r="BC321" t="s">
        <v>36</v>
      </c>
      <c r="BD321" s="4">
        <f>HYPERLINK("http://mlb.mlb.com/team/player.jsp?player_id=592808",592808)</f>
        <v>592808</v>
      </c>
      <c r="BE321">
        <v>1628</v>
      </c>
      <c r="BF321">
        <v>628</v>
      </c>
      <c r="BG321">
        <v>102</v>
      </c>
      <c r="BH321">
        <v>96</v>
      </c>
    </row>
    <row r="322" spans="1:60" x14ac:dyDescent="0.3">
      <c r="A322" s="4">
        <f>HYPERLINK("http://legacy.baseballprospectus.com/p/70928",70928)</f>
        <v>70928</v>
      </c>
      <c r="B322" t="s">
        <v>124</v>
      </c>
      <c r="C322" t="s">
        <v>173</v>
      </c>
      <c r="D322" s="10">
        <v>34108</v>
      </c>
      <c r="E322" t="s">
        <v>51</v>
      </c>
      <c r="F322" t="s">
        <v>33</v>
      </c>
      <c r="G322" t="s">
        <v>33</v>
      </c>
      <c r="H322">
        <v>75</v>
      </c>
      <c r="I322">
        <v>185</v>
      </c>
      <c r="J322">
        <v>2018</v>
      </c>
      <c r="K322" s="4" t="str">
        <f>HYPERLINK("http://legacy.baseballprospectus.com/fantasy/dc/index.php?tm=MIA","MIA")</f>
        <v>MIA</v>
      </c>
      <c r="L322" t="s">
        <v>100</v>
      </c>
      <c r="M322" t="s">
        <v>34</v>
      </c>
      <c r="N322">
        <v>25</v>
      </c>
      <c r="O322">
        <v>173</v>
      </c>
      <c r="P322">
        <v>82</v>
      </c>
      <c r="Q322">
        <v>155</v>
      </c>
      <c r="R322">
        <v>19</v>
      </c>
      <c r="S322">
        <v>24</v>
      </c>
      <c r="T322">
        <v>7</v>
      </c>
      <c r="U322">
        <v>1</v>
      </c>
      <c r="V322">
        <v>6</v>
      </c>
      <c r="W322">
        <v>38</v>
      </c>
      <c r="X322">
        <v>65</v>
      </c>
      <c r="Y322">
        <v>22</v>
      </c>
      <c r="Z322">
        <v>15</v>
      </c>
      <c r="AA322">
        <v>1</v>
      </c>
      <c r="AB322">
        <v>2</v>
      </c>
      <c r="AC322">
        <v>42</v>
      </c>
      <c r="AD322">
        <v>0</v>
      </c>
      <c r="AE322">
        <v>1</v>
      </c>
      <c r="AF322">
        <v>4</v>
      </c>
      <c r="AG322">
        <v>0</v>
      </c>
      <c r="AH322">
        <v>0</v>
      </c>
      <c r="AI322" s="5">
        <v>0.245</v>
      </c>
      <c r="AJ322" s="5">
        <v>0.318</v>
      </c>
      <c r="AK322" s="5">
        <v>0.41899999999999998</v>
      </c>
      <c r="AL322" s="5">
        <v>0.253</v>
      </c>
      <c r="AM322" s="5">
        <v>0.28999999999999998</v>
      </c>
      <c r="AN322">
        <v>-0.3</v>
      </c>
      <c r="AO322">
        <v>-0.56000000000000005</v>
      </c>
      <c r="AP322">
        <v>4.6399999999999997</v>
      </c>
      <c r="AQ322">
        <v>-1.26</v>
      </c>
      <c r="AR322">
        <v>2</v>
      </c>
      <c r="AS322" t="s">
        <v>1828</v>
      </c>
      <c r="AT322">
        <v>0.5</v>
      </c>
      <c r="AU322">
        <v>2.5</v>
      </c>
      <c r="AV322">
        <v>6</v>
      </c>
      <c r="AW322">
        <v>18</v>
      </c>
      <c r="AX322">
        <v>15</v>
      </c>
      <c r="AY322">
        <v>39</v>
      </c>
      <c r="AZ322" t="s">
        <v>3735</v>
      </c>
      <c r="BA322">
        <v>51</v>
      </c>
      <c r="BB322" t="s">
        <v>35</v>
      </c>
      <c r="BC322" t="s">
        <v>35</v>
      </c>
      <c r="BD322" s="4">
        <f>HYPERLINK("http://mlb.mlb.com/team/player.jsp?player_id=605119",605119)</f>
        <v>605119</v>
      </c>
      <c r="BE322">
        <v>1504</v>
      </c>
      <c r="BF322">
        <v>504</v>
      </c>
      <c r="BG322">
        <v>95</v>
      </c>
      <c r="BH322">
        <v>84</v>
      </c>
    </row>
    <row r="323" spans="1:60" x14ac:dyDescent="0.3">
      <c r="A323" s="4">
        <f>HYPERLINK("http://legacy.baseballprospectus.com/p/48560",48560)</f>
        <v>48560</v>
      </c>
      <c r="B323" t="s">
        <v>581</v>
      </c>
      <c r="C323" t="s">
        <v>493</v>
      </c>
      <c r="D323" s="10">
        <v>30616</v>
      </c>
      <c r="E323" t="s">
        <v>51</v>
      </c>
      <c r="F323" t="s">
        <v>33</v>
      </c>
      <c r="G323" t="s">
        <v>33</v>
      </c>
      <c r="H323">
        <v>72</v>
      </c>
      <c r="I323">
        <v>215</v>
      </c>
      <c r="J323">
        <v>2018</v>
      </c>
      <c r="K323" s="4" t="str">
        <f>HYPERLINK("http://legacy.baseballprospectus.com/fantasy/dc/index.php?tm=MIA","MIA")</f>
        <v>MIA</v>
      </c>
      <c r="L323" t="s">
        <v>100</v>
      </c>
      <c r="M323" t="s">
        <v>34</v>
      </c>
      <c r="N323">
        <v>34</v>
      </c>
      <c r="O323">
        <v>477</v>
      </c>
      <c r="P323">
        <v>115</v>
      </c>
      <c r="Q323">
        <v>440</v>
      </c>
      <c r="R323">
        <v>47</v>
      </c>
      <c r="S323">
        <v>91</v>
      </c>
      <c r="T323">
        <v>20</v>
      </c>
      <c r="U323">
        <v>2</v>
      </c>
      <c r="V323">
        <v>8</v>
      </c>
      <c r="W323">
        <v>121</v>
      </c>
      <c r="X323">
        <v>169</v>
      </c>
      <c r="Y323">
        <v>50</v>
      </c>
      <c r="Z323">
        <v>31</v>
      </c>
      <c r="AA323">
        <v>1</v>
      </c>
      <c r="AB323">
        <v>3</v>
      </c>
      <c r="AC323">
        <v>56</v>
      </c>
      <c r="AD323">
        <v>0</v>
      </c>
      <c r="AE323">
        <v>3</v>
      </c>
      <c r="AF323">
        <v>16</v>
      </c>
      <c r="AG323">
        <v>1</v>
      </c>
      <c r="AH323">
        <v>1</v>
      </c>
      <c r="AI323" s="5">
        <v>0.27500000000000002</v>
      </c>
      <c r="AJ323" s="5">
        <v>0.32500000000000001</v>
      </c>
      <c r="AK323" s="5">
        <v>0.38400000000000001</v>
      </c>
      <c r="AL323" s="5">
        <v>0.252</v>
      </c>
      <c r="AM323" s="5">
        <v>0.29799999999999999</v>
      </c>
      <c r="AN323">
        <v>-0.9</v>
      </c>
      <c r="AO323">
        <v>0.22</v>
      </c>
      <c r="AP323">
        <v>12.81</v>
      </c>
      <c r="AQ323">
        <v>-3.79</v>
      </c>
      <c r="AR323">
        <v>-3.1</v>
      </c>
      <c r="AS323" t="s">
        <v>4165</v>
      </c>
      <c r="AT323">
        <v>0.5</v>
      </c>
      <c r="AU323">
        <v>8.4</v>
      </c>
      <c r="AV323">
        <v>0</v>
      </c>
      <c r="AW323">
        <v>31</v>
      </c>
      <c r="AX323">
        <v>10</v>
      </c>
      <c r="AY323">
        <v>19</v>
      </c>
      <c r="AZ323" t="s">
        <v>3846</v>
      </c>
      <c r="BA323">
        <v>86</v>
      </c>
      <c r="BB323" t="s">
        <v>35</v>
      </c>
      <c r="BC323" t="s">
        <v>36</v>
      </c>
      <c r="BD323" s="4">
        <f>HYPERLINK("http://mlb.mlb.com/team/player.jsp?player_id=445988",445988)</f>
        <v>445988</v>
      </c>
      <c r="BE323">
        <v>1503</v>
      </c>
      <c r="BF323">
        <v>503</v>
      </c>
      <c r="BG323">
        <v>147</v>
      </c>
      <c r="BH323">
        <v>140</v>
      </c>
    </row>
    <row r="324" spans="1:60" x14ac:dyDescent="0.3">
      <c r="A324" s="4">
        <f>HYPERLINK("http://legacy.baseballprospectus.com/p/31485",31485)</f>
        <v>31485</v>
      </c>
      <c r="B324" t="s">
        <v>380</v>
      </c>
      <c r="C324" t="s">
        <v>167</v>
      </c>
      <c r="D324" s="10">
        <v>30079</v>
      </c>
      <c r="E324" t="s">
        <v>50</v>
      </c>
      <c r="F324" t="s">
        <v>9</v>
      </c>
      <c r="G324" t="s">
        <v>9</v>
      </c>
      <c r="H324">
        <v>74</v>
      </c>
      <c r="I324">
        <v>215</v>
      </c>
      <c r="J324">
        <v>2018</v>
      </c>
      <c r="K324" s="4" t="str">
        <f>HYPERLINK("http://legacy.baseballprospectus.com/fantasy/dc/index.php?tm=NYN","NYN")</f>
        <v>NYN</v>
      </c>
      <c r="L324" t="s">
        <v>100</v>
      </c>
      <c r="M324" t="s">
        <v>34</v>
      </c>
      <c r="N324">
        <v>36</v>
      </c>
      <c r="O324">
        <v>304</v>
      </c>
      <c r="P324">
        <v>74</v>
      </c>
      <c r="Q324">
        <v>275</v>
      </c>
      <c r="R324">
        <v>34</v>
      </c>
      <c r="S324">
        <v>47</v>
      </c>
      <c r="T324">
        <v>14</v>
      </c>
      <c r="U324">
        <v>0</v>
      </c>
      <c r="V324">
        <v>10</v>
      </c>
      <c r="W324">
        <v>71</v>
      </c>
      <c r="X324">
        <v>115</v>
      </c>
      <c r="Y324">
        <v>38</v>
      </c>
      <c r="Z324">
        <v>25</v>
      </c>
      <c r="AA324">
        <v>3</v>
      </c>
      <c r="AB324">
        <v>2</v>
      </c>
      <c r="AC324">
        <v>53</v>
      </c>
      <c r="AD324">
        <v>0</v>
      </c>
      <c r="AE324">
        <v>2</v>
      </c>
      <c r="AF324">
        <v>8</v>
      </c>
      <c r="AG324">
        <v>0</v>
      </c>
      <c r="AH324">
        <v>1</v>
      </c>
      <c r="AI324" s="5">
        <v>0.25800000000000001</v>
      </c>
      <c r="AJ324" s="5">
        <v>0.32200000000000001</v>
      </c>
      <c r="AK324" s="5">
        <v>0.41799999999999998</v>
      </c>
      <c r="AL324" s="5">
        <v>0.26100000000000001</v>
      </c>
      <c r="AM324" s="5">
        <v>0.28799999999999998</v>
      </c>
      <c r="AN324">
        <v>-0.9</v>
      </c>
      <c r="AO324">
        <v>-3.48</v>
      </c>
      <c r="AP324">
        <v>8.16</v>
      </c>
      <c r="AQ324">
        <v>0.17</v>
      </c>
      <c r="AR324">
        <v>0.8</v>
      </c>
      <c r="AS324" t="s">
        <v>77</v>
      </c>
      <c r="AT324">
        <v>0.5</v>
      </c>
      <c r="AU324">
        <v>3.9</v>
      </c>
      <c r="AV324">
        <v>1</v>
      </c>
      <c r="AW324">
        <v>26</v>
      </c>
      <c r="AX324">
        <v>14</v>
      </c>
      <c r="AY324">
        <v>19</v>
      </c>
      <c r="AZ324" t="s">
        <v>4054</v>
      </c>
      <c r="BA324">
        <v>76</v>
      </c>
      <c r="BB324" t="s">
        <v>35</v>
      </c>
      <c r="BC324" t="s">
        <v>36</v>
      </c>
      <c r="BD324" s="4">
        <f>HYPERLINK("http://mlb.mlb.com/team/player.jsp?player_id=408236",408236)</f>
        <v>408236</v>
      </c>
      <c r="BE324">
        <v>1436</v>
      </c>
      <c r="BF324">
        <v>436</v>
      </c>
      <c r="BG324">
        <v>252</v>
      </c>
      <c r="BH324">
        <v>231</v>
      </c>
    </row>
    <row r="325" spans="1:60" x14ac:dyDescent="0.3">
      <c r="A325" s="4">
        <f>HYPERLINK("http://legacy.baseballprospectus.com/p/45437",45437)</f>
        <v>45437</v>
      </c>
      <c r="B325" t="s">
        <v>455</v>
      </c>
      <c r="C325" t="s">
        <v>1221</v>
      </c>
      <c r="D325" s="10">
        <v>30509</v>
      </c>
      <c r="E325" t="s">
        <v>59</v>
      </c>
      <c r="F325" t="s">
        <v>33</v>
      </c>
      <c r="G325" t="s">
        <v>33</v>
      </c>
      <c r="H325">
        <v>71</v>
      </c>
      <c r="I325">
        <v>220</v>
      </c>
      <c r="J325">
        <v>2018</v>
      </c>
      <c r="K325" s="4" t="str">
        <f>HYPERLINK("http://legacy.baseballprospectus.com/fantasy/dc/index.php?tm=WAS","WAS")</f>
        <v>WAS</v>
      </c>
      <c r="L325" t="s">
        <v>100</v>
      </c>
      <c r="M325" t="s">
        <v>34</v>
      </c>
      <c r="N325">
        <v>34</v>
      </c>
      <c r="O325">
        <v>291</v>
      </c>
      <c r="P325">
        <v>134</v>
      </c>
      <c r="Q325">
        <v>267</v>
      </c>
      <c r="R325">
        <v>33</v>
      </c>
      <c r="S325">
        <v>55</v>
      </c>
      <c r="T325">
        <v>13</v>
      </c>
      <c r="U325">
        <v>1</v>
      </c>
      <c r="V325">
        <v>5</v>
      </c>
      <c r="W325">
        <v>74</v>
      </c>
      <c r="X325">
        <v>104</v>
      </c>
      <c r="Y325">
        <v>29</v>
      </c>
      <c r="Z325">
        <v>19</v>
      </c>
      <c r="AA325">
        <v>2</v>
      </c>
      <c r="AB325">
        <v>3</v>
      </c>
      <c r="AC325">
        <v>52</v>
      </c>
      <c r="AD325">
        <v>1</v>
      </c>
      <c r="AE325">
        <v>1</v>
      </c>
      <c r="AF325">
        <v>10</v>
      </c>
      <c r="AG325">
        <v>6</v>
      </c>
      <c r="AH325">
        <v>2</v>
      </c>
      <c r="AI325" s="5">
        <v>0.27700000000000002</v>
      </c>
      <c r="AJ325" s="5">
        <v>0.33100000000000002</v>
      </c>
      <c r="AK325" s="5">
        <v>0.39</v>
      </c>
      <c r="AL325" s="5">
        <v>0.255</v>
      </c>
      <c r="AM325" s="5">
        <v>0.32900000000000001</v>
      </c>
      <c r="AN325">
        <v>0.2</v>
      </c>
      <c r="AO325">
        <v>-1.6</v>
      </c>
      <c r="AP325">
        <v>7.81</v>
      </c>
      <c r="AQ325">
        <v>-1.44</v>
      </c>
      <c r="AR325">
        <v>-0.2</v>
      </c>
      <c r="AS325" t="s">
        <v>4853</v>
      </c>
      <c r="AT325">
        <v>0.5</v>
      </c>
      <c r="AU325">
        <v>5</v>
      </c>
      <c r="AV325">
        <v>0</v>
      </c>
      <c r="AW325">
        <v>27</v>
      </c>
      <c r="AX325">
        <v>19</v>
      </c>
      <c r="AY325">
        <v>21</v>
      </c>
      <c r="AZ325" t="s">
        <v>3701</v>
      </c>
      <c r="BA325">
        <v>91</v>
      </c>
      <c r="BB325" t="s">
        <v>35</v>
      </c>
      <c r="BC325" t="s">
        <v>36</v>
      </c>
      <c r="BD325" s="4">
        <f>HYPERLINK("http://mlb.mlb.com/team/player.jsp?player_id=435062",435062)</f>
        <v>435062</v>
      </c>
      <c r="BE325">
        <v>1609</v>
      </c>
      <c r="BF325">
        <v>609</v>
      </c>
      <c r="BG325">
        <v>334</v>
      </c>
      <c r="BH325">
        <v>305</v>
      </c>
    </row>
    <row r="326" spans="1:60" x14ac:dyDescent="0.3">
      <c r="A326" s="4">
        <f>HYPERLINK("http://legacy.baseballprospectus.com/p/31606",31606)</f>
        <v>31606</v>
      </c>
      <c r="B326" t="s">
        <v>536</v>
      </c>
      <c r="C326" t="s">
        <v>142</v>
      </c>
      <c r="D326" s="10">
        <v>29890</v>
      </c>
      <c r="E326" t="s">
        <v>50</v>
      </c>
      <c r="F326" t="s">
        <v>33</v>
      </c>
      <c r="G326" t="s">
        <v>33</v>
      </c>
      <c r="H326">
        <v>73</v>
      </c>
      <c r="I326">
        <v>225</v>
      </c>
      <c r="J326">
        <v>2018</v>
      </c>
      <c r="K326" s="4" t="str">
        <f>HYPERLINK("http://legacy.baseballprospectus.com/fantasy/dc/index.php?tm=TEX","TEX")</f>
        <v>TEX</v>
      </c>
      <c r="L326" t="s">
        <v>95</v>
      </c>
      <c r="M326" t="s">
        <v>34</v>
      </c>
      <c r="N326">
        <v>36</v>
      </c>
      <c r="O326">
        <v>487</v>
      </c>
      <c r="P326" t="s">
        <v>1680</v>
      </c>
      <c r="Q326">
        <v>418</v>
      </c>
      <c r="R326">
        <v>62</v>
      </c>
      <c r="S326">
        <v>54</v>
      </c>
      <c r="T326">
        <v>18</v>
      </c>
      <c r="U326">
        <v>1</v>
      </c>
      <c r="V326">
        <v>22</v>
      </c>
      <c r="W326">
        <v>95</v>
      </c>
      <c r="X326">
        <v>181</v>
      </c>
      <c r="Y326">
        <v>68</v>
      </c>
      <c r="Z326">
        <v>62</v>
      </c>
      <c r="AA326">
        <v>2</v>
      </c>
      <c r="AB326">
        <v>5</v>
      </c>
      <c r="AC326">
        <v>146</v>
      </c>
      <c r="AD326">
        <v>0</v>
      </c>
      <c r="AE326">
        <v>2</v>
      </c>
      <c r="AF326">
        <v>13</v>
      </c>
      <c r="AG326">
        <v>3</v>
      </c>
      <c r="AH326">
        <v>2</v>
      </c>
      <c r="AI326" s="5">
        <v>0.22700000000000001</v>
      </c>
      <c r="AJ326" s="5">
        <v>0.33300000000000002</v>
      </c>
      <c r="AK326" s="5">
        <v>0.43099999999999999</v>
      </c>
      <c r="AL326" s="5">
        <v>0.255</v>
      </c>
      <c r="AM326" s="5">
        <v>0.28899999999999998</v>
      </c>
      <c r="AN326">
        <v>-1.4</v>
      </c>
      <c r="AO326">
        <v>-4.42</v>
      </c>
      <c r="AP326">
        <v>13.64</v>
      </c>
      <c r="AQ326">
        <v>-2.7</v>
      </c>
      <c r="AR326">
        <v>-0.7</v>
      </c>
      <c r="AS326" t="s">
        <v>64</v>
      </c>
      <c r="AT326">
        <v>0.5</v>
      </c>
      <c r="AU326">
        <v>5.0999999999999996</v>
      </c>
      <c r="AV326">
        <v>0</v>
      </c>
      <c r="AW326">
        <v>16</v>
      </c>
      <c r="AX326">
        <v>12</v>
      </c>
      <c r="AY326">
        <v>13</v>
      </c>
      <c r="AZ326" t="s">
        <v>3963</v>
      </c>
      <c r="BA326">
        <v>70</v>
      </c>
      <c r="BB326" t="s">
        <v>36</v>
      </c>
      <c r="BC326" t="s">
        <v>36</v>
      </c>
      <c r="BD326" s="4">
        <f>HYPERLINK("http://mlb.mlb.com/team/player.jsp?player_id=435063",435063)</f>
        <v>435063</v>
      </c>
      <c r="BE326">
        <v>0</v>
      </c>
      <c r="BF326">
        <v>0</v>
      </c>
      <c r="BG326">
        <v>485</v>
      </c>
      <c r="BH326">
        <v>425</v>
      </c>
    </row>
    <row r="327" spans="1:60" x14ac:dyDescent="0.3">
      <c r="A327" s="4">
        <f>HYPERLINK("http://legacy.baseballprospectus.com/p/46195",46195)</f>
        <v>46195</v>
      </c>
      <c r="B327" t="s">
        <v>441</v>
      </c>
      <c r="C327" t="s">
        <v>148</v>
      </c>
      <c r="D327" s="10">
        <v>30578</v>
      </c>
      <c r="E327" t="s">
        <v>57</v>
      </c>
      <c r="F327" t="s">
        <v>9</v>
      </c>
      <c r="G327" t="s">
        <v>33</v>
      </c>
      <c r="H327">
        <v>74</v>
      </c>
      <c r="I327">
        <v>202</v>
      </c>
      <c r="J327">
        <v>2018</v>
      </c>
      <c r="K327" s="4" t="str">
        <f>HYPERLINK("http://legacy.baseballprospectus.com/fantasy/dc/index.php?tm=PIT","PIT")</f>
        <v>PIT</v>
      </c>
      <c r="L327" t="s">
        <v>100</v>
      </c>
      <c r="M327" t="s">
        <v>34</v>
      </c>
      <c r="N327">
        <v>34</v>
      </c>
      <c r="O327">
        <v>310</v>
      </c>
      <c r="P327" t="s">
        <v>1680</v>
      </c>
      <c r="Q327">
        <v>269</v>
      </c>
      <c r="R327">
        <v>39</v>
      </c>
      <c r="S327">
        <v>43</v>
      </c>
      <c r="T327">
        <v>17</v>
      </c>
      <c r="U327">
        <v>1</v>
      </c>
      <c r="V327">
        <v>8</v>
      </c>
      <c r="W327">
        <v>69</v>
      </c>
      <c r="X327">
        <v>112</v>
      </c>
      <c r="Y327">
        <v>32</v>
      </c>
      <c r="Z327">
        <v>35</v>
      </c>
      <c r="AA327">
        <v>0</v>
      </c>
      <c r="AB327">
        <v>4</v>
      </c>
      <c r="AC327">
        <v>59</v>
      </c>
      <c r="AD327">
        <v>1</v>
      </c>
      <c r="AE327">
        <v>1</v>
      </c>
      <c r="AF327">
        <v>8</v>
      </c>
      <c r="AG327">
        <v>1</v>
      </c>
      <c r="AH327">
        <v>1</v>
      </c>
      <c r="AI327" s="5">
        <v>0.254</v>
      </c>
      <c r="AJ327" s="5">
        <v>0.34699999999999998</v>
      </c>
      <c r="AK327" s="5">
        <v>0.40899999999999997</v>
      </c>
      <c r="AL327" s="5">
        <v>0.26</v>
      </c>
      <c r="AM327" s="5">
        <v>0.29699999999999999</v>
      </c>
      <c r="AN327">
        <v>-0.1</v>
      </c>
      <c r="AO327">
        <v>-0.54</v>
      </c>
      <c r="AP327">
        <v>8.68</v>
      </c>
      <c r="AQ327">
        <v>0.01</v>
      </c>
      <c r="AR327">
        <v>-3.1</v>
      </c>
      <c r="AS327" t="s">
        <v>3890</v>
      </c>
      <c r="AT327">
        <v>0.5</v>
      </c>
      <c r="AU327">
        <v>8.1</v>
      </c>
      <c r="AV327">
        <v>0</v>
      </c>
      <c r="AW327">
        <v>26</v>
      </c>
      <c r="AX327">
        <v>28</v>
      </c>
      <c r="AY327">
        <v>31</v>
      </c>
      <c r="AZ327" t="s">
        <v>3891</v>
      </c>
      <c r="BA327">
        <v>91</v>
      </c>
      <c r="BB327" t="s">
        <v>36</v>
      </c>
      <c r="BC327" t="s">
        <v>36</v>
      </c>
      <c r="BD327" s="4">
        <f>HYPERLINK("http://mlb.mlb.com/team/player.jsp?player_id=444379",444379)</f>
        <v>444379</v>
      </c>
      <c r="BE327">
        <v>0</v>
      </c>
      <c r="BF327">
        <v>0</v>
      </c>
      <c r="BG327">
        <v>302</v>
      </c>
      <c r="BH327">
        <v>256</v>
      </c>
    </row>
    <row r="328" spans="1:60" x14ac:dyDescent="0.3">
      <c r="A328" s="4">
        <f>HYPERLINK("http://legacy.baseballprospectus.com/p/49545",49545)</f>
        <v>49545</v>
      </c>
      <c r="B328" t="s">
        <v>1867</v>
      </c>
      <c r="C328" t="s">
        <v>313</v>
      </c>
      <c r="D328" s="10">
        <v>30456</v>
      </c>
      <c r="E328" t="s">
        <v>53</v>
      </c>
      <c r="F328" t="s">
        <v>33</v>
      </c>
      <c r="G328" t="s">
        <v>33</v>
      </c>
      <c r="H328">
        <v>74</v>
      </c>
      <c r="I328">
        <v>200</v>
      </c>
      <c r="J328">
        <v>2018</v>
      </c>
      <c r="K328" s="4" t="str">
        <f>HYPERLINK("http://legacy.baseballprospectus.com/fantasy/dc/index.php?tm=CLE","CLE")</f>
        <v>CLE</v>
      </c>
      <c r="L328" t="s">
        <v>100</v>
      </c>
      <c r="M328" t="s">
        <v>34</v>
      </c>
      <c r="N328">
        <v>35</v>
      </c>
      <c r="O328">
        <v>280</v>
      </c>
      <c r="P328" t="s">
        <v>1680</v>
      </c>
      <c r="Q328">
        <v>253</v>
      </c>
      <c r="R328">
        <v>30</v>
      </c>
      <c r="S328">
        <v>35</v>
      </c>
      <c r="T328">
        <v>13</v>
      </c>
      <c r="U328">
        <v>1</v>
      </c>
      <c r="V328">
        <v>7</v>
      </c>
      <c r="W328">
        <v>56</v>
      </c>
      <c r="X328">
        <v>92</v>
      </c>
      <c r="Y328">
        <v>30</v>
      </c>
      <c r="Z328">
        <v>21</v>
      </c>
      <c r="AA328">
        <v>1</v>
      </c>
      <c r="AB328">
        <v>3</v>
      </c>
      <c r="AC328">
        <v>82</v>
      </c>
      <c r="AD328">
        <v>2</v>
      </c>
      <c r="AE328">
        <v>2</v>
      </c>
      <c r="AF328">
        <v>6</v>
      </c>
      <c r="AG328">
        <v>3</v>
      </c>
      <c r="AH328">
        <v>2</v>
      </c>
      <c r="AI328" s="5">
        <v>0.22500000000000001</v>
      </c>
      <c r="AJ328" s="5">
        <v>0.28999999999999998</v>
      </c>
      <c r="AK328" s="5">
        <v>0.374</v>
      </c>
      <c r="AL328" s="5">
        <v>0.22700000000000001</v>
      </c>
      <c r="AM328" s="5">
        <v>0.29499999999999998</v>
      </c>
      <c r="AN328">
        <v>0.7</v>
      </c>
      <c r="AO328">
        <v>4.08</v>
      </c>
      <c r="AP328">
        <v>7.84</v>
      </c>
      <c r="AQ328">
        <v>-9.64</v>
      </c>
      <c r="AR328">
        <v>1.8</v>
      </c>
      <c r="AS328" t="s">
        <v>1329</v>
      </c>
      <c r="AT328">
        <v>0.5</v>
      </c>
      <c r="AU328">
        <v>2.9</v>
      </c>
      <c r="AV328">
        <v>2</v>
      </c>
      <c r="AW328">
        <v>29</v>
      </c>
      <c r="AX328">
        <v>14</v>
      </c>
      <c r="AY328">
        <v>35</v>
      </c>
      <c r="AZ328" t="s">
        <v>3892</v>
      </c>
      <c r="BA328">
        <v>73</v>
      </c>
      <c r="BB328" t="s">
        <v>36</v>
      </c>
      <c r="BC328" t="s">
        <v>36</v>
      </c>
      <c r="BD328" s="4">
        <f>HYPERLINK("http://mlb.mlb.com/team/player.jsp?player_id=489267",489267)</f>
        <v>489267</v>
      </c>
      <c r="BE328">
        <v>0</v>
      </c>
      <c r="BF328">
        <v>0</v>
      </c>
      <c r="BG328">
        <v>312</v>
      </c>
      <c r="BH328">
        <v>289</v>
      </c>
    </row>
    <row r="329" spans="1:60" x14ac:dyDescent="0.3">
      <c r="A329" s="4">
        <f>HYPERLINK("http://legacy.baseballprospectus.com/p/51910",51910)</f>
        <v>51910</v>
      </c>
      <c r="B329" t="s">
        <v>256</v>
      </c>
      <c r="C329" t="s">
        <v>234</v>
      </c>
      <c r="D329" s="10">
        <v>31216</v>
      </c>
      <c r="E329" t="s">
        <v>51</v>
      </c>
      <c r="F329" t="s">
        <v>9</v>
      </c>
      <c r="G329" t="s">
        <v>33</v>
      </c>
      <c r="H329">
        <v>72</v>
      </c>
      <c r="I329">
        <v>195</v>
      </c>
      <c r="J329">
        <v>2018</v>
      </c>
      <c r="K329" s="4" t="str">
        <f>HYPERLINK("http://legacy.baseballprospectus.com/fantasy/dc/index.php?tm=TOR","TOR")</f>
        <v>TOR</v>
      </c>
      <c r="L329" t="s">
        <v>95</v>
      </c>
      <c r="M329" t="s">
        <v>34</v>
      </c>
      <c r="N329">
        <v>33</v>
      </c>
      <c r="O329">
        <v>250</v>
      </c>
      <c r="P329" t="s">
        <v>1680</v>
      </c>
      <c r="Q329">
        <v>219</v>
      </c>
      <c r="R329">
        <v>27</v>
      </c>
      <c r="S329">
        <v>33</v>
      </c>
      <c r="T329">
        <v>13</v>
      </c>
      <c r="U329">
        <v>2</v>
      </c>
      <c r="V329">
        <v>6</v>
      </c>
      <c r="W329">
        <v>54</v>
      </c>
      <c r="X329">
        <v>89</v>
      </c>
      <c r="Y329">
        <v>28</v>
      </c>
      <c r="Z329">
        <v>27</v>
      </c>
      <c r="AA329">
        <v>2</v>
      </c>
      <c r="AB329">
        <v>2</v>
      </c>
      <c r="AC329">
        <v>53</v>
      </c>
      <c r="AD329">
        <v>1</v>
      </c>
      <c r="AE329">
        <v>1</v>
      </c>
      <c r="AF329">
        <v>6</v>
      </c>
      <c r="AG329">
        <v>3</v>
      </c>
      <c r="AH329">
        <v>1</v>
      </c>
      <c r="AI329" s="5">
        <v>0.245</v>
      </c>
      <c r="AJ329" s="5">
        <v>0.33100000000000002</v>
      </c>
      <c r="AK329" s="5">
        <v>0.4</v>
      </c>
      <c r="AL329" s="5">
        <v>0.246</v>
      </c>
      <c r="AM329" s="5">
        <v>0.29299999999999998</v>
      </c>
      <c r="AN329">
        <v>0.2</v>
      </c>
      <c r="AO329">
        <v>1.59</v>
      </c>
      <c r="AP329">
        <v>7</v>
      </c>
      <c r="AQ329">
        <v>-3.6</v>
      </c>
      <c r="AR329">
        <v>-1.1000000000000001</v>
      </c>
      <c r="AS329" t="s">
        <v>3787</v>
      </c>
      <c r="AT329">
        <v>0.5</v>
      </c>
      <c r="AU329">
        <v>5.2</v>
      </c>
      <c r="AV329">
        <v>4</v>
      </c>
      <c r="AW329">
        <v>41</v>
      </c>
      <c r="AX329">
        <v>8</v>
      </c>
      <c r="AY329">
        <v>21</v>
      </c>
      <c r="AZ329" t="s">
        <v>3965</v>
      </c>
      <c r="BA329">
        <v>88</v>
      </c>
      <c r="BB329" t="s">
        <v>36</v>
      </c>
      <c r="BC329" t="s">
        <v>36</v>
      </c>
      <c r="BD329" s="4">
        <f>HYPERLINK("http://mlb.mlb.com/team/player.jsp?player_id=458085",458085)</f>
        <v>458085</v>
      </c>
      <c r="BE329">
        <v>0</v>
      </c>
      <c r="BF329">
        <v>0</v>
      </c>
      <c r="BG329">
        <v>88</v>
      </c>
      <c r="BH329">
        <v>75</v>
      </c>
    </row>
    <row r="330" spans="1:60" x14ac:dyDescent="0.3">
      <c r="A330" s="4">
        <f>HYPERLINK("http://legacy.baseballprospectus.com/p/58159",58159)</f>
        <v>58159</v>
      </c>
      <c r="B330" t="s">
        <v>761</v>
      </c>
      <c r="C330" t="s">
        <v>3897</v>
      </c>
      <c r="D330" s="10">
        <v>31887</v>
      </c>
      <c r="E330" t="s">
        <v>53</v>
      </c>
      <c r="F330" t="s">
        <v>33</v>
      </c>
      <c r="G330" t="s">
        <v>33</v>
      </c>
      <c r="H330">
        <v>74</v>
      </c>
      <c r="I330">
        <v>205</v>
      </c>
      <c r="J330">
        <v>2018</v>
      </c>
      <c r="K330" s="4" t="str">
        <f>HYPERLINK("http://legacy.baseballprospectus.com/fantasy/dc/index.php?tm=SDN","SDN")</f>
        <v>SDN</v>
      </c>
      <c r="L330" t="s">
        <v>100</v>
      </c>
      <c r="M330" t="s">
        <v>34</v>
      </c>
      <c r="N330">
        <v>31</v>
      </c>
      <c r="O330">
        <v>250</v>
      </c>
      <c r="P330" t="s">
        <v>1680</v>
      </c>
      <c r="Q330">
        <v>224</v>
      </c>
      <c r="R330">
        <v>28</v>
      </c>
      <c r="S330">
        <v>27</v>
      </c>
      <c r="T330">
        <v>10</v>
      </c>
      <c r="U330">
        <v>1</v>
      </c>
      <c r="V330">
        <v>8</v>
      </c>
      <c r="W330">
        <v>46</v>
      </c>
      <c r="X330">
        <v>82</v>
      </c>
      <c r="Y330">
        <v>27</v>
      </c>
      <c r="Z330">
        <v>17</v>
      </c>
      <c r="AA330">
        <v>1</v>
      </c>
      <c r="AB330">
        <v>4</v>
      </c>
      <c r="AC330">
        <v>88</v>
      </c>
      <c r="AD330">
        <v>3</v>
      </c>
      <c r="AE330">
        <v>2</v>
      </c>
      <c r="AF330">
        <v>7</v>
      </c>
      <c r="AG330">
        <v>6</v>
      </c>
      <c r="AH330">
        <v>2</v>
      </c>
      <c r="AI330" s="5">
        <v>0.20599999999999999</v>
      </c>
      <c r="AJ330" s="5">
        <v>0.27300000000000002</v>
      </c>
      <c r="AK330" s="5">
        <v>0.36799999999999999</v>
      </c>
      <c r="AL330" s="5">
        <v>0.221</v>
      </c>
      <c r="AM330" s="5">
        <v>0.28699999999999998</v>
      </c>
      <c r="AN330">
        <v>0.3</v>
      </c>
      <c r="AO330">
        <v>3.84</v>
      </c>
      <c r="AP330">
        <v>7</v>
      </c>
      <c r="AQ330">
        <v>-10.32</v>
      </c>
      <c r="AR330">
        <v>3.6</v>
      </c>
      <c r="AS330" t="s">
        <v>1542</v>
      </c>
      <c r="AT330">
        <v>0.5</v>
      </c>
      <c r="AU330">
        <v>0.9</v>
      </c>
      <c r="AV330">
        <v>4</v>
      </c>
      <c r="AW330">
        <v>14</v>
      </c>
      <c r="AX330">
        <v>11</v>
      </c>
      <c r="AY330">
        <v>18</v>
      </c>
      <c r="AZ330" t="s">
        <v>3898</v>
      </c>
      <c r="BA330">
        <v>36</v>
      </c>
      <c r="BB330" t="s">
        <v>36</v>
      </c>
      <c r="BC330" t="s">
        <v>35</v>
      </c>
      <c r="BD330" s="4">
        <f>HYPERLINK("http://mlb.mlb.com/team/player.jsp?player_id=543038",543038)</f>
        <v>543038</v>
      </c>
      <c r="BE330">
        <v>0</v>
      </c>
      <c r="BF330">
        <v>0</v>
      </c>
      <c r="BG330">
        <v>71</v>
      </c>
      <c r="BH330">
        <v>66</v>
      </c>
    </row>
    <row r="331" spans="1:60" x14ac:dyDescent="0.3">
      <c r="A331" s="4">
        <f>HYPERLINK("http://legacy.baseballprospectus.com/p/58917",58917)</f>
        <v>58917</v>
      </c>
      <c r="B331" t="s">
        <v>328</v>
      </c>
      <c r="C331" t="s">
        <v>329</v>
      </c>
      <c r="D331" s="10">
        <v>31892</v>
      </c>
      <c r="E331" t="s">
        <v>58</v>
      </c>
      <c r="F331" t="s">
        <v>37</v>
      </c>
      <c r="G331" t="s">
        <v>33</v>
      </c>
      <c r="H331">
        <v>72</v>
      </c>
      <c r="I331">
        <v>205</v>
      </c>
      <c r="J331">
        <v>2018</v>
      </c>
      <c r="K331" s="4" t="str">
        <f>HYPERLINK("http://legacy.baseballprospectus.com/fantasy/dc/index.php?tm=TBA","TBA")</f>
        <v>TBA</v>
      </c>
      <c r="L331" t="s">
        <v>95</v>
      </c>
      <c r="M331" t="s">
        <v>34</v>
      </c>
      <c r="N331">
        <v>31</v>
      </c>
      <c r="O331">
        <v>338</v>
      </c>
      <c r="P331" t="s">
        <v>1680</v>
      </c>
      <c r="Q331">
        <v>301</v>
      </c>
      <c r="R331">
        <v>36</v>
      </c>
      <c r="S331">
        <v>38</v>
      </c>
      <c r="T331">
        <v>12</v>
      </c>
      <c r="U331">
        <v>1</v>
      </c>
      <c r="V331">
        <v>9</v>
      </c>
      <c r="W331">
        <v>60</v>
      </c>
      <c r="X331">
        <v>101</v>
      </c>
      <c r="Y331">
        <v>34</v>
      </c>
      <c r="Z331">
        <v>26</v>
      </c>
      <c r="AA331">
        <v>3</v>
      </c>
      <c r="AB331">
        <v>8</v>
      </c>
      <c r="AC331">
        <v>110</v>
      </c>
      <c r="AD331">
        <v>2</v>
      </c>
      <c r="AE331">
        <v>2</v>
      </c>
      <c r="AF331">
        <v>5</v>
      </c>
      <c r="AG331">
        <v>5</v>
      </c>
      <c r="AH331">
        <v>2</v>
      </c>
      <c r="AI331" s="5">
        <v>0.19900000000000001</v>
      </c>
      <c r="AJ331" s="5">
        <v>0.27800000000000002</v>
      </c>
      <c r="AK331" s="5">
        <v>0.33900000000000002</v>
      </c>
      <c r="AL331" s="5">
        <v>0.216</v>
      </c>
      <c r="AM331" s="5">
        <v>0.27300000000000002</v>
      </c>
      <c r="AN331">
        <v>0.8</v>
      </c>
      <c r="AO331">
        <v>4.49</v>
      </c>
      <c r="AP331">
        <v>9.4600000000000009</v>
      </c>
      <c r="AQ331">
        <v>-15.58</v>
      </c>
      <c r="AR331">
        <v>5.5</v>
      </c>
      <c r="AS331" t="s">
        <v>3966</v>
      </c>
      <c r="AT331">
        <v>0.5</v>
      </c>
      <c r="AU331">
        <v>-0.8</v>
      </c>
      <c r="AV331">
        <v>3</v>
      </c>
      <c r="AW331">
        <v>27</v>
      </c>
      <c r="AX331">
        <v>16</v>
      </c>
      <c r="AY331">
        <v>22</v>
      </c>
      <c r="AZ331" t="s">
        <v>3967</v>
      </c>
      <c r="BA331">
        <v>82</v>
      </c>
      <c r="BB331" t="s">
        <v>36</v>
      </c>
      <c r="BC331" t="s">
        <v>36</v>
      </c>
      <c r="BD331" s="4">
        <f>HYPERLINK("http://mlb.mlb.com/team/player.jsp?player_id=457787",457787)</f>
        <v>457787</v>
      </c>
      <c r="BE331">
        <v>0</v>
      </c>
      <c r="BF331">
        <v>0</v>
      </c>
      <c r="BG331">
        <v>295</v>
      </c>
      <c r="BH331">
        <v>266</v>
      </c>
    </row>
    <row r="332" spans="1:60" x14ac:dyDescent="0.3">
      <c r="A332" s="4">
        <f>HYPERLINK("http://legacy.baseballprospectus.com/p/59421",59421)</f>
        <v>59421</v>
      </c>
      <c r="B332" t="s">
        <v>348</v>
      </c>
      <c r="C332" t="s">
        <v>108</v>
      </c>
      <c r="D332" s="10">
        <v>33299</v>
      </c>
      <c r="E332" t="s">
        <v>58</v>
      </c>
      <c r="F332" t="s">
        <v>37</v>
      </c>
      <c r="G332" t="s">
        <v>33</v>
      </c>
      <c r="H332">
        <v>73</v>
      </c>
      <c r="I332">
        <v>190</v>
      </c>
      <c r="J332">
        <v>2018</v>
      </c>
      <c r="K332" s="4" t="str">
        <f>HYPERLINK("http://legacy.baseballprospectus.com/fantasy/dc/index.php?tm=MIL","MIL")</f>
        <v>MIL</v>
      </c>
      <c r="L332" t="s">
        <v>95</v>
      </c>
      <c r="M332" t="s">
        <v>34</v>
      </c>
      <c r="N332">
        <v>27</v>
      </c>
      <c r="O332">
        <v>250</v>
      </c>
      <c r="P332" t="s">
        <v>1680</v>
      </c>
      <c r="Q332">
        <v>221</v>
      </c>
      <c r="R332">
        <v>30</v>
      </c>
      <c r="S332">
        <v>33</v>
      </c>
      <c r="T332">
        <v>10</v>
      </c>
      <c r="U332">
        <v>1</v>
      </c>
      <c r="V332">
        <v>8</v>
      </c>
      <c r="W332">
        <v>52</v>
      </c>
      <c r="X332">
        <v>88</v>
      </c>
      <c r="Y332">
        <v>30</v>
      </c>
      <c r="Z332">
        <v>25</v>
      </c>
      <c r="AA332">
        <v>1</v>
      </c>
      <c r="AB332">
        <v>2</v>
      </c>
      <c r="AC332">
        <v>60</v>
      </c>
      <c r="AD332">
        <v>1</v>
      </c>
      <c r="AE332">
        <v>2</v>
      </c>
      <c r="AF332">
        <v>5</v>
      </c>
      <c r="AG332">
        <v>6</v>
      </c>
      <c r="AH332">
        <v>1</v>
      </c>
      <c r="AI332" s="5">
        <v>0.23499999999999999</v>
      </c>
      <c r="AJ332" s="5">
        <v>0.316</v>
      </c>
      <c r="AK332" s="5">
        <v>0.39900000000000002</v>
      </c>
      <c r="AL332" s="5">
        <v>0.24399999999999999</v>
      </c>
      <c r="AM332" s="5">
        <v>0.28199999999999997</v>
      </c>
      <c r="AN332">
        <v>-0.5</v>
      </c>
      <c r="AO332">
        <v>2.5099999999999998</v>
      </c>
      <c r="AP332">
        <v>7</v>
      </c>
      <c r="AQ332">
        <v>-4.32</v>
      </c>
      <c r="AR332">
        <v>-0.5</v>
      </c>
      <c r="AS332" t="s">
        <v>3968</v>
      </c>
      <c r="AT332">
        <v>0.5</v>
      </c>
      <c r="AU332">
        <v>4.7</v>
      </c>
      <c r="AV332">
        <v>5</v>
      </c>
      <c r="AW332">
        <v>34</v>
      </c>
      <c r="AX332">
        <v>13</v>
      </c>
      <c r="AY332">
        <v>19</v>
      </c>
      <c r="AZ332" t="s">
        <v>3969</v>
      </c>
      <c r="BA332">
        <v>80</v>
      </c>
      <c r="BB332" t="s">
        <v>36</v>
      </c>
      <c r="BC332" t="s">
        <v>36</v>
      </c>
      <c r="BD332" s="4">
        <f>HYPERLINK("http://mlb.mlb.com/team/player.jsp?player_id=545338",545338)</f>
        <v>545338</v>
      </c>
      <c r="BE332">
        <v>0</v>
      </c>
      <c r="BF332">
        <v>0</v>
      </c>
      <c r="BG332">
        <v>119</v>
      </c>
      <c r="BH332">
        <v>106</v>
      </c>
    </row>
    <row r="333" spans="1:60" x14ac:dyDescent="0.3">
      <c r="A333" s="4">
        <f>HYPERLINK("http://legacy.baseballprospectus.com/p/67418",67418)</f>
        <v>67418</v>
      </c>
      <c r="B333" t="s">
        <v>223</v>
      </c>
      <c r="C333" t="s">
        <v>1742</v>
      </c>
      <c r="D333" s="10">
        <v>33894</v>
      </c>
      <c r="E333" t="s">
        <v>53</v>
      </c>
      <c r="F333" t="s">
        <v>33</v>
      </c>
      <c r="G333" t="s">
        <v>33</v>
      </c>
      <c r="H333">
        <v>71</v>
      </c>
      <c r="I333">
        <v>215</v>
      </c>
      <c r="J333">
        <v>2018</v>
      </c>
      <c r="K333" s="4" t="str">
        <f>HYPERLINK("http://legacy.baseballprospectus.com/fantasy/dc/index.php?tm=TEX","TEX")</f>
        <v>TEX</v>
      </c>
      <c r="L333" t="s">
        <v>95</v>
      </c>
      <c r="M333" t="s">
        <v>34</v>
      </c>
      <c r="N333">
        <v>25</v>
      </c>
      <c r="O333">
        <v>250</v>
      </c>
      <c r="P333" t="s">
        <v>1680</v>
      </c>
      <c r="Q333">
        <v>233</v>
      </c>
      <c r="R333">
        <v>29</v>
      </c>
      <c r="S333">
        <v>43</v>
      </c>
      <c r="T333">
        <v>12</v>
      </c>
      <c r="U333">
        <v>1</v>
      </c>
      <c r="V333">
        <v>7</v>
      </c>
      <c r="W333">
        <v>63</v>
      </c>
      <c r="X333">
        <v>98</v>
      </c>
      <c r="Y333">
        <v>26</v>
      </c>
      <c r="Z333">
        <v>10</v>
      </c>
      <c r="AA333">
        <v>1</v>
      </c>
      <c r="AB333">
        <v>2</v>
      </c>
      <c r="AC333">
        <v>38</v>
      </c>
      <c r="AD333">
        <v>4</v>
      </c>
      <c r="AE333">
        <v>1</v>
      </c>
      <c r="AF333">
        <v>6</v>
      </c>
      <c r="AG333">
        <v>2</v>
      </c>
      <c r="AH333">
        <v>1</v>
      </c>
      <c r="AI333" s="5">
        <v>0.27</v>
      </c>
      <c r="AJ333" s="5">
        <v>0.30299999999999999</v>
      </c>
      <c r="AK333" s="5">
        <v>0.41799999999999998</v>
      </c>
      <c r="AL333" s="5">
        <v>0.23200000000000001</v>
      </c>
      <c r="AM333" s="5">
        <v>0.29099999999999998</v>
      </c>
      <c r="AN333">
        <v>-0.3</v>
      </c>
      <c r="AO333">
        <v>3.51</v>
      </c>
      <c r="AP333">
        <v>7</v>
      </c>
      <c r="AQ333">
        <v>-7.48</v>
      </c>
      <c r="AR333">
        <v>1.8</v>
      </c>
      <c r="AS333" t="s">
        <v>1795</v>
      </c>
      <c r="AT333">
        <v>0.5</v>
      </c>
      <c r="AU333">
        <v>2.8</v>
      </c>
      <c r="AV333">
        <v>9</v>
      </c>
      <c r="AW333">
        <v>38</v>
      </c>
      <c r="AX333">
        <v>10</v>
      </c>
      <c r="AY333">
        <v>35</v>
      </c>
      <c r="AZ333" t="s">
        <v>3901</v>
      </c>
      <c r="BA333">
        <v>69</v>
      </c>
      <c r="BB333" t="s">
        <v>36</v>
      </c>
      <c r="BC333" t="s">
        <v>36</v>
      </c>
      <c r="BD333" s="4">
        <f>HYPERLINK("http://mlb.mlb.com/team/player.jsp?player_id=593643",593643)</f>
        <v>593643</v>
      </c>
      <c r="BE333">
        <v>0</v>
      </c>
      <c r="BF333">
        <v>0</v>
      </c>
      <c r="BG333">
        <v>0</v>
      </c>
      <c r="BH333">
        <v>0</v>
      </c>
    </row>
    <row r="334" spans="1:60" x14ac:dyDescent="0.3">
      <c r="A334" s="4">
        <f>HYPERLINK("http://legacy.baseballprospectus.com/p/69854",69854)</f>
        <v>69854</v>
      </c>
      <c r="B334" t="s">
        <v>1078</v>
      </c>
      <c r="C334" t="s">
        <v>1110</v>
      </c>
      <c r="D334" s="10">
        <v>33002</v>
      </c>
      <c r="E334" t="s">
        <v>53</v>
      </c>
      <c r="F334" t="s">
        <v>9</v>
      </c>
      <c r="G334" t="s">
        <v>33</v>
      </c>
      <c r="H334">
        <v>72</v>
      </c>
      <c r="I334">
        <v>215</v>
      </c>
      <c r="J334">
        <v>2018</v>
      </c>
      <c r="K334" s="4" t="str">
        <f>HYPERLINK("http://legacy.baseballprospectus.com/fantasy/dc/index.php?tm=NYA","NYA")</f>
        <v>NYA</v>
      </c>
      <c r="L334" t="s">
        <v>100</v>
      </c>
      <c r="M334" t="s">
        <v>34</v>
      </c>
      <c r="N334">
        <v>28</v>
      </c>
      <c r="O334">
        <v>277</v>
      </c>
      <c r="P334" t="s">
        <v>1680</v>
      </c>
      <c r="Q334">
        <v>240</v>
      </c>
      <c r="R334">
        <v>34</v>
      </c>
      <c r="S334">
        <v>40</v>
      </c>
      <c r="T334">
        <v>12</v>
      </c>
      <c r="U334">
        <v>2</v>
      </c>
      <c r="V334">
        <v>5</v>
      </c>
      <c r="W334">
        <v>59</v>
      </c>
      <c r="X334">
        <v>90</v>
      </c>
      <c r="Y334">
        <v>24</v>
      </c>
      <c r="Z334">
        <v>32</v>
      </c>
      <c r="AA334">
        <v>2</v>
      </c>
      <c r="AB334">
        <v>2</v>
      </c>
      <c r="AC334">
        <v>55</v>
      </c>
      <c r="AD334">
        <v>3</v>
      </c>
      <c r="AE334">
        <v>1</v>
      </c>
      <c r="AF334">
        <v>5</v>
      </c>
      <c r="AG334">
        <v>5</v>
      </c>
      <c r="AH334">
        <v>3</v>
      </c>
      <c r="AI334" s="5">
        <v>0.24099999999999999</v>
      </c>
      <c r="AJ334" s="5">
        <v>0.33200000000000002</v>
      </c>
      <c r="AK334" s="5">
        <v>0.36399999999999999</v>
      </c>
      <c r="AL334" s="5">
        <v>0.23699999999999999</v>
      </c>
      <c r="AM334" s="5">
        <v>0.28699999999999998</v>
      </c>
      <c r="AN334">
        <v>0.8</v>
      </c>
      <c r="AO334">
        <v>2.68</v>
      </c>
      <c r="AP334">
        <v>7.76</v>
      </c>
      <c r="AQ334">
        <v>-6.56</v>
      </c>
      <c r="AR334">
        <v>0</v>
      </c>
      <c r="AS334" t="s">
        <v>3971</v>
      </c>
      <c r="AT334">
        <v>0.5</v>
      </c>
      <c r="AU334">
        <v>4.5999999999999996</v>
      </c>
      <c r="AV334">
        <v>1</v>
      </c>
      <c r="AW334">
        <v>34</v>
      </c>
      <c r="AX334">
        <v>9</v>
      </c>
      <c r="AY334">
        <v>19</v>
      </c>
      <c r="AZ334" t="s">
        <v>3972</v>
      </c>
      <c r="BA334">
        <v>85</v>
      </c>
      <c r="BB334" t="s">
        <v>36</v>
      </c>
      <c r="BC334" t="s">
        <v>36</v>
      </c>
      <c r="BD334" s="4">
        <f>HYPERLINK("http://mlb.mlb.com/team/player.jsp?player_id=607054",607054)</f>
        <v>607054</v>
      </c>
      <c r="BE334">
        <v>0</v>
      </c>
      <c r="BF334">
        <v>0</v>
      </c>
      <c r="BG334">
        <v>215</v>
      </c>
      <c r="BH334">
        <v>186</v>
      </c>
    </row>
    <row r="335" spans="1:60" x14ac:dyDescent="0.3">
      <c r="A335" s="4">
        <f>HYPERLINK("http://legacy.baseballprospectus.com/p/71049",71049)</f>
        <v>71049</v>
      </c>
      <c r="B335" t="s">
        <v>1841</v>
      </c>
      <c r="C335" t="s">
        <v>1616</v>
      </c>
      <c r="D335" s="10">
        <v>33931</v>
      </c>
      <c r="E335" t="s">
        <v>58</v>
      </c>
      <c r="F335" t="s">
        <v>37</v>
      </c>
      <c r="G335" t="s">
        <v>33</v>
      </c>
      <c r="H335">
        <v>69</v>
      </c>
      <c r="I335">
        <v>195</v>
      </c>
      <c r="J335">
        <v>2018</v>
      </c>
      <c r="K335" s="4" t="str">
        <f>HYPERLINK("http://legacy.baseballprospectus.com/fantasy/dc/index.php?tm=BOS","BOS")</f>
        <v>BOS</v>
      </c>
      <c r="L335" t="s">
        <v>95</v>
      </c>
      <c r="M335" t="s">
        <v>34</v>
      </c>
      <c r="N335">
        <v>25</v>
      </c>
      <c r="O335">
        <v>250</v>
      </c>
      <c r="P335" t="s">
        <v>1680</v>
      </c>
      <c r="Q335">
        <v>230</v>
      </c>
      <c r="R335">
        <v>24</v>
      </c>
      <c r="S335">
        <v>39</v>
      </c>
      <c r="T335">
        <v>13</v>
      </c>
      <c r="U335">
        <v>0</v>
      </c>
      <c r="V335">
        <v>5</v>
      </c>
      <c r="W335">
        <v>57</v>
      </c>
      <c r="X335">
        <v>85</v>
      </c>
      <c r="Y335">
        <v>27</v>
      </c>
      <c r="Z335">
        <v>13</v>
      </c>
      <c r="AA335">
        <v>2</v>
      </c>
      <c r="AB335">
        <v>4</v>
      </c>
      <c r="AC335">
        <v>61</v>
      </c>
      <c r="AD335">
        <v>1</v>
      </c>
      <c r="AE335">
        <v>2</v>
      </c>
      <c r="AF335">
        <v>5</v>
      </c>
      <c r="AG335">
        <v>1</v>
      </c>
      <c r="AH335">
        <v>1</v>
      </c>
      <c r="AI335" s="5">
        <v>0.25</v>
      </c>
      <c r="AJ335" s="5">
        <v>0.30099999999999999</v>
      </c>
      <c r="AK335" s="5">
        <v>0.377</v>
      </c>
      <c r="AL335" s="5">
        <v>0.23400000000000001</v>
      </c>
      <c r="AM335" s="5">
        <v>0.314</v>
      </c>
      <c r="AN335">
        <v>-0.5</v>
      </c>
      <c r="AO335">
        <v>3.31</v>
      </c>
      <c r="AP335">
        <v>7</v>
      </c>
      <c r="AQ335">
        <v>-6.96</v>
      </c>
      <c r="AR335">
        <v>1.4</v>
      </c>
      <c r="AS335" t="s">
        <v>69</v>
      </c>
      <c r="AT335">
        <v>0.5</v>
      </c>
      <c r="AU335">
        <v>2.9</v>
      </c>
      <c r="AV335">
        <v>2</v>
      </c>
      <c r="AW335">
        <v>8</v>
      </c>
      <c r="AX335">
        <v>11</v>
      </c>
      <c r="AY335">
        <v>16</v>
      </c>
      <c r="AZ335" t="s">
        <v>1859</v>
      </c>
      <c r="BA335">
        <v>28</v>
      </c>
      <c r="BB335" t="s">
        <v>36</v>
      </c>
      <c r="BC335" t="s">
        <v>35</v>
      </c>
      <c r="BD335" s="4">
        <f>HYPERLINK("http://mlb.mlb.com/team/player.jsp?player_id=596122",596122)</f>
        <v>596122</v>
      </c>
      <c r="BE335">
        <v>0</v>
      </c>
      <c r="BF335">
        <v>0</v>
      </c>
      <c r="BG335">
        <v>0</v>
      </c>
      <c r="BH335">
        <v>0</v>
      </c>
    </row>
    <row r="336" spans="1:60" x14ac:dyDescent="0.3">
      <c r="A336" s="4">
        <f>HYPERLINK("http://legacy.baseballprospectus.com/p/103380",103380)</f>
        <v>103380</v>
      </c>
      <c r="B336" t="s">
        <v>1843</v>
      </c>
      <c r="C336" t="s">
        <v>487</v>
      </c>
      <c r="D336" s="10">
        <v>33864</v>
      </c>
      <c r="E336" t="s">
        <v>65</v>
      </c>
      <c r="F336" t="s">
        <v>9</v>
      </c>
      <c r="G336" t="s">
        <v>9</v>
      </c>
      <c r="H336">
        <v>73</v>
      </c>
      <c r="I336">
        <v>175</v>
      </c>
      <c r="J336">
        <v>2018</v>
      </c>
      <c r="K336" s="4" t="str">
        <f>HYPERLINK("http://legacy.baseballprospectus.com/fantasy/dc/index.php?tm=MIN","MIN")</f>
        <v>MIN</v>
      </c>
      <c r="L336" t="s">
        <v>95</v>
      </c>
      <c r="M336" t="s">
        <v>34</v>
      </c>
      <c r="N336">
        <v>25</v>
      </c>
      <c r="O336">
        <v>141</v>
      </c>
      <c r="P336">
        <v>43</v>
      </c>
      <c r="Q336">
        <v>127</v>
      </c>
      <c r="R336">
        <v>19</v>
      </c>
      <c r="S336">
        <v>25</v>
      </c>
      <c r="T336">
        <v>5</v>
      </c>
      <c r="U336">
        <v>1</v>
      </c>
      <c r="V336">
        <v>3</v>
      </c>
      <c r="W336">
        <v>34</v>
      </c>
      <c r="X336">
        <v>50</v>
      </c>
      <c r="Y336">
        <v>13</v>
      </c>
      <c r="Z336">
        <v>11</v>
      </c>
      <c r="AA336">
        <v>1</v>
      </c>
      <c r="AB336">
        <v>1</v>
      </c>
      <c r="AC336">
        <v>20</v>
      </c>
      <c r="AD336">
        <v>2</v>
      </c>
      <c r="AE336">
        <v>1</v>
      </c>
      <c r="AF336">
        <v>3</v>
      </c>
      <c r="AG336">
        <v>7</v>
      </c>
      <c r="AH336">
        <v>2</v>
      </c>
      <c r="AI336" s="5">
        <v>0.26800000000000002</v>
      </c>
      <c r="AJ336" s="5">
        <v>0.32900000000000001</v>
      </c>
      <c r="AK336" s="5">
        <v>0.39400000000000002</v>
      </c>
      <c r="AL336" s="5">
        <v>0.248</v>
      </c>
      <c r="AM336" s="5">
        <v>0.29799999999999999</v>
      </c>
      <c r="AN336">
        <v>0.6</v>
      </c>
      <c r="AO336">
        <v>-0.02</v>
      </c>
      <c r="AP336">
        <v>3.79</v>
      </c>
      <c r="AQ336">
        <v>-1.8</v>
      </c>
      <c r="AR336">
        <v>2.2000000000000002</v>
      </c>
      <c r="AS336" t="s">
        <v>1332</v>
      </c>
      <c r="AT336">
        <v>0.5</v>
      </c>
      <c r="AU336">
        <v>2.6</v>
      </c>
      <c r="AV336">
        <v>5</v>
      </c>
      <c r="AW336">
        <v>34</v>
      </c>
      <c r="AX336">
        <v>8</v>
      </c>
      <c r="AY336">
        <v>32</v>
      </c>
      <c r="AZ336" t="s">
        <v>3933</v>
      </c>
      <c r="BA336">
        <v>57</v>
      </c>
      <c r="BB336" t="s">
        <v>35</v>
      </c>
      <c r="BC336" t="s">
        <v>35</v>
      </c>
      <c r="BD336" s="4">
        <f>HYPERLINK("http://mlb.mlb.com/team/player.jsp?player_id=643335",643335)</f>
        <v>643335</v>
      </c>
      <c r="BE336">
        <v>618</v>
      </c>
      <c r="BF336">
        <v>1618</v>
      </c>
      <c r="BG336">
        <v>107</v>
      </c>
      <c r="BH336">
        <v>93</v>
      </c>
    </row>
    <row r="337" spans="1:60" x14ac:dyDescent="0.3">
      <c r="A337" s="4">
        <f>HYPERLINK("http://legacy.baseballprospectus.com/p/101618",101618)</f>
        <v>101618</v>
      </c>
      <c r="B337" t="s">
        <v>349</v>
      </c>
      <c r="C337" t="s">
        <v>313</v>
      </c>
      <c r="D337" s="10">
        <v>33586</v>
      </c>
      <c r="E337" t="s">
        <v>58</v>
      </c>
      <c r="F337" t="s">
        <v>9</v>
      </c>
      <c r="G337" t="s">
        <v>33</v>
      </c>
      <c r="H337">
        <v>69</v>
      </c>
      <c r="I337">
        <v>185</v>
      </c>
      <c r="J337">
        <v>2018</v>
      </c>
      <c r="K337" s="4" t="str">
        <f>HYPERLINK("http://legacy.baseballprospectus.com/fantasy/dc/index.php?tm=PIT","PIT")</f>
        <v>PIT</v>
      </c>
      <c r="L337" t="s">
        <v>100</v>
      </c>
      <c r="M337" t="s">
        <v>34</v>
      </c>
      <c r="N337">
        <v>26</v>
      </c>
      <c r="O337">
        <v>200</v>
      </c>
      <c r="P337">
        <v>95</v>
      </c>
      <c r="Q337">
        <v>179</v>
      </c>
      <c r="R337">
        <v>26</v>
      </c>
      <c r="S337">
        <v>37</v>
      </c>
      <c r="T337">
        <v>9</v>
      </c>
      <c r="U337">
        <v>2</v>
      </c>
      <c r="V337">
        <v>3</v>
      </c>
      <c r="W337">
        <v>51</v>
      </c>
      <c r="X337">
        <v>73</v>
      </c>
      <c r="Y337">
        <v>18</v>
      </c>
      <c r="Z337">
        <v>16</v>
      </c>
      <c r="AA337">
        <v>1</v>
      </c>
      <c r="AB337">
        <v>2</v>
      </c>
      <c r="AC337">
        <v>27</v>
      </c>
      <c r="AD337">
        <v>2</v>
      </c>
      <c r="AE337">
        <v>1</v>
      </c>
      <c r="AF337">
        <v>4</v>
      </c>
      <c r="AG337">
        <v>5</v>
      </c>
      <c r="AH337">
        <v>3</v>
      </c>
      <c r="AI337" s="5">
        <v>0.28499999999999998</v>
      </c>
      <c r="AJ337" s="5">
        <v>0.34799999999999998</v>
      </c>
      <c r="AK337" s="5">
        <v>0.40799999999999997</v>
      </c>
      <c r="AL337" s="5">
        <v>0.26900000000000002</v>
      </c>
      <c r="AM337" s="5">
        <v>0.317</v>
      </c>
      <c r="AN337">
        <v>-0.2</v>
      </c>
      <c r="AO337">
        <v>-0.46</v>
      </c>
      <c r="AP337">
        <v>5.37</v>
      </c>
      <c r="AQ337">
        <v>1.84</v>
      </c>
      <c r="AR337">
        <v>-1.5</v>
      </c>
      <c r="AS337" t="s">
        <v>4972</v>
      </c>
      <c r="AT337">
        <v>0.5</v>
      </c>
      <c r="AU337">
        <v>6.6</v>
      </c>
      <c r="AV337">
        <v>6</v>
      </c>
      <c r="AW337">
        <v>49</v>
      </c>
      <c r="AX337">
        <v>11</v>
      </c>
      <c r="AY337">
        <v>20</v>
      </c>
      <c r="AZ337" t="s">
        <v>3601</v>
      </c>
      <c r="BA337">
        <v>90</v>
      </c>
      <c r="BB337" t="s">
        <v>35</v>
      </c>
      <c r="BC337" t="s">
        <v>36</v>
      </c>
      <c r="BD337" s="4">
        <f>HYPERLINK("http://mlb.mlb.com/team/player.jsp?player_id=624428",624428)</f>
        <v>624428</v>
      </c>
      <c r="BE337">
        <v>1456</v>
      </c>
      <c r="BF337">
        <v>456</v>
      </c>
      <c r="BG337">
        <v>454</v>
      </c>
      <c r="BH337">
        <v>406</v>
      </c>
    </row>
    <row r="338" spans="1:60" x14ac:dyDescent="0.3">
      <c r="A338" s="4">
        <f>HYPERLINK("http://legacy.baseballprospectus.com/p/101603",101603)</f>
        <v>101603</v>
      </c>
      <c r="B338" t="s">
        <v>116</v>
      </c>
      <c r="C338" t="s">
        <v>192</v>
      </c>
      <c r="D338" s="10">
        <v>34675</v>
      </c>
      <c r="E338" t="s">
        <v>50</v>
      </c>
      <c r="F338" t="s">
        <v>33</v>
      </c>
      <c r="G338" t="s">
        <v>33</v>
      </c>
      <c r="H338">
        <v>75</v>
      </c>
      <c r="I338">
        <v>245</v>
      </c>
      <c r="J338">
        <v>2018</v>
      </c>
      <c r="K338" s="4" t="str">
        <f>HYPERLINK("http://legacy.baseballprospectus.com/fantasy/dc/index.php?tm=NYN","NYN")</f>
        <v>NYN</v>
      </c>
      <c r="L338" t="s">
        <v>100</v>
      </c>
      <c r="M338" t="s">
        <v>34</v>
      </c>
      <c r="N338">
        <v>23</v>
      </c>
      <c r="O338">
        <v>250</v>
      </c>
      <c r="P338" t="s">
        <v>1680</v>
      </c>
      <c r="Q338">
        <v>228</v>
      </c>
      <c r="R338">
        <v>30</v>
      </c>
      <c r="S338">
        <v>31</v>
      </c>
      <c r="T338">
        <v>12</v>
      </c>
      <c r="U338">
        <v>0</v>
      </c>
      <c r="V338">
        <v>12</v>
      </c>
      <c r="W338">
        <v>55</v>
      </c>
      <c r="X338">
        <v>103</v>
      </c>
      <c r="Y338">
        <v>37</v>
      </c>
      <c r="Z338">
        <v>16</v>
      </c>
      <c r="AA338">
        <v>1</v>
      </c>
      <c r="AB338">
        <v>4</v>
      </c>
      <c r="AC338">
        <v>63</v>
      </c>
      <c r="AD338">
        <v>1</v>
      </c>
      <c r="AE338">
        <v>1</v>
      </c>
      <c r="AF338">
        <v>6</v>
      </c>
      <c r="AG338">
        <v>1</v>
      </c>
      <c r="AH338">
        <v>0</v>
      </c>
      <c r="AI338" s="5">
        <v>0.246</v>
      </c>
      <c r="AJ338" s="5">
        <v>0.30499999999999999</v>
      </c>
      <c r="AK338" s="5">
        <v>0.46300000000000002</v>
      </c>
      <c r="AL338" s="5">
        <v>0.25600000000000001</v>
      </c>
      <c r="AM338" s="5">
        <v>0.28299999999999997</v>
      </c>
      <c r="AN338">
        <v>-0.5</v>
      </c>
      <c r="AO338">
        <v>-2.31</v>
      </c>
      <c r="AP338">
        <v>7</v>
      </c>
      <c r="AQ338">
        <v>-1</v>
      </c>
      <c r="AR338">
        <v>1.5</v>
      </c>
      <c r="AS338" t="s">
        <v>77</v>
      </c>
      <c r="AT338">
        <v>0.5</v>
      </c>
      <c r="AU338">
        <v>3.2</v>
      </c>
      <c r="AV338">
        <v>4</v>
      </c>
      <c r="AW338">
        <v>17</v>
      </c>
      <c r="AX338">
        <v>5</v>
      </c>
      <c r="AY338">
        <v>21</v>
      </c>
      <c r="AZ338" t="s">
        <v>3977</v>
      </c>
      <c r="BA338">
        <v>37</v>
      </c>
      <c r="BB338" t="s">
        <v>36</v>
      </c>
      <c r="BC338" t="s">
        <v>35</v>
      </c>
      <c r="BD338" s="4">
        <f>HYPERLINK("http://mlb.mlb.com/team/player.jsp?player_id=624413",624413)</f>
        <v>624413</v>
      </c>
      <c r="BE338">
        <v>1442</v>
      </c>
      <c r="BF338">
        <v>442</v>
      </c>
      <c r="BG338">
        <v>0</v>
      </c>
      <c r="BH338">
        <v>0</v>
      </c>
    </row>
    <row r="339" spans="1:60" x14ac:dyDescent="0.3">
      <c r="A339" s="4">
        <f>HYPERLINK("http://legacy.baseballprospectus.com/p/102293",102293)</f>
        <v>102293</v>
      </c>
      <c r="B339" t="s">
        <v>1872</v>
      </c>
      <c r="C339" t="s">
        <v>1873</v>
      </c>
      <c r="D339" s="10">
        <v>34062</v>
      </c>
      <c r="E339" t="s">
        <v>58</v>
      </c>
      <c r="F339" t="s">
        <v>33</v>
      </c>
      <c r="G339" t="s">
        <v>33</v>
      </c>
      <c r="H339">
        <v>70</v>
      </c>
      <c r="I339">
        <v>170</v>
      </c>
      <c r="J339">
        <v>2018</v>
      </c>
      <c r="K339" s="4" t="str">
        <f>HYPERLINK("http://legacy.baseballprospectus.com/fantasy/dc/index.php?tm=TEX","TEX")</f>
        <v>TEX</v>
      </c>
      <c r="L339" t="s">
        <v>95</v>
      </c>
      <c r="M339" t="s">
        <v>34</v>
      </c>
      <c r="N339">
        <v>25</v>
      </c>
      <c r="O339">
        <v>250</v>
      </c>
      <c r="P339" t="s">
        <v>1680</v>
      </c>
      <c r="Q339">
        <v>224</v>
      </c>
      <c r="R339">
        <v>28</v>
      </c>
      <c r="S339">
        <v>36</v>
      </c>
      <c r="T339">
        <v>13</v>
      </c>
      <c r="U339">
        <v>1</v>
      </c>
      <c r="V339">
        <v>8</v>
      </c>
      <c r="W339">
        <v>58</v>
      </c>
      <c r="X339">
        <v>97</v>
      </c>
      <c r="Y339">
        <v>31</v>
      </c>
      <c r="Z339">
        <v>21</v>
      </c>
      <c r="AA339">
        <v>1</v>
      </c>
      <c r="AB339">
        <v>2</v>
      </c>
      <c r="AC339">
        <v>47</v>
      </c>
      <c r="AD339">
        <v>2</v>
      </c>
      <c r="AE339">
        <v>2</v>
      </c>
      <c r="AF339">
        <v>6</v>
      </c>
      <c r="AG339">
        <v>2</v>
      </c>
      <c r="AH339">
        <v>1</v>
      </c>
      <c r="AI339" s="5">
        <v>0.254</v>
      </c>
      <c r="AJ339" s="5">
        <v>0.32</v>
      </c>
      <c r="AK339" s="5">
        <v>0.42299999999999999</v>
      </c>
      <c r="AL339" s="5">
        <v>0.24199999999999999</v>
      </c>
      <c r="AM339" s="5">
        <v>0.28299999999999997</v>
      </c>
      <c r="AN339">
        <v>-0.2</v>
      </c>
      <c r="AO339">
        <v>3.17</v>
      </c>
      <c r="AP339">
        <v>7</v>
      </c>
      <c r="AQ339">
        <v>-4.8499999999999996</v>
      </c>
      <c r="AR339">
        <v>-0.9</v>
      </c>
      <c r="AS339" t="s">
        <v>1875</v>
      </c>
      <c r="AT339">
        <v>0.5</v>
      </c>
      <c r="AU339">
        <v>5.0999999999999996</v>
      </c>
      <c r="AV339">
        <v>2</v>
      </c>
      <c r="AW339">
        <v>9</v>
      </c>
      <c r="AX339">
        <v>14</v>
      </c>
      <c r="AY339">
        <v>25</v>
      </c>
      <c r="AZ339" t="s">
        <v>3978</v>
      </c>
      <c r="BA339">
        <v>44</v>
      </c>
      <c r="BB339" t="s">
        <v>36</v>
      </c>
      <c r="BC339" t="s">
        <v>35</v>
      </c>
      <c r="BD339" s="4">
        <f>HYPERLINK("http://mlb.mlb.com/team/player.jsp?player_id=628451",628451)</f>
        <v>628451</v>
      </c>
      <c r="BE339">
        <v>0</v>
      </c>
      <c r="BF339">
        <v>0</v>
      </c>
      <c r="BG339">
        <v>0</v>
      </c>
      <c r="BH339">
        <v>0</v>
      </c>
    </row>
    <row r="340" spans="1:60" x14ac:dyDescent="0.3">
      <c r="A340" s="4">
        <f>HYPERLINK("http://legacy.baseballprospectus.com/p/102790",102790)</f>
        <v>102790</v>
      </c>
      <c r="B340" t="s">
        <v>997</v>
      </c>
      <c r="C340" t="s">
        <v>3979</v>
      </c>
      <c r="D340" s="10">
        <v>34806</v>
      </c>
      <c r="E340" t="s">
        <v>58</v>
      </c>
      <c r="F340" t="s">
        <v>9</v>
      </c>
      <c r="G340" t="s">
        <v>33</v>
      </c>
      <c r="H340">
        <v>71</v>
      </c>
      <c r="I340">
        <v>190</v>
      </c>
      <c r="J340">
        <v>2018</v>
      </c>
      <c r="K340" s="4" t="str">
        <f>HYPERLINK("http://legacy.baseballprospectus.com/fantasy/dc/index.php?tm=TBA","TBA")</f>
        <v>TBA</v>
      </c>
      <c r="L340" t="s">
        <v>95</v>
      </c>
      <c r="M340" t="s">
        <v>34</v>
      </c>
      <c r="N340">
        <v>23</v>
      </c>
      <c r="O340">
        <v>250</v>
      </c>
      <c r="P340" t="s">
        <v>1680</v>
      </c>
      <c r="Q340">
        <v>228</v>
      </c>
      <c r="R340">
        <v>30</v>
      </c>
      <c r="S340">
        <v>39</v>
      </c>
      <c r="T340">
        <v>10</v>
      </c>
      <c r="U340">
        <v>1</v>
      </c>
      <c r="V340">
        <v>5</v>
      </c>
      <c r="W340">
        <v>55</v>
      </c>
      <c r="X340">
        <v>82</v>
      </c>
      <c r="Y340">
        <v>23</v>
      </c>
      <c r="Z340">
        <v>17</v>
      </c>
      <c r="AA340">
        <v>1</v>
      </c>
      <c r="AB340">
        <v>1</v>
      </c>
      <c r="AC340">
        <v>55</v>
      </c>
      <c r="AD340">
        <v>3</v>
      </c>
      <c r="AE340">
        <v>1</v>
      </c>
      <c r="AF340">
        <v>5</v>
      </c>
      <c r="AG340">
        <v>5</v>
      </c>
      <c r="AH340">
        <v>3</v>
      </c>
      <c r="AI340" s="5">
        <v>0.24399999999999999</v>
      </c>
      <c r="AJ340" s="5">
        <v>0.29699999999999999</v>
      </c>
      <c r="AK340" s="5">
        <v>0.36599999999999999</v>
      </c>
      <c r="AL340" s="5">
        <v>0.22800000000000001</v>
      </c>
      <c r="AM340" s="5">
        <v>0.29199999999999998</v>
      </c>
      <c r="AN340">
        <v>-0.4</v>
      </c>
      <c r="AO340">
        <v>3.03</v>
      </c>
      <c r="AP340">
        <v>7</v>
      </c>
      <c r="AQ340">
        <v>-8.3800000000000008</v>
      </c>
      <c r="AR340">
        <v>3.5</v>
      </c>
      <c r="AS340" t="s">
        <v>3637</v>
      </c>
      <c r="AT340">
        <v>0.5</v>
      </c>
      <c r="AU340">
        <v>1.3</v>
      </c>
      <c r="AV340">
        <v>9</v>
      </c>
      <c r="AW340">
        <v>16</v>
      </c>
      <c r="AX340">
        <v>1</v>
      </c>
      <c r="AY340">
        <v>8</v>
      </c>
      <c r="AZ340" t="s">
        <v>3980</v>
      </c>
      <c r="BA340">
        <v>23</v>
      </c>
      <c r="BB340" t="s">
        <v>36</v>
      </c>
      <c r="BC340" t="s">
        <v>35</v>
      </c>
      <c r="BD340" s="4">
        <f>HYPERLINK("http://mlb.mlb.com/team/player.jsp?player_id=642221",642221)</f>
        <v>642221</v>
      </c>
      <c r="BE340">
        <v>0</v>
      </c>
      <c r="BF340">
        <v>0</v>
      </c>
      <c r="BG340">
        <v>0</v>
      </c>
      <c r="BH340">
        <v>0</v>
      </c>
    </row>
    <row r="341" spans="1:60" x14ac:dyDescent="0.3">
      <c r="A341" s="4">
        <f>HYPERLINK("http://legacy.baseballprospectus.com/p/105147",105147)</f>
        <v>105147</v>
      </c>
      <c r="B341" t="s">
        <v>1837</v>
      </c>
      <c r="C341" t="s">
        <v>241</v>
      </c>
      <c r="D341" s="10">
        <v>34530</v>
      </c>
      <c r="E341" t="s">
        <v>57</v>
      </c>
      <c r="F341" t="s">
        <v>33</v>
      </c>
      <c r="G341" t="s">
        <v>33</v>
      </c>
      <c r="H341">
        <v>71</v>
      </c>
      <c r="I341">
        <v>185</v>
      </c>
      <c r="J341">
        <v>2018</v>
      </c>
      <c r="K341" s="4" t="str">
        <f>HYPERLINK("http://legacy.baseballprospectus.com/fantasy/dc/index.php?tm=OAK","OAK")</f>
        <v>OAK</v>
      </c>
      <c r="L341" t="s">
        <v>95</v>
      </c>
      <c r="M341" t="s">
        <v>34</v>
      </c>
      <c r="N341">
        <v>23</v>
      </c>
      <c r="O341">
        <v>250</v>
      </c>
      <c r="P341" t="s">
        <v>1680</v>
      </c>
      <c r="Q341">
        <v>223</v>
      </c>
      <c r="R341">
        <v>30</v>
      </c>
      <c r="S341">
        <v>30</v>
      </c>
      <c r="T341">
        <v>11</v>
      </c>
      <c r="U341">
        <v>2</v>
      </c>
      <c r="V341">
        <v>7</v>
      </c>
      <c r="W341">
        <v>50</v>
      </c>
      <c r="X341">
        <v>86</v>
      </c>
      <c r="Y341">
        <v>29</v>
      </c>
      <c r="Z341">
        <v>22</v>
      </c>
      <c r="AA341">
        <v>1</v>
      </c>
      <c r="AB341">
        <v>4</v>
      </c>
      <c r="AC341">
        <v>71</v>
      </c>
      <c r="AD341">
        <v>1</v>
      </c>
      <c r="AE341">
        <v>1</v>
      </c>
      <c r="AF341">
        <v>6</v>
      </c>
      <c r="AG341">
        <v>10</v>
      </c>
      <c r="AH341">
        <v>3</v>
      </c>
      <c r="AI341" s="5">
        <v>0.23</v>
      </c>
      <c r="AJ341" s="5">
        <v>0.308</v>
      </c>
      <c r="AK341" s="5">
        <v>0.40200000000000002</v>
      </c>
      <c r="AL341" s="5">
        <v>0.24099999999999999</v>
      </c>
      <c r="AM341" s="5">
        <v>0.3</v>
      </c>
      <c r="AN341">
        <v>1.1000000000000001</v>
      </c>
      <c r="AO341">
        <v>0.71</v>
      </c>
      <c r="AP341">
        <v>7</v>
      </c>
      <c r="AQ341">
        <v>-4.96</v>
      </c>
      <c r="AR341">
        <v>0.5</v>
      </c>
      <c r="AS341" t="s">
        <v>3984</v>
      </c>
      <c r="AT341">
        <v>0.5</v>
      </c>
      <c r="AU341">
        <v>3.9</v>
      </c>
      <c r="AV341">
        <v>1</v>
      </c>
      <c r="AW341">
        <v>7</v>
      </c>
      <c r="AX341">
        <v>5</v>
      </c>
      <c r="AY341">
        <v>5</v>
      </c>
      <c r="AZ341" t="s">
        <v>3985</v>
      </c>
      <c r="BA341">
        <v>16</v>
      </c>
      <c r="BB341" t="s">
        <v>36</v>
      </c>
      <c r="BC341" t="s">
        <v>35</v>
      </c>
      <c r="BD341" s="4">
        <f>HYPERLINK("http://mlb.mlb.com/team/player.jsp?player_id=657656",657656)</f>
        <v>657656</v>
      </c>
      <c r="BE341">
        <v>666</v>
      </c>
      <c r="BF341">
        <v>1666</v>
      </c>
      <c r="BG341">
        <v>0</v>
      </c>
      <c r="BH341">
        <v>0</v>
      </c>
    </row>
    <row r="342" spans="1:60" x14ac:dyDescent="0.3">
      <c r="A342" s="4">
        <f>HYPERLINK("http://legacy.baseballprospectus.com/p/106765",106765)</f>
        <v>106765</v>
      </c>
      <c r="B342" t="s">
        <v>1625</v>
      </c>
      <c r="C342" t="s">
        <v>411</v>
      </c>
      <c r="D342" s="10">
        <v>35286</v>
      </c>
      <c r="E342" t="s">
        <v>53</v>
      </c>
      <c r="F342" t="s">
        <v>33</v>
      </c>
      <c r="G342" t="s">
        <v>33</v>
      </c>
      <c r="H342">
        <v>72</v>
      </c>
      <c r="I342">
        <v>180</v>
      </c>
      <c r="J342">
        <v>2018</v>
      </c>
      <c r="K342" s="4" t="str">
        <f>HYPERLINK("http://legacy.baseballprospectus.com/fantasy/dc/index.php?tm=COL","COL")</f>
        <v>COL</v>
      </c>
      <c r="L342" t="s">
        <v>100</v>
      </c>
      <c r="M342" t="s">
        <v>34</v>
      </c>
      <c r="N342">
        <v>21</v>
      </c>
      <c r="O342">
        <v>250</v>
      </c>
      <c r="P342" t="s">
        <v>1680</v>
      </c>
      <c r="Q342">
        <v>232</v>
      </c>
      <c r="R342">
        <v>31</v>
      </c>
      <c r="S342">
        <v>35</v>
      </c>
      <c r="T342">
        <v>12</v>
      </c>
      <c r="U342">
        <v>1</v>
      </c>
      <c r="V342">
        <v>10</v>
      </c>
      <c r="W342">
        <v>58</v>
      </c>
      <c r="X342">
        <v>102</v>
      </c>
      <c r="Y342">
        <v>32</v>
      </c>
      <c r="Z342">
        <v>12</v>
      </c>
      <c r="AA342">
        <v>1</v>
      </c>
      <c r="AB342">
        <v>4</v>
      </c>
      <c r="AC342">
        <v>64</v>
      </c>
      <c r="AD342">
        <v>1</v>
      </c>
      <c r="AE342">
        <v>1</v>
      </c>
      <c r="AF342">
        <v>6</v>
      </c>
      <c r="AG342">
        <v>0</v>
      </c>
      <c r="AH342">
        <v>0</v>
      </c>
      <c r="AI342" s="5">
        <v>0.254</v>
      </c>
      <c r="AJ342" s="5">
        <v>0.3</v>
      </c>
      <c r="AK342" s="5">
        <v>0.44800000000000001</v>
      </c>
      <c r="AL342" s="5">
        <v>0.23899999999999999</v>
      </c>
      <c r="AM342" s="5">
        <v>0.30299999999999999</v>
      </c>
      <c r="AN342">
        <v>-0.5</v>
      </c>
      <c r="AO342">
        <v>4.17</v>
      </c>
      <c r="AP342">
        <v>7</v>
      </c>
      <c r="AQ342">
        <v>-5.52</v>
      </c>
      <c r="AR342">
        <v>-0.5</v>
      </c>
      <c r="AS342" t="s">
        <v>1810</v>
      </c>
      <c r="AT342">
        <v>0.5</v>
      </c>
      <c r="AU342">
        <v>5.2</v>
      </c>
      <c r="AV342">
        <v>6</v>
      </c>
      <c r="AW342">
        <v>10</v>
      </c>
      <c r="AX342">
        <v>4</v>
      </c>
      <c r="AY342">
        <v>23</v>
      </c>
      <c r="AZ342" t="s">
        <v>3919</v>
      </c>
      <c r="BA342">
        <v>35</v>
      </c>
      <c r="BB342" t="s">
        <v>36</v>
      </c>
      <c r="BC342" t="s">
        <v>35</v>
      </c>
      <c r="BD342" s="4">
        <f>HYPERLINK("http://mlb.mlb.com/team/player.jsp?player_id=663898",663898)</f>
        <v>663898</v>
      </c>
      <c r="BE342">
        <v>1570</v>
      </c>
      <c r="BF342">
        <v>570</v>
      </c>
      <c r="BG342">
        <v>0</v>
      </c>
      <c r="BH342">
        <v>0</v>
      </c>
    </row>
    <row r="343" spans="1:60" x14ac:dyDescent="0.3">
      <c r="A343" s="4">
        <f>HYPERLINK("http://legacy.baseballprospectus.com/p/108051",108051)</f>
        <v>108051</v>
      </c>
      <c r="B343" t="s">
        <v>1717</v>
      </c>
      <c r="C343" t="s">
        <v>233</v>
      </c>
      <c r="D343" s="10">
        <v>35676</v>
      </c>
      <c r="E343" t="s">
        <v>53</v>
      </c>
      <c r="F343" t="s">
        <v>33</v>
      </c>
      <c r="G343" t="s">
        <v>33</v>
      </c>
      <c r="H343">
        <v>74</v>
      </c>
      <c r="I343">
        <v>190</v>
      </c>
      <c r="J343">
        <v>2018</v>
      </c>
      <c r="K343" s="4" t="str">
        <f>HYPERLINK("http://legacy.baseballprospectus.com/fantasy/dc/index.php?tm=WAS","WAS")</f>
        <v>WAS</v>
      </c>
      <c r="L343" t="s">
        <v>100</v>
      </c>
      <c r="M343" t="s">
        <v>34</v>
      </c>
      <c r="N343">
        <v>20</v>
      </c>
      <c r="O343">
        <v>250</v>
      </c>
      <c r="P343" t="s">
        <v>1680</v>
      </c>
      <c r="Q343">
        <v>224</v>
      </c>
      <c r="R343">
        <v>31</v>
      </c>
      <c r="S343">
        <v>31</v>
      </c>
      <c r="T343">
        <v>10</v>
      </c>
      <c r="U343">
        <v>0</v>
      </c>
      <c r="V343">
        <v>9</v>
      </c>
      <c r="W343">
        <v>50</v>
      </c>
      <c r="X343">
        <v>87</v>
      </c>
      <c r="Y343">
        <v>29</v>
      </c>
      <c r="Z343">
        <v>22</v>
      </c>
      <c r="AA343">
        <v>2</v>
      </c>
      <c r="AB343">
        <v>2</v>
      </c>
      <c r="AC343">
        <v>72</v>
      </c>
      <c r="AD343">
        <v>1</v>
      </c>
      <c r="AE343">
        <v>1</v>
      </c>
      <c r="AF343">
        <v>6</v>
      </c>
      <c r="AG343">
        <v>0</v>
      </c>
      <c r="AH343">
        <v>0</v>
      </c>
      <c r="AI343" s="5">
        <v>0.22800000000000001</v>
      </c>
      <c r="AJ343" s="5">
        <v>0.30199999999999999</v>
      </c>
      <c r="AK343" s="5">
        <v>0.40200000000000002</v>
      </c>
      <c r="AL343" s="5">
        <v>0.23300000000000001</v>
      </c>
      <c r="AM343" s="5">
        <v>0.28799999999999998</v>
      </c>
      <c r="AN343">
        <v>-0.5</v>
      </c>
      <c r="AO343">
        <v>4.1500000000000004</v>
      </c>
      <c r="AP343">
        <v>7</v>
      </c>
      <c r="AQ343">
        <v>-7</v>
      </c>
      <c r="AR343">
        <v>1.1000000000000001</v>
      </c>
      <c r="AS343" t="s">
        <v>75</v>
      </c>
      <c r="AT343">
        <v>0.5</v>
      </c>
      <c r="AU343">
        <v>3.7</v>
      </c>
      <c r="AV343">
        <v>5</v>
      </c>
      <c r="AW343">
        <v>15</v>
      </c>
      <c r="AX343">
        <v>0</v>
      </c>
      <c r="AY343">
        <v>6</v>
      </c>
      <c r="AZ343" t="s">
        <v>3920</v>
      </c>
      <c r="BA343">
        <v>17</v>
      </c>
      <c r="BB343" t="s">
        <v>36</v>
      </c>
      <c r="BC343" t="s">
        <v>35</v>
      </c>
      <c r="BD343" s="4">
        <f>HYPERLINK("http://mlb.mlb.com/team/player.jsp?player_id=666198",666198)</f>
        <v>666198</v>
      </c>
      <c r="BE343">
        <v>1557</v>
      </c>
      <c r="BF343">
        <v>557</v>
      </c>
      <c r="BG343">
        <v>0</v>
      </c>
      <c r="BH343">
        <v>0</v>
      </c>
    </row>
    <row r="344" spans="1:60" x14ac:dyDescent="0.3">
      <c r="A344" s="4">
        <f>HYPERLINK("http://legacy.baseballprospectus.com/p/108291",108291)</f>
        <v>108291</v>
      </c>
      <c r="B344" t="s">
        <v>1960</v>
      </c>
      <c r="C344" t="s">
        <v>1961</v>
      </c>
      <c r="D344" s="10">
        <v>34678</v>
      </c>
      <c r="E344" t="s">
        <v>51</v>
      </c>
      <c r="F344" t="s">
        <v>33</v>
      </c>
      <c r="G344" t="s">
        <v>33</v>
      </c>
      <c r="H344">
        <v>72</v>
      </c>
      <c r="I344">
        <v>195</v>
      </c>
      <c r="J344">
        <v>2018</v>
      </c>
      <c r="K344" s="4" t="str">
        <f>HYPERLINK("http://legacy.baseballprospectus.com/fantasy/dc/index.php?tm=OAK","OAK")</f>
        <v>OAK</v>
      </c>
      <c r="L344" t="s">
        <v>95</v>
      </c>
      <c r="M344" t="s">
        <v>34</v>
      </c>
      <c r="N344">
        <v>23</v>
      </c>
      <c r="O344">
        <v>250</v>
      </c>
      <c r="P344" t="s">
        <v>1680</v>
      </c>
      <c r="Q344">
        <v>228</v>
      </c>
      <c r="R344">
        <v>28</v>
      </c>
      <c r="S344">
        <v>34</v>
      </c>
      <c r="T344">
        <v>11</v>
      </c>
      <c r="U344">
        <v>1</v>
      </c>
      <c r="V344">
        <v>9</v>
      </c>
      <c r="W344">
        <v>55</v>
      </c>
      <c r="X344">
        <v>95</v>
      </c>
      <c r="Y344">
        <v>32</v>
      </c>
      <c r="Z344">
        <v>18</v>
      </c>
      <c r="AA344">
        <v>1</v>
      </c>
      <c r="AB344">
        <v>2</v>
      </c>
      <c r="AC344">
        <v>72</v>
      </c>
      <c r="AD344">
        <v>1</v>
      </c>
      <c r="AE344">
        <v>1</v>
      </c>
      <c r="AF344">
        <v>6</v>
      </c>
      <c r="AG344">
        <v>2</v>
      </c>
      <c r="AH344">
        <v>1</v>
      </c>
      <c r="AI344" s="5">
        <v>0.24199999999999999</v>
      </c>
      <c r="AJ344" s="5">
        <v>0.3</v>
      </c>
      <c r="AK344" s="5">
        <v>0.41699999999999998</v>
      </c>
      <c r="AL344" s="5">
        <v>0.24099999999999999</v>
      </c>
      <c r="AM344" s="5">
        <v>0.309</v>
      </c>
      <c r="AN344">
        <v>-0.2</v>
      </c>
      <c r="AO344">
        <v>2.65</v>
      </c>
      <c r="AP344">
        <v>7</v>
      </c>
      <c r="AQ344">
        <v>-5.0999999999999996</v>
      </c>
      <c r="AR344">
        <v>0.6</v>
      </c>
      <c r="AS344" t="s">
        <v>4899</v>
      </c>
      <c r="AT344">
        <v>0.5</v>
      </c>
      <c r="AU344">
        <v>4.4000000000000004</v>
      </c>
      <c r="AV344">
        <v>5</v>
      </c>
      <c r="AW344">
        <v>23</v>
      </c>
      <c r="AX344">
        <v>3</v>
      </c>
      <c r="AY344">
        <v>11</v>
      </c>
      <c r="AZ344" t="s">
        <v>3922</v>
      </c>
      <c r="BA344">
        <v>38</v>
      </c>
      <c r="BB344" t="s">
        <v>36</v>
      </c>
      <c r="BC344" t="s">
        <v>35</v>
      </c>
      <c r="BD344" s="4">
        <f>HYPERLINK("http://mlb.mlb.com/team/player.jsp?player_id=641914",641914)</f>
        <v>641914</v>
      </c>
      <c r="BE344">
        <v>698</v>
      </c>
      <c r="BF344">
        <v>1698</v>
      </c>
      <c r="BG344">
        <v>0</v>
      </c>
      <c r="BH344">
        <v>0</v>
      </c>
    </row>
    <row r="345" spans="1:60" x14ac:dyDescent="0.3">
      <c r="A345" s="4">
        <f>HYPERLINK("http://legacy.baseballprospectus.com/p/108651",108651)</f>
        <v>108651</v>
      </c>
      <c r="B345" t="s">
        <v>1969</v>
      </c>
      <c r="C345" t="s">
        <v>501</v>
      </c>
      <c r="D345" s="10">
        <v>36162</v>
      </c>
      <c r="E345" t="s">
        <v>53</v>
      </c>
      <c r="F345" t="s">
        <v>33</v>
      </c>
      <c r="G345" t="s">
        <v>33</v>
      </c>
      <c r="H345">
        <v>75</v>
      </c>
      <c r="I345">
        <v>185</v>
      </c>
      <c r="J345">
        <v>2018</v>
      </c>
      <c r="K345" s="4" t="str">
        <f>HYPERLINK("http://legacy.baseballprospectus.com/fantasy/dc/index.php?tm=SDN","SDN")</f>
        <v>SDN</v>
      </c>
      <c r="L345" t="s">
        <v>100</v>
      </c>
      <c r="M345" t="s">
        <v>34</v>
      </c>
      <c r="N345">
        <v>19</v>
      </c>
      <c r="O345">
        <v>250</v>
      </c>
      <c r="P345" t="s">
        <v>1680</v>
      </c>
      <c r="Q345">
        <v>224</v>
      </c>
      <c r="R345">
        <v>34</v>
      </c>
      <c r="S345">
        <v>29</v>
      </c>
      <c r="T345">
        <v>10</v>
      </c>
      <c r="U345">
        <v>1</v>
      </c>
      <c r="V345">
        <v>9</v>
      </c>
      <c r="W345">
        <v>49</v>
      </c>
      <c r="X345">
        <v>88</v>
      </c>
      <c r="Y345">
        <v>27</v>
      </c>
      <c r="Z345">
        <v>22</v>
      </c>
      <c r="AA345">
        <v>1</v>
      </c>
      <c r="AB345">
        <v>2</v>
      </c>
      <c r="AC345">
        <v>79</v>
      </c>
      <c r="AD345">
        <v>0</v>
      </c>
      <c r="AE345">
        <v>1</v>
      </c>
      <c r="AF345">
        <v>5</v>
      </c>
      <c r="AG345">
        <v>7</v>
      </c>
      <c r="AH345">
        <v>3</v>
      </c>
      <c r="AI345" s="5">
        <v>0.219</v>
      </c>
      <c r="AJ345" s="5">
        <v>0.29299999999999998</v>
      </c>
      <c r="AK345" s="5">
        <v>0.39600000000000002</v>
      </c>
      <c r="AL345" s="5">
        <v>0.23799999999999999</v>
      </c>
      <c r="AM345" s="5">
        <v>0.28799999999999998</v>
      </c>
      <c r="AN345">
        <v>0.2</v>
      </c>
      <c r="AO345">
        <v>4.13</v>
      </c>
      <c r="AP345">
        <v>7</v>
      </c>
      <c r="AQ345">
        <v>-5.78</v>
      </c>
      <c r="AR345">
        <v>-1.2</v>
      </c>
      <c r="AS345" t="s">
        <v>1336</v>
      </c>
      <c r="AT345">
        <v>0.5</v>
      </c>
      <c r="AU345">
        <v>5.6</v>
      </c>
      <c r="AV345">
        <v>0</v>
      </c>
      <c r="AW345">
        <v>10</v>
      </c>
      <c r="AX345">
        <v>3</v>
      </c>
      <c r="AY345">
        <v>11</v>
      </c>
      <c r="AZ345" t="s">
        <v>3923</v>
      </c>
      <c r="BA345">
        <v>21</v>
      </c>
      <c r="BB345" t="s">
        <v>36</v>
      </c>
      <c r="BC345" t="s">
        <v>35</v>
      </c>
      <c r="BD345" s="4">
        <f>HYPERLINK("http://mlb.mlb.com/team/player.jsp?player_id=665487",665487)</f>
        <v>665487</v>
      </c>
      <c r="BE345">
        <v>0</v>
      </c>
      <c r="BF345">
        <v>0</v>
      </c>
      <c r="BG345">
        <v>0</v>
      </c>
      <c r="BH345">
        <v>0</v>
      </c>
    </row>
    <row r="346" spans="1:60" x14ac:dyDescent="0.3">
      <c r="A346" s="4">
        <f>HYPERLINK("http://legacy.baseballprospectus.com/p/109860",109860)</f>
        <v>109860</v>
      </c>
      <c r="B346" t="s">
        <v>359</v>
      </c>
      <c r="C346" t="s">
        <v>3994</v>
      </c>
      <c r="D346" s="10">
        <v>34030</v>
      </c>
      <c r="E346" t="s">
        <v>57</v>
      </c>
      <c r="F346" t="s">
        <v>33</v>
      </c>
      <c r="G346" t="s">
        <v>33</v>
      </c>
      <c r="H346">
        <v>73</v>
      </c>
      <c r="I346">
        <v>180</v>
      </c>
      <c r="J346">
        <v>2018</v>
      </c>
      <c r="K346" s="4" t="str">
        <f>HYPERLINK("http://legacy.baseballprospectus.com/fantasy/dc/index.php?tm=SLN","SLN")</f>
        <v>SLN</v>
      </c>
      <c r="L346" t="s">
        <v>100</v>
      </c>
      <c r="M346" t="s">
        <v>34</v>
      </c>
      <c r="N346">
        <v>25</v>
      </c>
      <c r="O346">
        <v>250</v>
      </c>
      <c r="P346" t="s">
        <v>1680</v>
      </c>
      <c r="Q346">
        <v>228</v>
      </c>
      <c r="R346">
        <v>30</v>
      </c>
      <c r="S346">
        <v>34</v>
      </c>
      <c r="T346">
        <v>13</v>
      </c>
      <c r="U346">
        <v>1</v>
      </c>
      <c r="V346">
        <v>9</v>
      </c>
      <c r="W346">
        <v>57</v>
      </c>
      <c r="X346">
        <v>99</v>
      </c>
      <c r="Y346">
        <v>31</v>
      </c>
      <c r="Z346">
        <v>18</v>
      </c>
      <c r="AA346">
        <v>1</v>
      </c>
      <c r="AB346">
        <v>2</v>
      </c>
      <c r="AC346">
        <v>65</v>
      </c>
      <c r="AD346">
        <v>1</v>
      </c>
      <c r="AE346">
        <v>2</v>
      </c>
      <c r="AF346">
        <v>6</v>
      </c>
      <c r="AG346">
        <v>6</v>
      </c>
      <c r="AH346">
        <v>3</v>
      </c>
      <c r="AI346" s="5">
        <v>0.249</v>
      </c>
      <c r="AJ346" s="5">
        <v>0.307</v>
      </c>
      <c r="AK346" s="5">
        <v>0.42499999999999999</v>
      </c>
      <c r="AL346" s="5">
        <v>0.245</v>
      </c>
      <c r="AM346" s="5">
        <v>0.308</v>
      </c>
      <c r="AN346">
        <v>-0.2</v>
      </c>
      <c r="AO346">
        <v>0.48</v>
      </c>
      <c r="AP346">
        <v>7</v>
      </c>
      <c r="AQ346">
        <v>-3.81</v>
      </c>
      <c r="AR346">
        <v>1.3</v>
      </c>
      <c r="AS346" t="s">
        <v>1546</v>
      </c>
      <c r="AT346">
        <v>0.5</v>
      </c>
      <c r="AU346">
        <v>3.5</v>
      </c>
      <c r="AV346">
        <v>3</v>
      </c>
      <c r="AW346">
        <v>11</v>
      </c>
      <c r="AX346">
        <v>8</v>
      </c>
      <c r="AY346">
        <v>26</v>
      </c>
      <c r="AZ346" t="s">
        <v>3995</v>
      </c>
      <c r="BA346">
        <v>37</v>
      </c>
      <c r="BB346" t="s">
        <v>36</v>
      </c>
      <c r="BC346" t="s">
        <v>35</v>
      </c>
      <c r="BD346" s="4">
        <f>HYPERLINK("http://mlb.mlb.com/team/player.jsp?player_id=666969",666969)</f>
        <v>666969</v>
      </c>
      <c r="BE346">
        <v>1766</v>
      </c>
      <c r="BF346">
        <v>766</v>
      </c>
      <c r="BG346">
        <v>0</v>
      </c>
      <c r="BH346">
        <v>0</v>
      </c>
    </row>
    <row r="347" spans="1:60" x14ac:dyDescent="0.3">
      <c r="A347" s="4">
        <f>HYPERLINK("http://legacy.baseballprospectus.com/p/45457",45457)</f>
        <v>45457</v>
      </c>
      <c r="B347" t="s">
        <v>530</v>
      </c>
      <c r="C347" t="s">
        <v>113</v>
      </c>
      <c r="D347" s="10">
        <v>30575</v>
      </c>
      <c r="E347" t="s">
        <v>50</v>
      </c>
      <c r="F347" t="s">
        <v>9</v>
      </c>
      <c r="G347" t="s">
        <v>33</v>
      </c>
      <c r="H347">
        <v>73</v>
      </c>
      <c r="I347">
        <v>210</v>
      </c>
      <c r="J347">
        <v>2018</v>
      </c>
      <c r="K347" s="4" t="str">
        <f>HYPERLINK("http://legacy.baseballprospectus.com/fantasy/dc/index.php?tm=KCA","KCA")</f>
        <v>KCA</v>
      </c>
      <c r="L347" t="s">
        <v>95</v>
      </c>
      <c r="M347" t="s">
        <v>34</v>
      </c>
      <c r="N347">
        <v>34</v>
      </c>
      <c r="O347">
        <v>203</v>
      </c>
      <c r="P347" t="s">
        <v>1680</v>
      </c>
      <c r="Q347">
        <v>179</v>
      </c>
      <c r="R347">
        <v>25</v>
      </c>
      <c r="S347">
        <v>22</v>
      </c>
      <c r="T347">
        <v>8</v>
      </c>
      <c r="U347">
        <v>1</v>
      </c>
      <c r="V347">
        <v>10</v>
      </c>
      <c r="W347">
        <v>41</v>
      </c>
      <c r="X347">
        <v>81</v>
      </c>
      <c r="Y347">
        <v>30</v>
      </c>
      <c r="Z347">
        <v>20</v>
      </c>
      <c r="AA347">
        <v>1</v>
      </c>
      <c r="AB347">
        <v>2</v>
      </c>
      <c r="AC347">
        <v>60</v>
      </c>
      <c r="AD347">
        <v>0</v>
      </c>
      <c r="AE347">
        <v>1</v>
      </c>
      <c r="AF347">
        <v>4</v>
      </c>
      <c r="AG347">
        <v>1</v>
      </c>
      <c r="AH347">
        <v>0</v>
      </c>
      <c r="AI347" s="5">
        <v>0.22800000000000001</v>
      </c>
      <c r="AJ347" s="5">
        <v>0.311</v>
      </c>
      <c r="AK347" s="5">
        <v>0.44700000000000001</v>
      </c>
      <c r="AL347" s="5">
        <v>0.253</v>
      </c>
      <c r="AM347" s="5">
        <v>0.27800000000000002</v>
      </c>
      <c r="AN347">
        <v>-0.7</v>
      </c>
      <c r="AO347">
        <v>-0.52</v>
      </c>
      <c r="AP347">
        <v>5.68</v>
      </c>
      <c r="AQ347">
        <v>-1.59</v>
      </c>
      <c r="AR347">
        <v>0.5</v>
      </c>
      <c r="AS347" t="s">
        <v>4461</v>
      </c>
      <c r="AT347">
        <v>0.4</v>
      </c>
      <c r="AU347">
        <v>2.9</v>
      </c>
      <c r="AV347">
        <v>1</v>
      </c>
      <c r="AW347">
        <v>27</v>
      </c>
      <c r="AX347">
        <v>12</v>
      </c>
      <c r="AY347">
        <v>20</v>
      </c>
      <c r="AZ347" t="s">
        <v>3786</v>
      </c>
      <c r="BA347">
        <v>85</v>
      </c>
      <c r="BB347" t="s">
        <v>36</v>
      </c>
      <c r="BC347" t="s">
        <v>36</v>
      </c>
      <c r="BD347" s="4">
        <f>HYPERLINK("http://mlb.mlb.com/team/player.jsp?player_id=461235",461235)</f>
        <v>461235</v>
      </c>
      <c r="BE347">
        <v>414</v>
      </c>
      <c r="BF347">
        <v>1414</v>
      </c>
      <c r="BG347">
        <v>401</v>
      </c>
      <c r="BH347">
        <v>362</v>
      </c>
    </row>
    <row r="348" spans="1:60" x14ac:dyDescent="0.3">
      <c r="A348" s="4">
        <f>HYPERLINK("http://legacy.baseballprospectus.com/p/48766",48766)</f>
        <v>48766</v>
      </c>
      <c r="B348" t="s">
        <v>623</v>
      </c>
      <c r="C348" t="s">
        <v>181</v>
      </c>
      <c r="D348" s="10">
        <v>31735</v>
      </c>
      <c r="E348" t="s">
        <v>57</v>
      </c>
      <c r="F348" t="s">
        <v>9</v>
      </c>
      <c r="G348" t="s">
        <v>33</v>
      </c>
      <c r="H348">
        <v>76</v>
      </c>
      <c r="I348">
        <v>225</v>
      </c>
      <c r="J348">
        <v>2018</v>
      </c>
      <c r="K348" s="4" t="str">
        <f>HYPERLINK("http://legacy.baseballprospectus.com/fantasy/dc/index.php?tm=TOR","TOR")</f>
        <v>TOR</v>
      </c>
      <c r="L348" t="s">
        <v>95</v>
      </c>
      <c r="M348" t="s">
        <v>34</v>
      </c>
      <c r="N348">
        <v>31</v>
      </c>
      <c r="O348">
        <v>308</v>
      </c>
      <c r="P348" t="s">
        <v>1680</v>
      </c>
      <c r="Q348">
        <v>271</v>
      </c>
      <c r="R348">
        <v>34</v>
      </c>
      <c r="S348">
        <v>39</v>
      </c>
      <c r="T348">
        <v>15</v>
      </c>
      <c r="U348">
        <v>2</v>
      </c>
      <c r="V348">
        <v>10</v>
      </c>
      <c r="W348">
        <v>66</v>
      </c>
      <c r="X348">
        <v>115</v>
      </c>
      <c r="Y348">
        <v>38</v>
      </c>
      <c r="Z348">
        <v>32</v>
      </c>
      <c r="AA348">
        <v>1</v>
      </c>
      <c r="AB348">
        <v>2</v>
      </c>
      <c r="AC348">
        <v>79</v>
      </c>
      <c r="AD348">
        <v>1</v>
      </c>
      <c r="AE348">
        <v>2</v>
      </c>
      <c r="AF348">
        <v>6</v>
      </c>
      <c r="AG348">
        <v>1</v>
      </c>
      <c r="AH348">
        <v>1</v>
      </c>
      <c r="AI348" s="5">
        <v>0.24099999999999999</v>
      </c>
      <c r="AJ348" s="5">
        <v>0.32500000000000001</v>
      </c>
      <c r="AK348" s="5">
        <v>0.41599999999999998</v>
      </c>
      <c r="AL348" s="5">
        <v>0.252</v>
      </c>
      <c r="AM348" s="5">
        <v>0.30199999999999999</v>
      </c>
      <c r="AN348">
        <v>-0.3</v>
      </c>
      <c r="AO348">
        <v>0.11</v>
      </c>
      <c r="AP348">
        <v>8.6199999999999992</v>
      </c>
      <c r="AQ348">
        <v>-2.65</v>
      </c>
      <c r="AR348">
        <v>-1.8</v>
      </c>
      <c r="AS348" t="s">
        <v>1380</v>
      </c>
      <c r="AT348">
        <v>0.4</v>
      </c>
      <c r="AU348">
        <v>5.8</v>
      </c>
      <c r="AV348">
        <v>3</v>
      </c>
      <c r="AW348">
        <v>40</v>
      </c>
      <c r="AX348">
        <v>14</v>
      </c>
      <c r="AY348">
        <v>18</v>
      </c>
      <c r="AZ348" t="s">
        <v>4002</v>
      </c>
      <c r="BA348">
        <v>82</v>
      </c>
      <c r="BB348" t="s">
        <v>36</v>
      </c>
      <c r="BC348" t="s">
        <v>36</v>
      </c>
      <c r="BD348" s="4">
        <f>HYPERLINK("http://mlb.mlb.com/team/player.jsp?player_id=459431",459431)</f>
        <v>459431</v>
      </c>
      <c r="BE348">
        <v>0</v>
      </c>
      <c r="BF348">
        <v>0</v>
      </c>
      <c r="BG348">
        <v>234</v>
      </c>
      <c r="BH348">
        <v>218</v>
      </c>
    </row>
    <row r="349" spans="1:60" x14ac:dyDescent="0.3">
      <c r="A349" s="4">
        <f>HYPERLINK("http://legacy.baseballprospectus.com/p/48772",48772)</f>
        <v>48772</v>
      </c>
      <c r="B349" t="s">
        <v>641</v>
      </c>
      <c r="C349" t="s">
        <v>1072</v>
      </c>
      <c r="D349" s="10">
        <v>32128</v>
      </c>
      <c r="E349" t="s">
        <v>58</v>
      </c>
      <c r="F349" t="s">
        <v>33</v>
      </c>
      <c r="G349" t="s">
        <v>33</v>
      </c>
      <c r="H349">
        <v>70</v>
      </c>
      <c r="I349">
        <v>205</v>
      </c>
      <c r="J349">
        <v>2018</v>
      </c>
      <c r="K349" s="4" t="str">
        <f>HYPERLINK("http://legacy.baseballprospectus.com/fantasy/dc/index.php?tm=LAN","LAN")</f>
        <v>LAN</v>
      </c>
      <c r="L349" t="s">
        <v>95</v>
      </c>
      <c r="M349" t="s">
        <v>34</v>
      </c>
      <c r="N349">
        <v>30</v>
      </c>
      <c r="O349">
        <v>250</v>
      </c>
      <c r="P349" t="s">
        <v>1680</v>
      </c>
      <c r="Q349">
        <v>230</v>
      </c>
      <c r="R349">
        <v>24</v>
      </c>
      <c r="S349">
        <v>42</v>
      </c>
      <c r="T349">
        <v>11</v>
      </c>
      <c r="U349">
        <v>1</v>
      </c>
      <c r="V349">
        <v>6</v>
      </c>
      <c r="W349">
        <v>60</v>
      </c>
      <c r="X349">
        <v>91</v>
      </c>
      <c r="Y349">
        <v>28</v>
      </c>
      <c r="Z349">
        <v>14</v>
      </c>
      <c r="AA349">
        <v>1</v>
      </c>
      <c r="AB349">
        <v>2</v>
      </c>
      <c r="AC349">
        <v>48</v>
      </c>
      <c r="AD349">
        <v>2</v>
      </c>
      <c r="AE349">
        <v>2</v>
      </c>
      <c r="AF349">
        <v>6</v>
      </c>
      <c r="AG349">
        <v>0</v>
      </c>
      <c r="AH349">
        <v>0</v>
      </c>
      <c r="AI349" s="5">
        <v>0.25900000000000001</v>
      </c>
      <c r="AJ349" s="5">
        <v>0.30599999999999999</v>
      </c>
      <c r="AK349" s="5">
        <v>0.39100000000000001</v>
      </c>
      <c r="AL349" s="5">
        <v>0.23400000000000001</v>
      </c>
      <c r="AM349" s="5">
        <v>0.29699999999999999</v>
      </c>
      <c r="AN349">
        <v>-0.4</v>
      </c>
      <c r="AO349">
        <v>2.46</v>
      </c>
      <c r="AP349">
        <v>7</v>
      </c>
      <c r="AQ349">
        <v>-6.84</v>
      </c>
      <c r="AR349">
        <v>1.7</v>
      </c>
      <c r="AS349" t="s">
        <v>3850</v>
      </c>
      <c r="AT349">
        <v>0.4</v>
      </c>
      <c r="AU349">
        <v>2.2000000000000002</v>
      </c>
      <c r="AV349">
        <v>1</v>
      </c>
      <c r="AW349">
        <v>24</v>
      </c>
      <c r="AX349">
        <v>13</v>
      </c>
      <c r="AY349">
        <v>24</v>
      </c>
      <c r="AZ349" t="s">
        <v>4003</v>
      </c>
      <c r="BA349">
        <v>60</v>
      </c>
      <c r="BB349" t="s">
        <v>36</v>
      </c>
      <c r="BC349" t="s">
        <v>36</v>
      </c>
      <c r="BD349" s="4">
        <f>HYPERLINK("http://mlb.mlb.com/team/player.jsp?player_id=456781",456781)</f>
        <v>456781</v>
      </c>
      <c r="BE349">
        <v>0</v>
      </c>
      <c r="BF349">
        <v>0</v>
      </c>
      <c r="BG349">
        <v>0</v>
      </c>
      <c r="BH349">
        <v>0</v>
      </c>
    </row>
    <row r="350" spans="1:60" x14ac:dyDescent="0.3">
      <c r="A350" s="4">
        <f>HYPERLINK("http://legacy.baseballprospectus.com/p/57115",57115)</f>
        <v>57115</v>
      </c>
      <c r="B350" t="s">
        <v>568</v>
      </c>
      <c r="C350" t="s">
        <v>4004</v>
      </c>
      <c r="D350" s="10">
        <v>33023</v>
      </c>
      <c r="E350" t="s">
        <v>65</v>
      </c>
      <c r="F350" t="s">
        <v>33</v>
      </c>
      <c r="G350" t="s">
        <v>33</v>
      </c>
      <c r="H350">
        <v>72</v>
      </c>
      <c r="I350">
        <v>190</v>
      </c>
      <c r="J350">
        <v>2018</v>
      </c>
      <c r="K350" s="4" t="str">
        <f>HYPERLINK("http://legacy.baseballprospectus.com/fantasy/dc/index.php?tm=SFN","SFN")</f>
        <v>SFN</v>
      </c>
      <c r="L350" t="s">
        <v>100</v>
      </c>
      <c r="M350" t="s">
        <v>34</v>
      </c>
      <c r="N350">
        <v>28</v>
      </c>
      <c r="O350">
        <v>250</v>
      </c>
      <c r="P350" t="s">
        <v>1680</v>
      </c>
      <c r="Q350">
        <v>225</v>
      </c>
      <c r="R350">
        <v>35</v>
      </c>
      <c r="S350">
        <v>46</v>
      </c>
      <c r="T350">
        <v>10</v>
      </c>
      <c r="U350">
        <v>2</v>
      </c>
      <c r="V350">
        <v>4</v>
      </c>
      <c r="W350">
        <v>62</v>
      </c>
      <c r="X350">
        <v>88</v>
      </c>
      <c r="Y350">
        <v>21</v>
      </c>
      <c r="Z350">
        <v>13</v>
      </c>
      <c r="AA350">
        <v>1</v>
      </c>
      <c r="AB350">
        <v>5</v>
      </c>
      <c r="AC350">
        <v>45</v>
      </c>
      <c r="AD350">
        <v>6</v>
      </c>
      <c r="AE350">
        <v>1</v>
      </c>
      <c r="AF350">
        <v>6</v>
      </c>
      <c r="AG350">
        <v>18</v>
      </c>
      <c r="AH350">
        <v>5</v>
      </c>
      <c r="AI350" s="5">
        <v>0.27700000000000002</v>
      </c>
      <c r="AJ350" s="5">
        <v>0.32800000000000001</v>
      </c>
      <c r="AK350" s="5">
        <v>0.39500000000000002</v>
      </c>
      <c r="AL350" s="5">
        <v>0.24199999999999999</v>
      </c>
      <c r="AM350" s="5">
        <v>0.318</v>
      </c>
      <c r="AN350">
        <v>1.7</v>
      </c>
      <c r="AO350">
        <v>2</v>
      </c>
      <c r="AP350">
        <v>7</v>
      </c>
      <c r="AQ350">
        <v>-4.8099999999999996</v>
      </c>
      <c r="AR350">
        <v>-2.7</v>
      </c>
      <c r="AS350" t="s">
        <v>4005</v>
      </c>
      <c r="AT350">
        <v>0.4</v>
      </c>
      <c r="AU350">
        <v>5.9</v>
      </c>
      <c r="AV350">
        <v>3</v>
      </c>
      <c r="AW350">
        <v>25</v>
      </c>
      <c r="AX350">
        <v>10</v>
      </c>
      <c r="AY350">
        <v>21</v>
      </c>
      <c r="AZ350" t="s">
        <v>4006</v>
      </c>
      <c r="BA350">
        <v>49</v>
      </c>
      <c r="BB350" t="s">
        <v>36</v>
      </c>
      <c r="BC350" t="s">
        <v>35</v>
      </c>
      <c r="BD350" s="4">
        <f>HYPERLINK("http://mlb.mlb.com/team/player.jsp?player_id=516811",516811)</f>
        <v>516811</v>
      </c>
      <c r="BE350">
        <v>0</v>
      </c>
      <c r="BF350">
        <v>0</v>
      </c>
      <c r="BG350">
        <v>0</v>
      </c>
      <c r="BH350">
        <v>0</v>
      </c>
    </row>
    <row r="351" spans="1:60" x14ac:dyDescent="0.3">
      <c r="A351" s="4">
        <f>HYPERLINK("http://legacy.baseballprospectus.com/p/57984",57984)</f>
        <v>57984</v>
      </c>
      <c r="B351" t="s">
        <v>1906</v>
      </c>
      <c r="C351" t="s">
        <v>1907</v>
      </c>
      <c r="D351" s="10">
        <v>32966</v>
      </c>
      <c r="E351" t="s">
        <v>59</v>
      </c>
      <c r="F351" t="s">
        <v>33</v>
      </c>
      <c r="G351" t="s">
        <v>33</v>
      </c>
      <c r="H351">
        <v>74</v>
      </c>
      <c r="I351">
        <v>205</v>
      </c>
      <c r="J351">
        <v>2018</v>
      </c>
      <c r="K351" s="4" t="str">
        <f>HYPERLINK("http://legacy.baseballprospectus.com/fantasy/dc/index.php?tm=TEX","TEX")</f>
        <v>TEX</v>
      </c>
      <c r="L351" t="s">
        <v>100</v>
      </c>
      <c r="M351" t="s">
        <v>34</v>
      </c>
      <c r="N351">
        <v>28</v>
      </c>
      <c r="O351">
        <v>250</v>
      </c>
      <c r="P351" t="s">
        <v>1680</v>
      </c>
      <c r="Q351">
        <v>227</v>
      </c>
      <c r="R351">
        <v>29</v>
      </c>
      <c r="S351">
        <v>33</v>
      </c>
      <c r="T351">
        <v>11</v>
      </c>
      <c r="U351">
        <v>1</v>
      </c>
      <c r="V351">
        <v>10</v>
      </c>
      <c r="W351">
        <v>55</v>
      </c>
      <c r="X351">
        <v>98</v>
      </c>
      <c r="Y351">
        <v>33</v>
      </c>
      <c r="Z351">
        <v>20</v>
      </c>
      <c r="AA351">
        <v>1</v>
      </c>
      <c r="AB351">
        <v>1</v>
      </c>
      <c r="AC351">
        <v>71</v>
      </c>
      <c r="AD351">
        <v>0</v>
      </c>
      <c r="AE351">
        <v>2</v>
      </c>
      <c r="AF351">
        <v>7</v>
      </c>
      <c r="AG351">
        <v>3</v>
      </c>
      <c r="AH351">
        <v>1</v>
      </c>
      <c r="AI351" s="5">
        <v>0.24</v>
      </c>
      <c r="AJ351" s="5">
        <v>0.30099999999999999</v>
      </c>
      <c r="AK351" s="5">
        <v>0.42699999999999999</v>
      </c>
      <c r="AL351" s="5">
        <v>0.247</v>
      </c>
      <c r="AM351" s="5">
        <v>0.30199999999999999</v>
      </c>
      <c r="AN351">
        <v>-0.1</v>
      </c>
      <c r="AO351">
        <v>0.99</v>
      </c>
      <c r="AP351">
        <v>7</v>
      </c>
      <c r="AQ351">
        <v>-3.53</v>
      </c>
      <c r="AR351">
        <v>-0.7</v>
      </c>
      <c r="AS351" t="s">
        <v>1908</v>
      </c>
      <c r="AT351">
        <v>0.4</v>
      </c>
      <c r="AU351">
        <v>4.4000000000000004</v>
      </c>
      <c r="AV351">
        <v>4</v>
      </c>
      <c r="AW351">
        <v>9</v>
      </c>
      <c r="AX351">
        <v>10</v>
      </c>
      <c r="AY351">
        <v>17</v>
      </c>
      <c r="AZ351" t="s">
        <v>4007</v>
      </c>
      <c r="BA351">
        <v>25</v>
      </c>
      <c r="BB351" t="s">
        <v>36</v>
      </c>
      <c r="BC351" t="s">
        <v>35</v>
      </c>
      <c r="BD351" s="4">
        <f>HYPERLINK("http://mlb.mlb.com/team/player.jsp?player_id=543329",543329)</f>
        <v>543329</v>
      </c>
      <c r="BE351">
        <v>0</v>
      </c>
      <c r="BF351">
        <v>0</v>
      </c>
      <c r="BG351">
        <v>0</v>
      </c>
      <c r="BH351">
        <v>0</v>
      </c>
    </row>
    <row r="352" spans="1:60" x14ac:dyDescent="0.3">
      <c r="A352" s="4">
        <f>HYPERLINK("http://legacy.baseballprospectus.com/p/58220",58220)</f>
        <v>58220</v>
      </c>
      <c r="B352" t="s">
        <v>367</v>
      </c>
      <c r="C352" t="s">
        <v>282</v>
      </c>
      <c r="D352" s="10">
        <v>31968</v>
      </c>
      <c r="E352" t="s">
        <v>58</v>
      </c>
      <c r="F352" t="s">
        <v>33</v>
      </c>
      <c r="G352" t="s">
        <v>33</v>
      </c>
      <c r="H352">
        <v>68</v>
      </c>
      <c r="I352">
        <v>185</v>
      </c>
      <c r="J352">
        <v>2018</v>
      </c>
      <c r="K352" s="4" t="str">
        <f>HYPERLINK("http://legacy.baseballprospectus.com/fantasy/dc/index.php?tm=MIA","MIA")</f>
        <v>MIA</v>
      </c>
      <c r="L352" t="s">
        <v>95</v>
      </c>
      <c r="M352" t="s">
        <v>34</v>
      </c>
      <c r="N352">
        <v>30</v>
      </c>
      <c r="O352">
        <v>250</v>
      </c>
      <c r="P352" t="s">
        <v>1680</v>
      </c>
      <c r="Q352">
        <v>226</v>
      </c>
      <c r="R352">
        <v>30</v>
      </c>
      <c r="S352">
        <v>42</v>
      </c>
      <c r="T352">
        <v>13</v>
      </c>
      <c r="U352">
        <v>1</v>
      </c>
      <c r="V352">
        <v>5</v>
      </c>
      <c r="W352">
        <v>61</v>
      </c>
      <c r="X352">
        <v>91</v>
      </c>
      <c r="Y352">
        <v>24</v>
      </c>
      <c r="Z352">
        <v>20</v>
      </c>
      <c r="AA352">
        <v>1</v>
      </c>
      <c r="AB352">
        <v>1</v>
      </c>
      <c r="AC352">
        <v>33</v>
      </c>
      <c r="AD352">
        <v>1</v>
      </c>
      <c r="AE352">
        <v>2</v>
      </c>
      <c r="AF352">
        <v>6</v>
      </c>
      <c r="AG352">
        <v>3</v>
      </c>
      <c r="AH352">
        <v>1</v>
      </c>
      <c r="AI352" s="5">
        <v>0.27</v>
      </c>
      <c r="AJ352" s="5">
        <v>0.32900000000000001</v>
      </c>
      <c r="AK352" s="5">
        <v>0.4</v>
      </c>
      <c r="AL352" s="5">
        <v>0.24399999999999999</v>
      </c>
      <c r="AM352" s="5">
        <v>0.29199999999999998</v>
      </c>
      <c r="AN352">
        <v>0.4</v>
      </c>
      <c r="AO352">
        <v>2.68</v>
      </c>
      <c r="AP352">
        <v>7</v>
      </c>
      <c r="AQ352">
        <v>-4.09</v>
      </c>
      <c r="AR352">
        <v>-2.6</v>
      </c>
      <c r="AS352" t="s">
        <v>4900</v>
      </c>
      <c r="AT352">
        <v>0.4</v>
      </c>
      <c r="AU352">
        <v>5.9</v>
      </c>
      <c r="AV352">
        <v>2</v>
      </c>
      <c r="AW352">
        <v>31</v>
      </c>
      <c r="AX352">
        <v>9</v>
      </c>
      <c r="AY352">
        <v>19</v>
      </c>
      <c r="AZ352" t="s">
        <v>4008</v>
      </c>
      <c r="BA352">
        <v>72</v>
      </c>
      <c r="BB352" t="s">
        <v>36</v>
      </c>
      <c r="BC352" t="s">
        <v>36</v>
      </c>
      <c r="BD352" s="4">
        <f>HYPERLINK("http://mlb.mlb.com/team/player.jsp?player_id=543213",543213)</f>
        <v>543213</v>
      </c>
      <c r="BE352">
        <v>0</v>
      </c>
      <c r="BF352">
        <v>0</v>
      </c>
      <c r="BG352">
        <v>10</v>
      </c>
      <c r="BH352">
        <v>10</v>
      </c>
    </row>
    <row r="353" spans="1:60" x14ac:dyDescent="0.3">
      <c r="A353" s="4">
        <f>HYPERLINK("http://legacy.baseballprospectus.com/p/58267",58267)</f>
        <v>58267</v>
      </c>
      <c r="B353" t="s">
        <v>1078</v>
      </c>
      <c r="C353" t="s">
        <v>606</v>
      </c>
      <c r="D353" s="10">
        <v>32184</v>
      </c>
      <c r="E353" t="s">
        <v>59</v>
      </c>
      <c r="F353" t="s">
        <v>9</v>
      </c>
      <c r="G353" t="s">
        <v>9</v>
      </c>
      <c r="H353">
        <v>72</v>
      </c>
      <c r="I353">
        <v>225</v>
      </c>
      <c r="J353">
        <v>2018</v>
      </c>
      <c r="K353" s="4" t="str">
        <f>HYPERLINK("http://legacy.baseballprospectus.com/fantasy/dc/index.php?tm=SDN","SDN")</f>
        <v>SDN</v>
      </c>
      <c r="L353" t="s">
        <v>95</v>
      </c>
      <c r="M353" t="s">
        <v>34</v>
      </c>
      <c r="N353">
        <v>30</v>
      </c>
      <c r="O353">
        <v>250</v>
      </c>
      <c r="P353" t="s">
        <v>1680</v>
      </c>
      <c r="Q353">
        <v>222</v>
      </c>
      <c r="R353">
        <v>28</v>
      </c>
      <c r="S353">
        <v>34</v>
      </c>
      <c r="T353">
        <v>10</v>
      </c>
      <c r="U353">
        <v>1</v>
      </c>
      <c r="V353">
        <v>7</v>
      </c>
      <c r="W353">
        <v>52</v>
      </c>
      <c r="X353">
        <v>85</v>
      </c>
      <c r="Y353">
        <v>29</v>
      </c>
      <c r="Z353">
        <v>23</v>
      </c>
      <c r="AA353">
        <v>1</v>
      </c>
      <c r="AB353">
        <v>2</v>
      </c>
      <c r="AC353">
        <v>67</v>
      </c>
      <c r="AD353">
        <v>2</v>
      </c>
      <c r="AE353">
        <v>2</v>
      </c>
      <c r="AF353">
        <v>5</v>
      </c>
      <c r="AG353">
        <v>4</v>
      </c>
      <c r="AH353">
        <v>1</v>
      </c>
      <c r="AI353" s="5">
        <v>0.23899999999999999</v>
      </c>
      <c r="AJ353" s="5">
        <v>0.313</v>
      </c>
      <c r="AK353" s="5">
        <v>0.39700000000000002</v>
      </c>
      <c r="AL353" s="5">
        <v>0.248</v>
      </c>
      <c r="AM353" s="5">
        <v>0.30199999999999999</v>
      </c>
      <c r="AN353">
        <v>-0.8</v>
      </c>
      <c r="AO353">
        <v>0.63</v>
      </c>
      <c r="AP353">
        <v>7</v>
      </c>
      <c r="AQ353">
        <v>-3.27</v>
      </c>
      <c r="AR353">
        <v>0.1</v>
      </c>
      <c r="AS353" t="s">
        <v>1543</v>
      </c>
      <c r="AT353">
        <v>0.4</v>
      </c>
      <c r="AU353">
        <v>3.6</v>
      </c>
      <c r="AV353">
        <v>3</v>
      </c>
      <c r="AW353">
        <v>11</v>
      </c>
      <c r="AX353">
        <v>7</v>
      </c>
      <c r="AY353">
        <v>17</v>
      </c>
      <c r="AZ353" t="s">
        <v>4009</v>
      </c>
      <c r="BA353">
        <v>34</v>
      </c>
      <c r="BB353" t="s">
        <v>36</v>
      </c>
      <c r="BC353" t="s">
        <v>36</v>
      </c>
      <c r="BD353" s="4">
        <f>HYPERLINK("http://mlb.mlb.com/team/player.jsp?player_id=451089",451089)</f>
        <v>451089</v>
      </c>
      <c r="BE353">
        <v>0</v>
      </c>
      <c r="BF353">
        <v>0</v>
      </c>
      <c r="BG353">
        <v>88</v>
      </c>
      <c r="BH353">
        <v>79</v>
      </c>
    </row>
    <row r="354" spans="1:60" x14ac:dyDescent="0.3">
      <c r="A354" s="4">
        <f>HYPERLINK("http://legacy.baseballprospectus.com/p/58789",58789)</f>
        <v>58789</v>
      </c>
      <c r="B354" t="s">
        <v>1815</v>
      </c>
      <c r="C354" t="s">
        <v>1816</v>
      </c>
      <c r="D354" s="10">
        <v>31803</v>
      </c>
      <c r="E354" t="s">
        <v>58</v>
      </c>
      <c r="F354" t="s">
        <v>37</v>
      </c>
      <c r="G354" t="s">
        <v>33</v>
      </c>
      <c r="H354">
        <v>69</v>
      </c>
      <c r="I354">
        <v>170</v>
      </c>
      <c r="J354">
        <v>2018</v>
      </c>
      <c r="K354" s="4" t="str">
        <f>HYPERLINK("http://legacy.baseballprospectus.com/fantasy/dc/index.php?tm=CHN","CHN")</f>
        <v>CHN</v>
      </c>
      <c r="L354" t="s">
        <v>100</v>
      </c>
      <c r="M354" t="s">
        <v>34</v>
      </c>
      <c r="N354">
        <v>31</v>
      </c>
      <c r="O354">
        <v>250</v>
      </c>
      <c r="P354" t="s">
        <v>1680</v>
      </c>
      <c r="Q354">
        <v>215</v>
      </c>
      <c r="R354">
        <v>29</v>
      </c>
      <c r="S354">
        <v>34</v>
      </c>
      <c r="T354">
        <v>10</v>
      </c>
      <c r="U354">
        <v>3</v>
      </c>
      <c r="V354">
        <v>4</v>
      </c>
      <c r="W354">
        <v>51</v>
      </c>
      <c r="X354">
        <v>79</v>
      </c>
      <c r="Y354">
        <v>21</v>
      </c>
      <c r="Z354">
        <v>28</v>
      </c>
      <c r="AA354">
        <v>1</v>
      </c>
      <c r="AB354">
        <v>3</v>
      </c>
      <c r="AC354">
        <v>48</v>
      </c>
      <c r="AD354">
        <v>3</v>
      </c>
      <c r="AE354">
        <v>1</v>
      </c>
      <c r="AF354">
        <v>6</v>
      </c>
      <c r="AG354">
        <v>4</v>
      </c>
      <c r="AH354">
        <v>1</v>
      </c>
      <c r="AI354" s="5">
        <v>0.23400000000000001</v>
      </c>
      <c r="AJ354" s="5">
        <v>0.32800000000000001</v>
      </c>
      <c r="AK354" s="5">
        <v>0.35399999999999998</v>
      </c>
      <c r="AL354" s="5">
        <v>0.22900000000000001</v>
      </c>
      <c r="AM354" s="5">
        <v>0.27800000000000002</v>
      </c>
      <c r="AN354">
        <v>0.7</v>
      </c>
      <c r="AO354">
        <v>2.74</v>
      </c>
      <c r="AP354">
        <v>7</v>
      </c>
      <c r="AQ354">
        <v>-8.16</v>
      </c>
      <c r="AR354">
        <v>1</v>
      </c>
      <c r="AS354" t="s">
        <v>4901</v>
      </c>
      <c r="AT354">
        <v>0.4</v>
      </c>
      <c r="AU354">
        <v>2.2000000000000002</v>
      </c>
      <c r="AV354">
        <v>1</v>
      </c>
      <c r="AW354">
        <v>6</v>
      </c>
      <c r="AX354">
        <v>17</v>
      </c>
      <c r="AY354">
        <v>28</v>
      </c>
      <c r="AZ354" t="s">
        <v>4010</v>
      </c>
      <c r="BA354">
        <v>39</v>
      </c>
      <c r="BB354" t="s">
        <v>36</v>
      </c>
      <c r="BC354" t="s">
        <v>36</v>
      </c>
      <c r="BD354" s="4">
        <f>HYPERLINK("http://mlb.mlb.com/team/player.jsp?player_id=457789",457789)</f>
        <v>457789</v>
      </c>
      <c r="BE354">
        <v>0</v>
      </c>
      <c r="BF354">
        <v>0</v>
      </c>
      <c r="BG354">
        <v>0</v>
      </c>
      <c r="BH354">
        <v>0</v>
      </c>
    </row>
    <row r="355" spans="1:60" x14ac:dyDescent="0.3">
      <c r="A355" s="4">
        <f>HYPERLINK("http://legacy.baseballprospectus.com/p/59768",59768)</f>
        <v>59768</v>
      </c>
      <c r="B355" t="s">
        <v>620</v>
      </c>
      <c r="C355" t="s">
        <v>329</v>
      </c>
      <c r="D355" s="10">
        <v>33184</v>
      </c>
      <c r="E355" t="s">
        <v>59</v>
      </c>
      <c r="F355" t="s">
        <v>37</v>
      </c>
      <c r="G355" t="s">
        <v>33</v>
      </c>
      <c r="H355">
        <v>71</v>
      </c>
      <c r="I355">
        <v>185</v>
      </c>
      <c r="J355">
        <v>2018</v>
      </c>
      <c r="K355" s="4" t="str">
        <f>HYPERLINK("http://legacy.baseballprospectus.com/fantasy/dc/index.php?tm=ATL","ATL")</f>
        <v>ATL</v>
      </c>
      <c r="L355" t="s">
        <v>100</v>
      </c>
      <c r="M355" t="s">
        <v>34</v>
      </c>
      <c r="N355">
        <v>27</v>
      </c>
      <c r="O355">
        <v>250</v>
      </c>
      <c r="P355" t="s">
        <v>1680</v>
      </c>
      <c r="Q355">
        <v>232</v>
      </c>
      <c r="R355">
        <v>29</v>
      </c>
      <c r="S355">
        <v>40</v>
      </c>
      <c r="T355">
        <v>12</v>
      </c>
      <c r="U355">
        <v>3</v>
      </c>
      <c r="V355">
        <v>5</v>
      </c>
      <c r="W355">
        <v>60</v>
      </c>
      <c r="X355">
        <v>93</v>
      </c>
      <c r="Y355">
        <v>24</v>
      </c>
      <c r="Z355">
        <v>12</v>
      </c>
      <c r="AA355">
        <v>1</v>
      </c>
      <c r="AB355">
        <v>2</v>
      </c>
      <c r="AC355">
        <v>60</v>
      </c>
      <c r="AD355">
        <v>2</v>
      </c>
      <c r="AE355">
        <v>1</v>
      </c>
      <c r="AF355">
        <v>4</v>
      </c>
      <c r="AG355">
        <v>11</v>
      </c>
      <c r="AH355">
        <v>4</v>
      </c>
      <c r="AI355" s="5">
        <v>0.25800000000000001</v>
      </c>
      <c r="AJ355" s="5">
        <v>0.3</v>
      </c>
      <c r="AK355" s="5">
        <v>0.39300000000000002</v>
      </c>
      <c r="AL355" s="5">
        <v>0.23100000000000001</v>
      </c>
      <c r="AM355" s="5">
        <v>0.32300000000000001</v>
      </c>
      <c r="AN355">
        <v>0.8</v>
      </c>
      <c r="AO355">
        <v>1.77</v>
      </c>
      <c r="AP355">
        <v>7</v>
      </c>
      <c r="AQ355">
        <v>-7.5</v>
      </c>
      <c r="AR355">
        <v>1.9</v>
      </c>
      <c r="AS355" t="s">
        <v>2207</v>
      </c>
      <c r="AT355">
        <v>0.4</v>
      </c>
      <c r="AU355">
        <v>2.1</v>
      </c>
      <c r="AV355">
        <v>7</v>
      </c>
      <c r="AW355">
        <v>45</v>
      </c>
      <c r="AX355">
        <v>7</v>
      </c>
      <c r="AY355">
        <v>21</v>
      </c>
      <c r="AZ355" t="s">
        <v>4011</v>
      </c>
      <c r="BA355">
        <v>87</v>
      </c>
      <c r="BB355" t="s">
        <v>36</v>
      </c>
      <c r="BC355" t="s">
        <v>36</v>
      </c>
      <c r="BD355" s="4">
        <f>HYPERLINK("http://mlb.mlb.com/team/player.jsp?player_id=542454",542454)</f>
        <v>542454</v>
      </c>
      <c r="BE355">
        <v>0</v>
      </c>
      <c r="BF355">
        <v>0</v>
      </c>
      <c r="BG355">
        <v>178</v>
      </c>
      <c r="BH355">
        <v>168</v>
      </c>
    </row>
    <row r="356" spans="1:60" x14ac:dyDescent="0.3">
      <c r="A356" s="4">
        <f>HYPERLINK("http://legacy.baseballprospectus.com/p/67020",67020)</f>
        <v>67020</v>
      </c>
      <c r="B356" t="s">
        <v>1849</v>
      </c>
      <c r="C356" t="s">
        <v>374</v>
      </c>
      <c r="D356" s="10">
        <v>32646</v>
      </c>
      <c r="E356" t="s">
        <v>65</v>
      </c>
      <c r="F356" t="s">
        <v>9</v>
      </c>
      <c r="G356" t="s">
        <v>33</v>
      </c>
      <c r="H356">
        <v>75</v>
      </c>
      <c r="I356">
        <v>205</v>
      </c>
      <c r="J356">
        <v>2018</v>
      </c>
      <c r="K356" s="4" t="str">
        <f>HYPERLINK("http://legacy.baseballprospectus.com/fantasy/dc/index.php?tm=TEX","TEX")</f>
        <v>TEX</v>
      </c>
      <c r="L356" t="s">
        <v>95</v>
      </c>
      <c r="M356" t="s">
        <v>34</v>
      </c>
      <c r="N356">
        <v>29</v>
      </c>
      <c r="O356">
        <v>250</v>
      </c>
      <c r="P356" t="s">
        <v>1680</v>
      </c>
      <c r="Q356">
        <v>228</v>
      </c>
      <c r="R356">
        <v>31</v>
      </c>
      <c r="S356">
        <v>31</v>
      </c>
      <c r="T356">
        <v>12</v>
      </c>
      <c r="U356">
        <v>1</v>
      </c>
      <c r="V356">
        <v>10</v>
      </c>
      <c r="W356">
        <v>54</v>
      </c>
      <c r="X356">
        <v>98</v>
      </c>
      <c r="Y356">
        <v>32</v>
      </c>
      <c r="Z356">
        <v>19</v>
      </c>
      <c r="AA356">
        <v>1</v>
      </c>
      <c r="AB356">
        <v>2</v>
      </c>
      <c r="AC356">
        <v>58</v>
      </c>
      <c r="AD356">
        <v>0</v>
      </c>
      <c r="AE356">
        <v>1</v>
      </c>
      <c r="AF356">
        <v>4</v>
      </c>
      <c r="AG356">
        <v>8</v>
      </c>
      <c r="AH356">
        <v>2</v>
      </c>
      <c r="AI356" s="5">
        <v>0.23400000000000001</v>
      </c>
      <c r="AJ356" s="5">
        <v>0.29699999999999999</v>
      </c>
      <c r="AK356" s="5">
        <v>0.42499999999999999</v>
      </c>
      <c r="AL356" s="5">
        <v>0.23400000000000001</v>
      </c>
      <c r="AM356" s="5">
        <v>0.27100000000000002</v>
      </c>
      <c r="AN356">
        <v>0.8</v>
      </c>
      <c r="AO356">
        <v>2.69</v>
      </c>
      <c r="AP356">
        <v>7</v>
      </c>
      <c r="AQ356">
        <v>-6.7</v>
      </c>
      <c r="AR356">
        <v>0</v>
      </c>
      <c r="AS356" t="s">
        <v>1373</v>
      </c>
      <c r="AT356">
        <v>0.4</v>
      </c>
      <c r="AU356">
        <v>3.7</v>
      </c>
      <c r="AV356">
        <v>0</v>
      </c>
      <c r="AW356">
        <v>4</v>
      </c>
      <c r="AX356">
        <v>8</v>
      </c>
      <c r="AY356">
        <v>12</v>
      </c>
      <c r="AZ356" t="s">
        <v>4013</v>
      </c>
      <c r="BA356">
        <v>21</v>
      </c>
      <c r="BB356" t="s">
        <v>36</v>
      </c>
      <c r="BC356" t="s">
        <v>35</v>
      </c>
      <c r="BD356" s="4">
        <f>HYPERLINK("http://mlb.mlb.com/team/player.jsp?player_id=592419",592419)</f>
        <v>592419</v>
      </c>
      <c r="BE356">
        <v>0</v>
      </c>
      <c r="BF356">
        <v>0</v>
      </c>
      <c r="BG356">
        <v>77</v>
      </c>
      <c r="BH356">
        <v>72</v>
      </c>
    </row>
    <row r="357" spans="1:60" x14ac:dyDescent="0.3">
      <c r="A357" s="4">
        <f>HYPERLINK("http://legacy.baseballprospectus.com/p/67152",67152)</f>
        <v>67152</v>
      </c>
      <c r="B357" t="s">
        <v>690</v>
      </c>
      <c r="C357" t="s">
        <v>691</v>
      </c>
      <c r="D357" s="10">
        <v>33471</v>
      </c>
      <c r="E357" t="s">
        <v>65</v>
      </c>
      <c r="F357" t="s">
        <v>9</v>
      </c>
      <c r="G357" t="s">
        <v>33</v>
      </c>
      <c r="H357">
        <v>73</v>
      </c>
      <c r="I357">
        <v>185</v>
      </c>
      <c r="J357">
        <v>2018</v>
      </c>
      <c r="K357" s="4" t="str">
        <f>HYPERLINK("http://legacy.baseballprospectus.com/fantasy/dc/index.php?tm=CIN","CIN")</f>
        <v>CIN</v>
      </c>
      <c r="L357" t="s">
        <v>95</v>
      </c>
      <c r="M357" t="s">
        <v>34</v>
      </c>
      <c r="N357">
        <v>26</v>
      </c>
      <c r="O357">
        <v>250</v>
      </c>
      <c r="P357" t="s">
        <v>1680</v>
      </c>
      <c r="Q357">
        <v>225</v>
      </c>
      <c r="R357">
        <v>31</v>
      </c>
      <c r="S357">
        <v>42</v>
      </c>
      <c r="T357">
        <v>10</v>
      </c>
      <c r="U357">
        <v>1</v>
      </c>
      <c r="V357">
        <v>5</v>
      </c>
      <c r="W357">
        <v>58</v>
      </c>
      <c r="X357">
        <v>85</v>
      </c>
      <c r="Y357">
        <v>23</v>
      </c>
      <c r="Z357">
        <v>18</v>
      </c>
      <c r="AA357">
        <v>1</v>
      </c>
      <c r="AB357">
        <v>1</v>
      </c>
      <c r="AC357">
        <v>48</v>
      </c>
      <c r="AD357">
        <v>4</v>
      </c>
      <c r="AE357">
        <v>2</v>
      </c>
      <c r="AF357">
        <v>6</v>
      </c>
      <c r="AG357">
        <v>7</v>
      </c>
      <c r="AH357">
        <v>2</v>
      </c>
      <c r="AI357" s="5">
        <v>0.26</v>
      </c>
      <c r="AJ357" s="5">
        <v>0.315</v>
      </c>
      <c r="AK357" s="5">
        <v>0.38900000000000001</v>
      </c>
      <c r="AL357" s="5">
        <v>0.23400000000000001</v>
      </c>
      <c r="AM357" s="5">
        <v>0.3</v>
      </c>
      <c r="AN357">
        <v>0.4</v>
      </c>
      <c r="AO357">
        <v>2.3199999999999998</v>
      </c>
      <c r="AP357">
        <v>7</v>
      </c>
      <c r="AQ357">
        <v>-6.89</v>
      </c>
      <c r="AR357">
        <v>1.1000000000000001</v>
      </c>
      <c r="AS357" t="s">
        <v>1806</v>
      </c>
      <c r="AT357">
        <v>0.4</v>
      </c>
      <c r="AU357">
        <v>2.8</v>
      </c>
      <c r="AV357">
        <v>1</v>
      </c>
      <c r="AW357">
        <v>16</v>
      </c>
      <c r="AX357">
        <v>13</v>
      </c>
      <c r="AY357">
        <v>23</v>
      </c>
      <c r="AZ357" t="s">
        <v>3970</v>
      </c>
      <c r="BA357">
        <v>42</v>
      </c>
      <c r="BB357" t="s">
        <v>36</v>
      </c>
      <c r="BC357" t="s">
        <v>35</v>
      </c>
      <c r="BD357" s="4">
        <f>HYPERLINK("http://mlb.mlb.com/team/player.jsp?player_id=592863",592863)</f>
        <v>592863</v>
      </c>
      <c r="BE357">
        <v>0</v>
      </c>
      <c r="BF357">
        <v>0</v>
      </c>
      <c r="BG357">
        <v>17</v>
      </c>
      <c r="BH357">
        <v>16</v>
      </c>
    </row>
    <row r="358" spans="1:60" x14ac:dyDescent="0.3">
      <c r="A358" s="4">
        <f>HYPERLINK("http://legacy.baseballprospectus.com/p/70340",70340)</f>
        <v>70340</v>
      </c>
      <c r="B358" t="s">
        <v>1430</v>
      </c>
      <c r="C358" t="s">
        <v>271</v>
      </c>
      <c r="D358" s="10">
        <v>34530</v>
      </c>
      <c r="E358" t="s">
        <v>53</v>
      </c>
      <c r="F358" t="s">
        <v>33</v>
      </c>
      <c r="G358" t="s">
        <v>33</v>
      </c>
      <c r="H358">
        <v>70</v>
      </c>
      <c r="I358">
        <v>175</v>
      </c>
      <c r="J358">
        <v>2018</v>
      </c>
      <c r="K358" s="4" t="str">
        <f>HYPERLINK("http://legacy.baseballprospectus.com/fantasy/dc/index.php?tm=SFN","SFN")</f>
        <v>SFN</v>
      </c>
      <c r="L358" t="s">
        <v>100</v>
      </c>
      <c r="M358" t="s">
        <v>34</v>
      </c>
      <c r="N358">
        <v>23</v>
      </c>
      <c r="O358">
        <v>250</v>
      </c>
      <c r="P358" t="s">
        <v>1680</v>
      </c>
      <c r="Q358">
        <v>228</v>
      </c>
      <c r="R358">
        <v>23</v>
      </c>
      <c r="S358">
        <v>38</v>
      </c>
      <c r="T358">
        <v>11</v>
      </c>
      <c r="U358">
        <v>1</v>
      </c>
      <c r="V358">
        <v>5</v>
      </c>
      <c r="W358">
        <v>55</v>
      </c>
      <c r="X358">
        <v>83</v>
      </c>
      <c r="Y358">
        <v>27</v>
      </c>
      <c r="Z358">
        <v>17</v>
      </c>
      <c r="AA358">
        <v>1</v>
      </c>
      <c r="AB358">
        <v>1</v>
      </c>
      <c r="AC358">
        <v>48</v>
      </c>
      <c r="AD358">
        <v>2</v>
      </c>
      <c r="AE358">
        <v>2</v>
      </c>
      <c r="AF358">
        <v>7</v>
      </c>
      <c r="AG358">
        <v>1</v>
      </c>
      <c r="AH358">
        <v>0</v>
      </c>
      <c r="AI358" s="5">
        <v>0.24399999999999999</v>
      </c>
      <c r="AJ358" s="5">
        <v>0.29899999999999999</v>
      </c>
      <c r="AK358" s="5">
        <v>0.36899999999999999</v>
      </c>
      <c r="AL358" s="5">
        <v>0.23300000000000001</v>
      </c>
      <c r="AM358" s="5">
        <v>0.28299999999999997</v>
      </c>
      <c r="AN358">
        <v>-0.4</v>
      </c>
      <c r="AO358">
        <v>3.6</v>
      </c>
      <c r="AP358">
        <v>7</v>
      </c>
      <c r="AQ358">
        <v>-7.14</v>
      </c>
      <c r="AR358">
        <v>0.5</v>
      </c>
      <c r="AS358" t="s">
        <v>4015</v>
      </c>
      <c r="AT358">
        <v>0.4</v>
      </c>
      <c r="AU358">
        <v>3.1</v>
      </c>
      <c r="AV358">
        <v>6</v>
      </c>
      <c r="AW358">
        <v>22</v>
      </c>
      <c r="AX358">
        <v>7</v>
      </c>
      <c r="AY358">
        <v>19</v>
      </c>
      <c r="AZ358" t="s">
        <v>4016</v>
      </c>
      <c r="BA358">
        <v>33</v>
      </c>
      <c r="BB358" t="s">
        <v>36</v>
      </c>
      <c r="BC358" t="s">
        <v>35</v>
      </c>
      <c r="BD358" s="4">
        <f>HYPERLINK("http://mlb.mlb.com/team/player.jsp?player_id=546994",546994)</f>
        <v>546994</v>
      </c>
      <c r="BE358">
        <v>0</v>
      </c>
      <c r="BF358">
        <v>0</v>
      </c>
      <c r="BG358">
        <v>0</v>
      </c>
      <c r="BH358">
        <v>0</v>
      </c>
    </row>
    <row r="359" spans="1:60" x14ac:dyDescent="0.3">
      <c r="A359" s="4">
        <f>HYPERLINK("http://legacy.baseballprospectus.com/p/100017",100017)</f>
        <v>100017</v>
      </c>
      <c r="B359" t="s">
        <v>1890</v>
      </c>
      <c r="C359" t="s">
        <v>225</v>
      </c>
      <c r="D359" s="10">
        <v>33262</v>
      </c>
      <c r="E359" t="s">
        <v>51</v>
      </c>
      <c r="F359" t="s">
        <v>33</v>
      </c>
      <c r="G359" t="s">
        <v>33</v>
      </c>
      <c r="H359">
        <v>68</v>
      </c>
      <c r="I359">
        <v>179</v>
      </c>
      <c r="J359">
        <v>2018</v>
      </c>
      <c r="K359" s="4" t="str">
        <f>HYPERLINK("http://legacy.baseballprospectus.com/fantasy/dc/index.php?tm=ARI","ARI")</f>
        <v>ARI</v>
      </c>
      <c r="L359" t="s">
        <v>100</v>
      </c>
      <c r="M359" t="s">
        <v>34</v>
      </c>
      <c r="N359">
        <v>27</v>
      </c>
      <c r="O359">
        <v>250</v>
      </c>
      <c r="P359" t="s">
        <v>1680</v>
      </c>
      <c r="Q359">
        <v>228</v>
      </c>
      <c r="R359">
        <v>30</v>
      </c>
      <c r="S359">
        <v>39</v>
      </c>
      <c r="T359">
        <v>15</v>
      </c>
      <c r="U359">
        <v>1</v>
      </c>
      <c r="V359">
        <v>5</v>
      </c>
      <c r="W359">
        <v>60</v>
      </c>
      <c r="X359">
        <v>92</v>
      </c>
      <c r="Y359">
        <v>23</v>
      </c>
      <c r="Z359">
        <v>17</v>
      </c>
      <c r="AA359">
        <v>1</v>
      </c>
      <c r="AB359">
        <v>2</v>
      </c>
      <c r="AC359">
        <v>38</v>
      </c>
      <c r="AD359">
        <v>2</v>
      </c>
      <c r="AE359">
        <v>1</v>
      </c>
      <c r="AF359">
        <v>8</v>
      </c>
      <c r="AG359">
        <v>5</v>
      </c>
      <c r="AH359">
        <v>2</v>
      </c>
      <c r="AI359" s="5">
        <v>0.26</v>
      </c>
      <c r="AJ359" s="5">
        <v>0.314</v>
      </c>
      <c r="AK359" s="5">
        <v>0.39700000000000002</v>
      </c>
      <c r="AL359" s="5">
        <v>0.24</v>
      </c>
      <c r="AM359" s="5">
        <v>0.28999999999999998</v>
      </c>
      <c r="AN359">
        <v>0.1</v>
      </c>
      <c r="AO359">
        <v>1.7</v>
      </c>
      <c r="AP359">
        <v>7</v>
      </c>
      <c r="AQ359">
        <v>-5.28</v>
      </c>
      <c r="AR359">
        <v>0.5</v>
      </c>
      <c r="AS359" t="s">
        <v>4017</v>
      </c>
      <c r="AT359">
        <v>0.4</v>
      </c>
      <c r="AU359">
        <v>3.5</v>
      </c>
      <c r="AV359">
        <v>4</v>
      </c>
      <c r="AW359">
        <v>17</v>
      </c>
      <c r="AX359">
        <v>5</v>
      </c>
      <c r="AY359">
        <v>15</v>
      </c>
      <c r="AZ359" t="s">
        <v>4018</v>
      </c>
      <c r="BA359">
        <v>35</v>
      </c>
      <c r="BB359" t="s">
        <v>36</v>
      </c>
      <c r="BC359" t="s">
        <v>35</v>
      </c>
      <c r="BD359" s="4">
        <f>HYPERLINK("http://mlb.mlb.com/team/player.jsp?player_id=573113",573113)</f>
        <v>573113</v>
      </c>
      <c r="BE359">
        <v>0</v>
      </c>
      <c r="BF359">
        <v>0</v>
      </c>
      <c r="BG359">
        <v>0</v>
      </c>
      <c r="BH359">
        <v>0</v>
      </c>
    </row>
    <row r="360" spans="1:60" x14ac:dyDescent="0.3">
      <c r="A360" s="4">
        <f>HYPERLINK("http://legacy.baseballprospectus.com/p/102876",102876)</f>
        <v>102876</v>
      </c>
      <c r="B360" t="s">
        <v>3981</v>
      </c>
      <c r="C360" t="s">
        <v>119</v>
      </c>
      <c r="D360" s="10">
        <v>34902</v>
      </c>
      <c r="E360" t="s">
        <v>65</v>
      </c>
      <c r="F360" t="s">
        <v>33</v>
      </c>
      <c r="G360" t="s">
        <v>33</v>
      </c>
      <c r="H360">
        <v>74</v>
      </c>
      <c r="I360">
        <v>175</v>
      </c>
      <c r="J360">
        <v>2018</v>
      </c>
      <c r="K360" s="4" t="str">
        <f>HYPERLINK("http://legacy.baseballprospectus.com/fantasy/dc/index.php?tm=CIN","CIN")</f>
        <v>CIN</v>
      </c>
      <c r="L360" t="s">
        <v>100</v>
      </c>
      <c r="M360" t="s">
        <v>34</v>
      </c>
      <c r="N360">
        <v>22</v>
      </c>
      <c r="O360">
        <v>250</v>
      </c>
      <c r="P360" t="s">
        <v>1680</v>
      </c>
      <c r="Q360">
        <v>234</v>
      </c>
      <c r="R360">
        <v>35</v>
      </c>
      <c r="S360">
        <v>30</v>
      </c>
      <c r="T360">
        <v>9</v>
      </c>
      <c r="U360">
        <v>2</v>
      </c>
      <c r="V360">
        <v>10</v>
      </c>
      <c r="W360">
        <v>51</v>
      </c>
      <c r="X360">
        <v>94</v>
      </c>
      <c r="Y360">
        <v>27</v>
      </c>
      <c r="Z360">
        <v>10</v>
      </c>
      <c r="AA360">
        <v>1</v>
      </c>
      <c r="AB360">
        <v>2</v>
      </c>
      <c r="AC360">
        <v>85</v>
      </c>
      <c r="AD360">
        <v>3</v>
      </c>
      <c r="AE360">
        <v>2</v>
      </c>
      <c r="AF360">
        <v>6</v>
      </c>
      <c r="AG360">
        <v>11</v>
      </c>
      <c r="AH360">
        <v>3</v>
      </c>
      <c r="AI360" s="5">
        <v>0.219</v>
      </c>
      <c r="AJ360" s="5">
        <v>0.255</v>
      </c>
      <c r="AK360" s="5">
        <v>0.40300000000000002</v>
      </c>
      <c r="AL360" s="5">
        <v>0.21199999999999999</v>
      </c>
      <c r="AM360" s="5">
        <v>0.28699999999999998</v>
      </c>
      <c r="AN360">
        <v>1.4</v>
      </c>
      <c r="AO360">
        <v>2.74</v>
      </c>
      <c r="AP360">
        <v>7</v>
      </c>
      <c r="AQ360">
        <v>-12.52</v>
      </c>
      <c r="AR360">
        <v>5</v>
      </c>
      <c r="AS360" t="s">
        <v>3982</v>
      </c>
      <c r="AT360">
        <v>0.4</v>
      </c>
      <c r="AU360">
        <v>-1.3</v>
      </c>
      <c r="AV360">
        <v>8</v>
      </c>
      <c r="AW360">
        <v>11</v>
      </c>
      <c r="AX360">
        <v>4</v>
      </c>
      <c r="AY360">
        <v>13</v>
      </c>
      <c r="AZ360" t="s">
        <v>3983</v>
      </c>
      <c r="BA360">
        <v>22</v>
      </c>
      <c r="BB360" t="s">
        <v>36</v>
      </c>
      <c r="BC360" t="s">
        <v>35</v>
      </c>
      <c r="BD360" s="4">
        <f>HYPERLINK("http://mlb.mlb.com/team/player.jsp?player_id=642350",642350)</f>
        <v>642350</v>
      </c>
      <c r="BE360">
        <v>1662</v>
      </c>
      <c r="BF360">
        <v>662</v>
      </c>
      <c r="BG360">
        <v>0</v>
      </c>
      <c r="BH360">
        <v>0</v>
      </c>
    </row>
    <row r="361" spans="1:60" x14ac:dyDescent="0.3">
      <c r="A361" s="4">
        <f>HYPERLINK("http://legacy.baseballprospectus.com/p/105439",105439)</f>
        <v>105439</v>
      </c>
      <c r="B361" t="s">
        <v>3986</v>
      </c>
      <c r="C361" t="s">
        <v>3987</v>
      </c>
      <c r="D361" s="10">
        <v>34608</v>
      </c>
      <c r="E361" t="s">
        <v>65</v>
      </c>
      <c r="F361" t="s">
        <v>37</v>
      </c>
      <c r="G361" t="s">
        <v>9</v>
      </c>
      <c r="H361">
        <v>68</v>
      </c>
      <c r="I361">
        <v>175</v>
      </c>
      <c r="J361">
        <v>2018</v>
      </c>
      <c r="K361" s="4" t="str">
        <f>HYPERLINK("http://legacy.baseballprospectus.com/fantasy/dc/index.php?tm=BAL","BAL")</f>
        <v>BAL</v>
      </c>
      <c r="L361" t="s">
        <v>95</v>
      </c>
      <c r="M361" t="s">
        <v>34</v>
      </c>
      <c r="N361">
        <v>23</v>
      </c>
      <c r="O361">
        <v>250</v>
      </c>
      <c r="P361" t="s">
        <v>1680</v>
      </c>
      <c r="Q361">
        <v>230</v>
      </c>
      <c r="R361">
        <v>33</v>
      </c>
      <c r="S361">
        <v>33</v>
      </c>
      <c r="T361">
        <v>12</v>
      </c>
      <c r="U361">
        <v>1</v>
      </c>
      <c r="V361">
        <v>9</v>
      </c>
      <c r="W361">
        <v>55</v>
      </c>
      <c r="X361">
        <v>96</v>
      </c>
      <c r="Y361">
        <v>29</v>
      </c>
      <c r="Z361">
        <v>15</v>
      </c>
      <c r="AA361">
        <v>1</v>
      </c>
      <c r="AB361">
        <v>1</v>
      </c>
      <c r="AC361">
        <v>59</v>
      </c>
      <c r="AD361">
        <v>2</v>
      </c>
      <c r="AE361">
        <v>2</v>
      </c>
      <c r="AF361">
        <v>5</v>
      </c>
      <c r="AG361">
        <v>6</v>
      </c>
      <c r="AH361">
        <v>3</v>
      </c>
      <c r="AI361" s="5">
        <v>0.23899999999999999</v>
      </c>
      <c r="AJ361" s="5">
        <v>0.28699999999999998</v>
      </c>
      <c r="AK361" s="5">
        <v>0.42199999999999999</v>
      </c>
      <c r="AL361" s="5">
        <v>0.23200000000000001</v>
      </c>
      <c r="AM361" s="5">
        <v>0.27500000000000002</v>
      </c>
      <c r="AN361">
        <v>0.1</v>
      </c>
      <c r="AO361">
        <v>2.67</v>
      </c>
      <c r="AP361">
        <v>7</v>
      </c>
      <c r="AQ361">
        <v>-7.41</v>
      </c>
      <c r="AR361">
        <v>1.7</v>
      </c>
      <c r="AS361" t="s">
        <v>1326</v>
      </c>
      <c r="AT361">
        <v>0.4</v>
      </c>
      <c r="AU361">
        <v>2.4</v>
      </c>
      <c r="AV361">
        <v>1</v>
      </c>
      <c r="AW361">
        <v>10</v>
      </c>
      <c r="AX361">
        <v>2</v>
      </c>
      <c r="AY361">
        <v>9</v>
      </c>
      <c r="AZ361" t="s">
        <v>3988</v>
      </c>
      <c r="BA361">
        <v>21</v>
      </c>
      <c r="BB361" t="s">
        <v>36</v>
      </c>
      <c r="BC361" t="s">
        <v>35</v>
      </c>
      <c r="BD361" s="4">
        <f>HYPERLINK("http://mlb.mlb.com/team/player.jsp?player_id=656775",656775)</f>
        <v>656775</v>
      </c>
      <c r="BE361">
        <v>636</v>
      </c>
      <c r="BF361">
        <v>1636</v>
      </c>
      <c r="BG361">
        <v>0</v>
      </c>
      <c r="BH361">
        <v>0</v>
      </c>
    </row>
    <row r="362" spans="1:60" x14ac:dyDescent="0.3">
      <c r="A362" s="4">
        <f>HYPERLINK("http://legacy.baseballprospectus.com/p/106191",106191)</f>
        <v>106191</v>
      </c>
      <c r="B362" t="s">
        <v>440</v>
      </c>
      <c r="C362" t="s">
        <v>210</v>
      </c>
      <c r="D362" s="10">
        <v>34178</v>
      </c>
      <c r="E362" t="s">
        <v>58</v>
      </c>
      <c r="F362" t="s">
        <v>33</v>
      </c>
      <c r="G362" t="s">
        <v>33</v>
      </c>
      <c r="H362">
        <v>74</v>
      </c>
      <c r="I362">
        <v>200</v>
      </c>
      <c r="J362">
        <v>2018</v>
      </c>
      <c r="K362" s="4" t="str">
        <f>HYPERLINK("http://legacy.baseballprospectus.com/fantasy/dc/index.php?tm=LAN","LAN")</f>
        <v>LAN</v>
      </c>
      <c r="L362" t="s">
        <v>100</v>
      </c>
      <c r="M362" t="s">
        <v>34</v>
      </c>
      <c r="N362">
        <v>24</v>
      </c>
      <c r="O362">
        <v>250</v>
      </c>
      <c r="P362" t="s">
        <v>1680</v>
      </c>
      <c r="Q362">
        <v>222</v>
      </c>
      <c r="R362">
        <v>30</v>
      </c>
      <c r="S362">
        <v>33</v>
      </c>
      <c r="T362">
        <v>10</v>
      </c>
      <c r="U362">
        <v>1</v>
      </c>
      <c r="V362">
        <v>5</v>
      </c>
      <c r="W362">
        <v>49</v>
      </c>
      <c r="X362">
        <v>76</v>
      </c>
      <c r="Y362">
        <v>22</v>
      </c>
      <c r="Z362">
        <v>19</v>
      </c>
      <c r="AA362">
        <v>1</v>
      </c>
      <c r="AB362">
        <v>5</v>
      </c>
      <c r="AC362">
        <v>62</v>
      </c>
      <c r="AD362">
        <v>2</v>
      </c>
      <c r="AE362">
        <v>1</v>
      </c>
      <c r="AF362">
        <v>6</v>
      </c>
      <c r="AG362">
        <v>6</v>
      </c>
      <c r="AH362">
        <v>2</v>
      </c>
      <c r="AI362" s="5">
        <v>0.221</v>
      </c>
      <c r="AJ362" s="5">
        <v>0.29599999999999999</v>
      </c>
      <c r="AK362" s="5">
        <v>0.34399999999999997</v>
      </c>
      <c r="AL362" s="5">
        <v>0.224</v>
      </c>
      <c r="AM362" s="5">
        <v>0.27700000000000002</v>
      </c>
      <c r="AN362">
        <v>0.1</v>
      </c>
      <c r="AO362">
        <v>3.51</v>
      </c>
      <c r="AP362">
        <v>7</v>
      </c>
      <c r="AQ362">
        <v>-9.34</v>
      </c>
      <c r="AR362">
        <v>2.6</v>
      </c>
      <c r="AS362" t="s">
        <v>1689</v>
      </c>
      <c r="AT362">
        <v>0.4</v>
      </c>
      <c r="AU362">
        <v>1.2</v>
      </c>
      <c r="AV362">
        <v>3</v>
      </c>
      <c r="AW362">
        <v>7</v>
      </c>
      <c r="AX362">
        <v>6</v>
      </c>
      <c r="AY362">
        <v>20</v>
      </c>
      <c r="AZ362" t="s">
        <v>4029</v>
      </c>
      <c r="BA362">
        <v>23</v>
      </c>
      <c r="BB362" t="s">
        <v>36</v>
      </c>
      <c r="BC362" t="s">
        <v>35</v>
      </c>
      <c r="BD362" s="4">
        <f>HYPERLINK("http://mlb.mlb.com/team/player.jsp?player_id=623515",623515)</f>
        <v>623515</v>
      </c>
      <c r="BE362">
        <v>0</v>
      </c>
      <c r="BF362">
        <v>0</v>
      </c>
      <c r="BG362">
        <v>0</v>
      </c>
      <c r="BH362">
        <v>0</v>
      </c>
    </row>
    <row r="363" spans="1:60" x14ac:dyDescent="0.3">
      <c r="A363" s="4">
        <f>HYPERLINK("http://legacy.baseballprospectus.com/p/106748",106748)</f>
        <v>106748</v>
      </c>
      <c r="B363" t="s">
        <v>3989</v>
      </c>
      <c r="C363" t="s">
        <v>3990</v>
      </c>
      <c r="D363" s="10">
        <v>35713</v>
      </c>
      <c r="E363" t="s">
        <v>53</v>
      </c>
      <c r="F363" t="s">
        <v>37</v>
      </c>
      <c r="G363" t="s">
        <v>33</v>
      </c>
      <c r="H363">
        <v>70</v>
      </c>
      <c r="I363">
        <v>150</v>
      </c>
      <c r="J363">
        <v>2018</v>
      </c>
      <c r="K363" s="4" t="str">
        <f>HYPERLINK("http://legacy.baseballprospectus.com/fantasy/dc/index.php?tm=ANA","ANA")</f>
        <v>ANA</v>
      </c>
      <c r="L363" t="s">
        <v>95</v>
      </c>
      <c r="M363" t="s">
        <v>34</v>
      </c>
      <c r="N363">
        <v>20</v>
      </c>
      <c r="O363">
        <v>250</v>
      </c>
      <c r="P363" t="s">
        <v>1680</v>
      </c>
      <c r="Q363">
        <v>214</v>
      </c>
      <c r="R363">
        <v>30</v>
      </c>
      <c r="S363">
        <v>29</v>
      </c>
      <c r="T363">
        <v>8</v>
      </c>
      <c r="U363">
        <v>1</v>
      </c>
      <c r="V363">
        <v>4</v>
      </c>
      <c r="W363">
        <v>42</v>
      </c>
      <c r="X363">
        <v>64</v>
      </c>
      <c r="Y363">
        <v>19</v>
      </c>
      <c r="Z363">
        <v>28</v>
      </c>
      <c r="AA363">
        <v>1</v>
      </c>
      <c r="AB363">
        <v>4</v>
      </c>
      <c r="AC363">
        <v>73</v>
      </c>
      <c r="AD363">
        <v>3</v>
      </c>
      <c r="AE363">
        <v>1</v>
      </c>
      <c r="AF363">
        <v>6</v>
      </c>
      <c r="AG363">
        <v>7</v>
      </c>
      <c r="AH363">
        <v>2</v>
      </c>
      <c r="AI363" s="5">
        <v>0.2</v>
      </c>
      <c r="AJ363" s="5">
        <v>0.30299999999999999</v>
      </c>
      <c r="AK363" s="5">
        <v>0.308</v>
      </c>
      <c r="AL363" s="5">
        <v>0.216</v>
      </c>
      <c r="AM363" s="5">
        <v>0.27200000000000002</v>
      </c>
      <c r="AN363">
        <v>0.5</v>
      </c>
      <c r="AO363">
        <v>4.08</v>
      </c>
      <c r="AP363">
        <v>7</v>
      </c>
      <c r="AQ363">
        <v>-11.54</v>
      </c>
      <c r="AR363">
        <v>3.6</v>
      </c>
      <c r="AS363" t="s">
        <v>3991</v>
      </c>
      <c r="AT363">
        <v>0.4</v>
      </c>
      <c r="AU363">
        <v>0</v>
      </c>
      <c r="AV363">
        <v>1</v>
      </c>
      <c r="AW363">
        <v>11</v>
      </c>
      <c r="AX363">
        <v>0</v>
      </c>
      <c r="AY363">
        <v>3</v>
      </c>
      <c r="AZ363" t="s">
        <v>3992</v>
      </c>
      <c r="BA363">
        <v>12</v>
      </c>
      <c r="BB363" t="s">
        <v>36</v>
      </c>
      <c r="BC363" t="s">
        <v>35</v>
      </c>
      <c r="BD363" s="4">
        <f>HYPERLINK("http://mlb.mlb.com/team/player.jsp?player_id=660844",660844)</f>
        <v>660844</v>
      </c>
      <c r="BE363">
        <v>0</v>
      </c>
      <c r="BF363">
        <v>0</v>
      </c>
      <c r="BG363">
        <v>0</v>
      </c>
      <c r="BH363">
        <v>0</v>
      </c>
    </row>
    <row r="364" spans="1:60" x14ac:dyDescent="0.3">
      <c r="A364" s="4">
        <f>HYPERLINK("http://legacy.baseballprospectus.com/p/106820",106820)</f>
        <v>106820</v>
      </c>
      <c r="B364" t="s">
        <v>612</v>
      </c>
      <c r="C364" t="s">
        <v>1949</v>
      </c>
      <c r="D364" s="10">
        <v>35996</v>
      </c>
      <c r="E364" t="s">
        <v>54</v>
      </c>
      <c r="F364" t="s">
        <v>37</v>
      </c>
      <c r="G364" t="s">
        <v>33</v>
      </c>
      <c r="H364">
        <v>72</v>
      </c>
      <c r="I364">
        <v>200</v>
      </c>
      <c r="J364">
        <v>2018</v>
      </c>
      <c r="K364" s="4" t="str">
        <f>HYPERLINK("http://legacy.baseballprospectus.com/fantasy/dc/index.php?tm=LAN","LAN")</f>
        <v>LAN</v>
      </c>
      <c r="L364" t="s">
        <v>100</v>
      </c>
      <c r="M364" t="s">
        <v>34</v>
      </c>
      <c r="N364">
        <v>19</v>
      </c>
      <c r="O364">
        <v>250</v>
      </c>
      <c r="P364" t="s">
        <v>1680</v>
      </c>
      <c r="Q364">
        <v>236</v>
      </c>
      <c r="R364">
        <v>24</v>
      </c>
      <c r="S364">
        <v>39</v>
      </c>
      <c r="T364">
        <v>12</v>
      </c>
      <c r="U364">
        <v>0</v>
      </c>
      <c r="V364">
        <v>7</v>
      </c>
      <c r="W364">
        <v>58</v>
      </c>
      <c r="X364">
        <v>91</v>
      </c>
      <c r="Y364">
        <v>29</v>
      </c>
      <c r="Z364">
        <v>10</v>
      </c>
      <c r="AA364">
        <v>1</v>
      </c>
      <c r="AB364">
        <v>1</v>
      </c>
      <c r="AC364">
        <v>54</v>
      </c>
      <c r="AD364">
        <v>1</v>
      </c>
      <c r="AE364">
        <v>2</v>
      </c>
      <c r="AF364">
        <v>7</v>
      </c>
      <c r="AG364">
        <v>0</v>
      </c>
      <c r="AH364">
        <v>0</v>
      </c>
      <c r="AI364" s="5">
        <v>0.247</v>
      </c>
      <c r="AJ364" s="5">
        <v>0.28000000000000003</v>
      </c>
      <c r="AK364" s="5">
        <v>0.39200000000000002</v>
      </c>
      <c r="AL364" s="5">
        <v>0.22800000000000001</v>
      </c>
      <c r="AM364" s="5">
        <v>0.28799999999999998</v>
      </c>
      <c r="AN364">
        <v>-0.5</v>
      </c>
      <c r="AO364">
        <v>5.22</v>
      </c>
      <c r="AP364">
        <v>7</v>
      </c>
      <c r="AQ364">
        <v>-8.48</v>
      </c>
      <c r="AR364">
        <v>0.4</v>
      </c>
      <c r="AS364" t="s">
        <v>71</v>
      </c>
      <c r="AT364">
        <v>0.4</v>
      </c>
      <c r="AU364">
        <v>3.3</v>
      </c>
      <c r="AV364">
        <v>0</v>
      </c>
      <c r="AW364">
        <v>8</v>
      </c>
      <c r="AX364">
        <v>2</v>
      </c>
      <c r="AY364">
        <v>8</v>
      </c>
      <c r="AZ364" t="s">
        <v>4030</v>
      </c>
      <c r="BA364">
        <v>16</v>
      </c>
      <c r="BB364" t="s">
        <v>36</v>
      </c>
      <c r="BC364" t="s">
        <v>35</v>
      </c>
      <c r="BD364" s="4">
        <f>HYPERLINK("http://mlb.mlb.com/team/player.jsp?player_id=660688",660688)</f>
        <v>660688</v>
      </c>
      <c r="BE364">
        <v>1416</v>
      </c>
      <c r="BF364">
        <v>416</v>
      </c>
      <c r="BG364">
        <v>0</v>
      </c>
      <c r="BH364">
        <v>0</v>
      </c>
    </row>
    <row r="365" spans="1:60" x14ac:dyDescent="0.3">
      <c r="A365" s="4">
        <f>HYPERLINK("http://legacy.baseballprospectus.com/p/106875",106875)</f>
        <v>106875</v>
      </c>
      <c r="B365" t="s">
        <v>4031</v>
      </c>
      <c r="C365" t="s">
        <v>458</v>
      </c>
      <c r="D365" s="10">
        <v>34619</v>
      </c>
      <c r="E365" t="s">
        <v>58</v>
      </c>
      <c r="F365" t="s">
        <v>9</v>
      </c>
      <c r="G365" t="s">
        <v>33</v>
      </c>
      <c r="H365">
        <v>68</v>
      </c>
      <c r="I365">
        <v>180</v>
      </c>
      <c r="J365">
        <v>2018</v>
      </c>
      <c r="K365" s="4" t="str">
        <f>HYPERLINK("http://legacy.baseballprospectus.com/fantasy/dc/index.php?tm=SLN","SLN")</f>
        <v>SLN</v>
      </c>
      <c r="L365" t="s">
        <v>100</v>
      </c>
      <c r="M365" t="s">
        <v>34</v>
      </c>
      <c r="N365">
        <v>23</v>
      </c>
      <c r="O365">
        <v>250</v>
      </c>
      <c r="P365" t="s">
        <v>1680</v>
      </c>
      <c r="Q365">
        <v>232</v>
      </c>
      <c r="R365">
        <v>30</v>
      </c>
      <c r="S365">
        <v>45</v>
      </c>
      <c r="T365">
        <v>11</v>
      </c>
      <c r="U365">
        <v>1</v>
      </c>
      <c r="V365">
        <v>7</v>
      </c>
      <c r="W365">
        <v>64</v>
      </c>
      <c r="X365">
        <v>98</v>
      </c>
      <c r="Y365">
        <v>27</v>
      </c>
      <c r="Z365">
        <v>14</v>
      </c>
      <c r="AA365">
        <v>1</v>
      </c>
      <c r="AB365">
        <v>2</v>
      </c>
      <c r="AC365">
        <v>37</v>
      </c>
      <c r="AD365">
        <v>1</v>
      </c>
      <c r="AE365">
        <v>1</v>
      </c>
      <c r="AF365">
        <v>6</v>
      </c>
      <c r="AG365">
        <v>1</v>
      </c>
      <c r="AH365">
        <v>0</v>
      </c>
      <c r="AI365" s="5">
        <v>0.27800000000000002</v>
      </c>
      <c r="AJ365" s="5">
        <v>0.32400000000000001</v>
      </c>
      <c r="AK365" s="5">
        <v>0.42399999999999999</v>
      </c>
      <c r="AL365" s="5">
        <v>0.25</v>
      </c>
      <c r="AM365" s="5">
        <v>0.30399999999999999</v>
      </c>
      <c r="AN365">
        <v>-0.3</v>
      </c>
      <c r="AO365">
        <v>3.35</v>
      </c>
      <c r="AP365">
        <v>7</v>
      </c>
      <c r="AQ365">
        <v>-2.5299999999999998</v>
      </c>
      <c r="AR365">
        <v>-3.7</v>
      </c>
      <c r="AS365" t="s">
        <v>1021</v>
      </c>
      <c r="AT365">
        <v>0.4</v>
      </c>
      <c r="AU365">
        <v>7.5</v>
      </c>
      <c r="AV365">
        <v>8</v>
      </c>
      <c r="AW365">
        <v>30</v>
      </c>
      <c r="AX365">
        <v>3</v>
      </c>
      <c r="AY365">
        <v>14</v>
      </c>
      <c r="AZ365" t="s">
        <v>4032</v>
      </c>
      <c r="BA365">
        <v>46</v>
      </c>
      <c r="BB365" t="s">
        <v>36</v>
      </c>
      <c r="BC365" t="s">
        <v>35</v>
      </c>
      <c r="BD365" s="4">
        <f>HYPERLINK("http://mlb.mlb.com/team/player.jsp?player_id=621011",621011)</f>
        <v>621011</v>
      </c>
      <c r="BE365">
        <v>1481</v>
      </c>
      <c r="BF365">
        <v>481</v>
      </c>
      <c r="BG365">
        <v>0</v>
      </c>
      <c r="BH365">
        <v>0</v>
      </c>
    </row>
    <row r="366" spans="1:60" x14ac:dyDescent="0.3">
      <c r="A366" s="4">
        <f>HYPERLINK("http://legacy.baseballprospectus.com/p/106961",106961)</f>
        <v>106961</v>
      </c>
      <c r="B366" t="s">
        <v>1750</v>
      </c>
      <c r="C366" t="s">
        <v>204</v>
      </c>
      <c r="D366" s="10">
        <v>34486</v>
      </c>
      <c r="E366" t="s">
        <v>65</v>
      </c>
      <c r="F366" t="s">
        <v>9</v>
      </c>
      <c r="G366" t="s">
        <v>9</v>
      </c>
      <c r="H366">
        <v>72</v>
      </c>
      <c r="I366">
        <v>185</v>
      </c>
      <c r="J366">
        <v>2018</v>
      </c>
      <c r="K366" s="4" t="str">
        <f>HYPERLINK("http://legacy.baseballprospectus.com/fantasy/dc/index.php?tm=WAS","WAS")</f>
        <v>WAS</v>
      </c>
      <c r="L366" t="s">
        <v>100</v>
      </c>
      <c r="M366" t="s">
        <v>34</v>
      </c>
      <c r="N366">
        <v>24</v>
      </c>
      <c r="O366">
        <v>250</v>
      </c>
      <c r="P366" t="s">
        <v>1680</v>
      </c>
      <c r="Q366">
        <v>228</v>
      </c>
      <c r="R366">
        <v>30</v>
      </c>
      <c r="S366">
        <v>41</v>
      </c>
      <c r="T366">
        <v>9</v>
      </c>
      <c r="U366">
        <v>2</v>
      </c>
      <c r="V366">
        <v>5</v>
      </c>
      <c r="W366">
        <v>57</v>
      </c>
      <c r="X366">
        <v>85</v>
      </c>
      <c r="Y366">
        <v>22</v>
      </c>
      <c r="Z366">
        <v>17</v>
      </c>
      <c r="AA366">
        <v>1</v>
      </c>
      <c r="AB366">
        <v>1</v>
      </c>
      <c r="AC366">
        <v>61</v>
      </c>
      <c r="AD366">
        <v>2</v>
      </c>
      <c r="AE366">
        <v>1</v>
      </c>
      <c r="AF366">
        <v>5</v>
      </c>
      <c r="AG366">
        <v>7</v>
      </c>
      <c r="AH366">
        <v>2</v>
      </c>
      <c r="AI366" s="5">
        <v>0.247</v>
      </c>
      <c r="AJ366" s="5">
        <v>0.30099999999999999</v>
      </c>
      <c r="AK366" s="5">
        <v>0.36399999999999999</v>
      </c>
      <c r="AL366" s="5">
        <v>0.223</v>
      </c>
      <c r="AM366" s="5">
        <v>0.311</v>
      </c>
      <c r="AN366">
        <v>0.5</v>
      </c>
      <c r="AO366">
        <v>2.48</v>
      </c>
      <c r="AP366">
        <v>7</v>
      </c>
      <c r="AQ366">
        <v>-9.83</v>
      </c>
      <c r="AR366">
        <v>3.2</v>
      </c>
      <c r="AS366" t="s">
        <v>1829</v>
      </c>
      <c r="AT366">
        <v>0.4</v>
      </c>
      <c r="AU366">
        <v>0.2</v>
      </c>
      <c r="AV366">
        <v>8</v>
      </c>
      <c r="AW366">
        <v>15</v>
      </c>
      <c r="AX366">
        <v>6</v>
      </c>
      <c r="AY366">
        <v>14</v>
      </c>
      <c r="AZ366" t="s">
        <v>4404</v>
      </c>
      <c r="BA366">
        <v>28</v>
      </c>
      <c r="BB366" t="s">
        <v>36</v>
      </c>
      <c r="BC366" t="s">
        <v>35</v>
      </c>
      <c r="BD366" s="4">
        <f>HYPERLINK("http://mlb.mlb.com/team/player.jsp?player_id=664057",664057)</f>
        <v>664057</v>
      </c>
      <c r="BE366">
        <v>1636</v>
      </c>
      <c r="BF366">
        <v>636</v>
      </c>
      <c r="BG366">
        <v>66</v>
      </c>
      <c r="BH366">
        <v>57</v>
      </c>
    </row>
    <row r="367" spans="1:60" x14ac:dyDescent="0.3">
      <c r="A367" s="4">
        <f>HYPERLINK("http://legacy.baseballprospectus.com/p/106973",106973)</f>
        <v>106973</v>
      </c>
      <c r="B367" t="s">
        <v>653</v>
      </c>
      <c r="C367" t="s">
        <v>451</v>
      </c>
      <c r="D367" s="10">
        <v>34115</v>
      </c>
      <c r="E367" t="s">
        <v>54</v>
      </c>
      <c r="F367" t="s">
        <v>9</v>
      </c>
      <c r="G367" t="s">
        <v>33</v>
      </c>
      <c r="H367">
        <v>70</v>
      </c>
      <c r="I367">
        <v>175</v>
      </c>
      <c r="J367">
        <v>2018</v>
      </c>
      <c r="K367" s="4" t="str">
        <f>HYPERLINK("http://legacy.baseballprospectus.com/fantasy/dc/index.php?tm=HOU","HOU")</f>
        <v>HOU</v>
      </c>
      <c r="L367" t="s">
        <v>95</v>
      </c>
      <c r="M367" t="s">
        <v>34</v>
      </c>
      <c r="N367">
        <v>25</v>
      </c>
      <c r="O367">
        <v>250</v>
      </c>
      <c r="P367" t="s">
        <v>1680</v>
      </c>
      <c r="Q367">
        <v>219</v>
      </c>
      <c r="R367">
        <v>27</v>
      </c>
      <c r="S367">
        <v>33</v>
      </c>
      <c r="T367">
        <v>12</v>
      </c>
      <c r="U367">
        <v>0</v>
      </c>
      <c r="V367">
        <v>6</v>
      </c>
      <c r="W367">
        <v>51</v>
      </c>
      <c r="X367">
        <v>81</v>
      </c>
      <c r="Y367">
        <v>27</v>
      </c>
      <c r="Z367">
        <v>26</v>
      </c>
      <c r="AA367">
        <v>1</v>
      </c>
      <c r="AB367">
        <v>3</v>
      </c>
      <c r="AC367">
        <v>48</v>
      </c>
      <c r="AD367">
        <v>1</v>
      </c>
      <c r="AE367">
        <v>1</v>
      </c>
      <c r="AF367">
        <v>7</v>
      </c>
      <c r="AG367">
        <v>4</v>
      </c>
      <c r="AH367">
        <v>1</v>
      </c>
      <c r="AI367" s="5">
        <v>0.23499999999999999</v>
      </c>
      <c r="AJ367" s="5">
        <v>0.32300000000000001</v>
      </c>
      <c r="AK367" s="5">
        <v>0.376</v>
      </c>
      <c r="AL367" s="5">
        <v>0.23899999999999999</v>
      </c>
      <c r="AM367" s="5">
        <v>0.27200000000000002</v>
      </c>
      <c r="AN367">
        <v>0.2</v>
      </c>
      <c r="AO367">
        <v>5.25</v>
      </c>
      <c r="AP367">
        <v>7</v>
      </c>
      <c r="AQ367">
        <v>-5.57</v>
      </c>
      <c r="AR367">
        <v>-3</v>
      </c>
      <c r="AS367" t="s">
        <v>1746</v>
      </c>
      <c r="AT367">
        <v>0.4</v>
      </c>
      <c r="AU367">
        <v>6.9</v>
      </c>
      <c r="AV367">
        <v>6</v>
      </c>
      <c r="AW367">
        <v>17</v>
      </c>
      <c r="AX367">
        <v>4</v>
      </c>
      <c r="AY367">
        <v>22</v>
      </c>
      <c r="AZ367" t="s">
        <v>3993</v>
      </c>
      <c r="BA367">
        <v>35</v>
      </c>
      <c r="BB367" t="s">
        <v>36</v>
      </c>
      <c r="BC367" t="s">
        <v>35</v>
      </c>
      <c r="BD367" s="4">
        <f>HYPERLINK("http://mlb.mlb.com/team/player.jsp?player_id=596117",596117)</f>
        <v>596117</v>
      </c>
      <c r="BE367">
        <v>402</v>
      </c>
      <c r="BF367">
        <v>1402</v>
      </c>
      <c r="BG367">
        <v>0</v>
      </c>
      <c r="BH367">
        <v>0</v>
      </c>
    </row>
    <row r="368" spans="1:60" x14ac:dyDescent="0.3">
      <c r="A368" s="4">
        <f>HYPERLINK("http://legacy.baseballprospectus.com/p/107184",107184)</f>
        <v>107184</v>
      </c>
      <c r="B368" t="s">
        <v>4035</v>
      </c>
      <c r="C368" t="s">
        <v>2004</v>
      </c>
      <c r="D368" s="10">
        <v>36235</v>
      </c>
      <c r="E368" t="s">
        <v>51</v>
      </c>
      <c r="F368" t="s">
        <v>33</v>
      </c>
      <c r="G368" t="s">
        <v>33</v>
      </c>
      <c r="H368">
        <v>73</v>
      </c>
      <c r="I368">
        <v>200</v>
      </c>
      <c r="J368">
        <v>2018</v>
      </c>
      <c r="K368" s="4" t="str">
        <f>HYPERLINK("http://legacy.baseballprospectus.com/fantasy/dc/index.php?tm=TOR","TOR")</f>
        <v>TOR</v>
      </c>
      <c r="L368" t="s">
        <v>95</v>
      </c>
      <c r="M368" t="s">
        <v>34</v>
      </c>
      <c r="N368">
        <v>19</v>
      </c>
      <c r="O368">
        <v>250</v>
      </c>
      <c r="P368" t="s">
        <v>1680</v>
      </c>
      <c r="Q368">
        <v>219</v>
      </c>
      <c r="R368">
        <v>28</v>
      </c>
      <c r="S368">
        <v>35</v>
      </c>
      <c r="T368">
        <v>11</v>
      </c>
      <c r="U368">
        <v>0</v>
      </c>
      <c r="V368">
        <v>8</v>
      </c>
      <c r="W368">
        <v>54</v>
      </c>
      <c r="X368">
        <v>89</v>
      </c>
      <c r="Y368">
        <v>31</v>
      </c>
      <c r="Z368">
        <v>27</v>
      </c>
      <c r="AA368">
        <v>1</v>
      </c>
      <c r="AB368">
        <v>2</v>
      </c>
      <c r="AC368">
        <v>52</v>
      </c>
      <c r="AD368">
        <v>0</v>
      </c>
      <c r="AE368">
        <v>1</v>
      </c>
      <c r="AF368">
        <v>6</v>
      </c>
      <c r="AG368">
        <v>0</v>
      </c>
      <c r="AH368">
        <v>0</v>
      </c>
      <c r="AI368" s="5">
        <v>0.251</v>
      </c>
      <c r="AJ368" s="5">
        <v>0.33600000000000002</v>
      </c>
      <c r="AK368" s="5">
        <v>0.41799999999999998</v>
      </c>
      <c r="AL368" s="5">
        <v>0.25600000000000001</v>
      </c>
      <c r="AM368" s="5">
        <v>0.29099999999999998</v>
      </c>
      <c r="AN368">
        <v>-0.5</v>
      </c>
      <c r="AO368">
        <v>1.49</v>
      </c>
      <c r="AP368">
        <v>7</v>
      </c>
      <c r="AQ368">
        <v>-0.96</v>
      </c>
      <c r="AR368">
        <v>-3.4</v>
      </c>
      <c r="AS368" t="s">
        <v>1010</v>
      </c>
      <c r="AT368">
        <v>0.4</v>
      </c>
      <c r="AU368">
        <v>7</v>
      </c>
      <c r="AV368">
        <v>0</v>
      </c>
      <c r="AW368">
        <v>16</v>
      </c>
      <c r="AX368">
        <v>4</v>
      </c>
      <c r="AY368">
        <v>17</v>
      </c>
      <c r="AZ368" t="s">
        <v>4036</v>
      </c>
      <c r="BA368">
        <v>33</v>
      </c>
      <c r="BB368" t="s">
        <v>36</v>
      </c>
      <c r="BC368" t="s">
        <v>35</v>
      </c>
      <c r="BD368" s="4">
        <f>HYPERLINK("http://mlb.mlb.com/team/player.jsp?player_id=665489",665489)</f>
        <v>665489</v>
      </c>
      <c r="BE368">
        <v>0</v>
      </c>
      <c r="BF368">
        <v>0</v>
      </c>
      <c r="BG368">
        <v>0</v>
      </c>
      <c r="BH368">
        <v>0</v>
      </c>
    </row>
    <row r="369" spans="1:60" x14ac:dyDescent="0.3">
      <c r="A369" s="4">
        <f>HYPERLINK("http://legacy.baseballprospectus.com/p/107284",107284)</f>
        <v>107284</v>
      </c>
      <c r="B369" t="s">
        <v>1575</v>
      </c>
      <c r="C369" t="s">
        <v>113</v>
      </c>
      <c r="D369" s="10">
        <v>34521</v>
      </c>
      <c r="E369" t="s">
        <v>58</v>
      </c>
      <c r="F369" t="s">
        <v>9</v>
      </c>
      <c r="G369" t="s">
        <v>33</v>
      </c>
      <c r="H369">
        <v>72</v>
      </c>
      <c r="I369">
        <v>185</v>
      </c>
      <c r="J369">
        <v>2018</v>
      </c>
      <c r="K369" s="4" t="str">
        <f>HYPERLINK("http://legacy.baseballprospectus.com/fantasy/dc/index.php?tm=TBA","TBA")</f>
        <v>TBA</v>
      </c>
      <c r="L369" t="s">
        <v>95</v>
      </c>
      <c r="M369" t="s">
        <v>34</v>
      </c>
      <c r="N369">
        <v>23</v>
      </c>
      <c r="O369">
        <v>250</v>
      </c>
      <c r="P369" t="s">
        <v>1680</v>
      </c>
      <c r="Q369">
        <v>221</v>
      </c>
      <c r="R369">
        <v>30</v>
      </c>
      <c r="S369">
        <v>31</v>
      </c>
      <c r="T369">
        <v>12</v>
      </c>
      <c r="U369">
        <v>1</v>
      </c>
      <c r="V369">
        <v>7</v>
      </c>
      <c r="W369">
        <v>51</v>
      </c>
      <c r="X369">
        <v>86</v>
      </c>
      <c r="Y369">
        <v>26</v>
      </c>
      <c r="Z369">
        <v>24</v>
      </c>
      <c r="AA369">
        <v>1</v>
      </c>
      <c r="AB369">
        <v>2</v>
      </c>
      <c r="AC369">
        <v>65</v>
      </c>
      <c r="AD369">
        <v>1</v>
      </c>
      <c r="AE369">
        <v>1</v>
      </c>
      <c r="AF369">
        <v>4</v>
      </c>
      <c r="AG369">
        <v>1</v>
      </c>
      <c r="AH369">
        <v>0</v>
      </c>
      <c r="AI369" s="5">
        <v>0.22900000000000001</v>
      </c>
      <c r="AJ369" s="5">
        <v>0.31</v>
      </c>
      <c r="AK369" s="5">
        <v>0.38500000000000001</v>
      </c>
      <c r="AL369" s="5">
        <v>0.24199999999999999</v>
      </c>
      <c r="AM369" s="5">
        <v>0.28699999999999998</v>
      </c>
      <c r="AN369">
        <v>-0.4</v>
      </c>
      <c r="AO369">
        <v>3.24</v>
      </c>
      <c r="AP369">
        <v>7</v>
      </c>
      <c r="AQ369">
        <v>-4.5999999999999996</v>
      </c>
      <c r="AR369">
        <v>-1.8</v>
      </c>
      <c r="AS369" t="s">
        <v>1928</v>
      </c>
      <c r="AT369">
        <v>0.4</v>
      </c>
      <c r="AU369">
        <v>5.3</v>
      </c>
      <c r="AV369">
        <v>4</v>
      </c>
      <c r="AW369">
        <v>14</v>
      </c>
      <c r="AX369">
        <v>5</v>
      </c>
      <c r="AY369">
        <v>15</v>
      </c>
      <c r="AZ369" t="s">
        <v>4037</v>
      </c>
      <c r="BA369">
        <v>29</v>
      </c>
      <c r="BB369" t="s">
        <v>36</v>
      </c>
      <c r="BC369" t="s">
        <v>35</v>
      </c>
      <c r="BD369" s="4">
        <f>HYPERLINK("http://mlb.mlb.com/team/player.jsp?player_id=664040",664040)</f>
        <v>664040</v>
      </c>
      <c r="BE369">
        <v>718</v>
      </c>
      <c r="BF369">
        <v>1718</v>
      </c>
      <c r="BG369">
        <v>0</v>
      </c>
      <c r="BH369">
        <v>0</v>
      </c>
    </row>
    <row r="370" spans="1:60" x14ac:dyDescent="0.3">
      <c r="A370" s="4">
        <f>HYPERLINK("http://legacy.baseballprospectus.com/p/108396",108396)</f>
        <v>108396</v>
      </c>
      <c r="B370" t="s">
        <v>2405</v>
      </c>
      <c r="C370" t="s">
        <v>471</v>
      </c>
      <c r="D370" s="10">
        <v>35045</v>
      </c>
      <c r="E370" t="s">
        <v>65</v>
      </c>
      <c r="F370" t="s">
        <v>33</v>
      </c>
      <c r="G370" t="s">
        <v>33</v>
      </c>
      <c r="H370">
        <v>78</v>
      </c>
      <c r="I370">
        <v>225</v>
      </c>
      <c r="J370">
        <v>2018</v>
      </c>
      <c r="K370" s="4" t="str">
        <f>HYPERLINK("http://legacy.baseballprospectus.com/fantasy/dc/index.php?tm=LAN","LAN")</f>
        <v>LAN</v>
      </c>
      <c r="L370" t="s">
        <v>100</v>
      </c>
      <c r="M370" t="s">
        <v>34</v>
      </c>
      <c r="N370">
        <v>22</v>
      </c>
      <c r="O370">
        <v>250</v>
      </c>
      <c r="P370" t="s">
        <v>1680</v>
      </c>
      <c r="Q370">
        <v>221</v>
      </c>
      <c r="R370">
        <v>28</v>
      </c>
      <c r="S370">
        <v>27</v>
      </c>
      <c r="T370">
        <v>10</v>
      </c>
      <c r="U370">
        <v>1</v>
      </c>
      <c r="V370">
        <v>11</v>
      </c>
      <c r="W370">
        <v>49</v>
      </c>
      <c r="X370">
        <v>94</v>
      </c>
      <c r="Y370">
        <v>34</v>
      </c>
      <c r="Z370">
        <v>23</v>
      </c>
      <c r="AA370">
        <v>1</v>
      </c>
      <c r="AB370">
        <v>4</v>
      </c>
      <c r="AC370">
        <v>89</v>
      </c>
      <c r="AD370">
        <v>0</v>
      </c>
      <c r="AE370">
        <v>1</v>
      </c>
      <c r="AF370">
        <v>5</v>
      </c>
      <c r="AG370">
        <v>0</v>
      </c>
      <c r="AH370">
        <v>0</v>
      </c>
      <c r="AI370" s="5">
        <v>0.216</v>
      </c>
      <c r="AJ370" s="5">
        <v>0.3</v>
      </c>
      <c r="AK370" s="5">
        <v>0.41199999999999998</v>
      </c>
      <c r="AL370" s="5">
        <v>0.245</v>
      </c>
      <c r="AM370" s="5">
        <v>0.29899999999999999</v>
      </c>
      <c r="AN370">
        <v>-0.5</v>
      </c>
      <c r="AO370">
        <v>2.3199999999999998</v>
      </c>
      <c r="AP370">
        <v>7</v>
      </c>
      <c r="AQ370">
        <v>-3.91</v>
      </c>
      <c r="AR370">
        <v>-1.5</v>
      </c>
      <c r="AS370" t="s">
        <v>1335</v>
      </c>
      <c r="AT370">
        <v>0.4</v>
      </c>
      <c r="AU370">
        <v>4.9000000000000004</v>
      </c>
      <c r="AV370">
        <v>1</v>
      </c>
      <c r="AW370">
        <v>27</v>
      </c>
      <c r="AX370">
        <v>4</v>
      </c>
      <c r="AY370">
        <v>14</v>
      </c>
      <c r="AZ370" t="s">
        <v>4041</v>
      </c>
      <c r="BA370">
        <v>45</v>
      </c>
      <c r="BB370" t="s">
        <v>36</v>
      </c>
      <c r="BC370" t="s">
        <v>35</v>
      </c>
      <c r="BD370" s="4">
        <f>HYPERLINK("http://mlb.mlb.com/team/player.jsp?player_id=656847",656847)</f>
        <v>656847</v>
      </c>
      <c r="BE370">
        <v>0</v>
      </c>
      <c r="BF370">
        <v>0</v>
      </c>
      <c r="BG370">
        <v>0</v>
      </c>
      <c r="BH370">
        <v>0</v>
      </c>
    </row>
    <row r="371" spans="1:60" x14ac:dyDescent="0.3">
      <c r="A371" s="4">
        <f>HYPERLINK("http://legacy.baseballprospectus.com/p/204",204)</f>
        <v>204</v>
      </c>
      <c r="B371" t="s">
        <v>585</v>
      </c>
      <c r="C371" t="s">
        <v>586</v>
      </c>
      <c r="D371" s="10">
        <v>29236</v>
      </c>
      <c r="E371" t="s">
        <v>50</v>
      </c>
      <c r="F371" t="s">
        <v>33</v>
      </c>
      <c r="G371" t="s">
        <v>33</v>
      </c>
      <c r="H371">
        <v>75</v>
      </c>
      <c r="I371">
        <v>240</v>
      </c>
      <c r="J371">
        <v>2018</v>
      </c>
      <c r="K371" s="4" t="str">
        <f>HYPERLINK("http://legacy.baseballprospectus.com/fantasy/dc/index.php?tm=ANA","ANA")</f>
        <v>ANA</v>
      </c>
      <c r="L371" t="s">
        <v>95</v>
      </c>
      <c r="M371" t="s">
        <v>34</v>
      </c>
      <c r="N371">
        <v>38</v>
      </c>
      <c r="O371">
        <v>426</v>
      </c>
      <c r="P371">
        <v>102</v>
      </c>
      <c r="Q371">
        <v>392</v>
      </c>
      <c r="R371">
        <v>51</v>
      </c>
      <c r="S371">
        <v>64</v>
      </c>
      <c r="T371">
        <v>15</v>
      </c>
      <c r="U371">
        <v>0</v>
      </c>
      <c r="V371">
        <v>18</v>
      </c>
      <c r="W371">
        <v>97</v>
      </c>
      <c r="X371">
        <v>166</v>
      </c>
      <c r="Y371">
        <v>57</v>
      </c>
      <c r="Z371">
        <v>28</v>
      </c>
      <c r="AA371">
        <v>5</v>
      </c>
      <c r="AB371">
        <v>3</v>
      </c>
      <c r="AC371">
        <v>53</v>
      </c>
      <c r="AD371">
        <v>0</v>
      </c>
      <c r="AE371">
        <v>2</v>
      </c>
      <c r="AF371">
        <v>15</v>
      </c>
      <c r="AG371">
        <v>2</v>
      </c>
      <c r="AH371">
        <v>1</v>
      </c>
      <c r="AI371" s="5">
        <v>0.247</v>
      </c>
      <c r="AJ371" s="5">
        <v>0.30099999999999999</v>
      </c>
      <c r="AK371" s="5">
        <v>0.42299999999999999</v>
      </c>
      <c r="AL371" s="5">
        <v>0.253</v>
      </c>
      <c r="AM371" s="5">
        <v>0.24399999999999999</v>
      </c>
      <c r="AN371">
        <v>-0.6</v>
      </c>
      <c r="AO371">
        <v>-4.2699999999999996</v>
      </c>
      <c r="AP371">
        <v>11.44</v>
      </c>
      <c r="AQ371">
        <v>-3.02</v>
      </c>
      <c r="AR371">
        <v>0.3</v>
      </c>
      <c r="AS371" t="s">
        <v>1005</v>
      </c>
      <c r="AT371">
        <v>0.4</v>
      </c>
      <c r="AU371">
        <v>3.6</v>
      </c>
      <c r="AV371">
        <v>0</v>
      </c>
      <c r="AW371">
        <v>15</v>
      </c>
      <c r="AX371">
        <v>17</v>
      </c>
      <c r="AY371">
        <v>18</v>
      </c>
      <c r="AZ371" t="s">
        <v>4107</v>
      </c>
      <c r="BA371">
        <v>62</v>
      </c>
      <c r="BB371" t="s">
        <v>35</v>
      </c>
      <c r="BC371" t="s">
        <v>36</v>
      </c>
      <c r="BD371" s="4">
        <f>HYPERLINK("http://mlb.mlb.com/team/player.jsp?player_id=405395",405395)</f>
        <v>405395</v>
      </c>
      <c r="BE371">
        <v>406</v>
      </c>
      <c r="BF371">
        <v>1406</v>
      </c>
      <c r="BG371">
        <v>636</v>
      </c>
      <c r="BH371">
        <v>593</v>
      </c>
    </row>
    <row r="372" spans="1:60" x14ac:dyDescent="0.3">
      <c r="A372" s="4">
        <f>HYPERLINK("http://legacy.baseballprospectus.com/p/45446",45446)</f>
        <v>45446</v>
      </c>
      <c r="B372" t="s">
        <v>495</v>
      </c>
      <c r="C372" t="s">
        <v>108</v>
      </c>
      <c r="D372" s="10">
        <v>30637</v>
      </c>
      <c r="E372" t="s">
        <v>59</v>
      </c>
      <c r="F372" t="s">
        <v>9</v>
      </c>
      <c r="G372" t="s">
        <v>9</v>
      </c>
      <c r="H372">
        <v>73</v>
      </c>
      <c r="I372">
        <v>215</v>
      </c>
      <c r="J372">
        <v>2018</v>
      </c>
      <c r="K372" s="4" t="str">
        <f>HYPERLINK("http://legacy.baseballprospectus.com/fantasy/dc/index.php?tm=ATL","ATL")</f>
        <v>ATL</v>
      </c>
      <c r="L372" t="s">
        <v>100</v>
      </c>
      <c r="M372" t="s">
        <v>34</v>
      </c>
      <c r="N372">
        <v>34</v>
      </c>
      <c r="O372">
        <v>575</v>
      </c>
      <c r="P372">
        <v>145</v>
      </c>
      <c r="Q372">
        <v>517</v>
      </c>
      <c r="R372">
        <v>55</v>
      </c>
      <c r="S372">
        <v>105</v>
      </c>
      <c r="T372">
        <v>27</v>
      </c>
      <c r="U372">
        <v>0</v>
      </c>
      <c r="V372">
        <v>7</v>
      </c>
      <c r="W372">
        <v>139</v>
      </c>
      <c r="X372">
        <v>187</v>
      </c>
      <c r="Y372">
        <v>55</v>
      </c>
      <c r="Z372">
        <v>51</v>
      </c>
      <c r="AA372">
        <v>5</v>
      </c>
      <c r="AB372">
        <v>4</v>
      </c>
      <c r="AC372">
        <v>79</v>
      </c>
      <c r="AD372">
        <v>0</v>
      </c>
      <c r="AE372">
        <v>3</v>
      </c>
      <c r="AF372">
        <v>15</v>
      </c>
      <c r="AG372">
        <v>1</v>
      </c>
      <c r="AH372">
        <v>1</v>
      </c>
      <c r="AI372" s="5">
        <v>0.26900000000000002</v>
      </c>
      <c r="AJ372" s="5">
        <v>0.33700000000000002</v>
      </c>
      <c r="AK372" s="5">
        <v>0.36199999999999999</v>
      </c>
      <c r="AL372" s="5">
        <v>0.25</v>
      </c>
      <c r="AM372" s="5">
        <v>0.30299999999999999</v>
      </c>
      <c r="AN372">
        <v>-1.7</v>
      </c>
      <c r="AO372">
        <v>-1.58</v>
      </c>
      <c r="AP372">
        <v>15.44</v>
      </c>
      <c r="AQ372">
        <v>-5.92</v>
      </c>
      <c r="AR372">
        <v>-2.2999999999999998</v>
      </c>
      <c r="AS372" t="s">
        <v>2197</v>
      </c>
      <c r="AT372">
        <v>0.4</v>
      </c>
      <c r="AU372">
        <v>6.2</v>
      </c>
      <c r="AV372">
        <v>2</v>
      </c>
      <c r="AW372">
        <v>28</v>
      </c>
      <c r="AX372">
        <v>13</v>
      </c>
      <c r="AY372">
        <v>20</v>
      </c>
      <c r="AZ372" t="s">
        <v>4045</v>
      </c>
      <c r="BA372">
        <v>85</v>
      </c>
      <c r="BB372" t="s">
        <v>35</v>
      </c>
      <c r="BC372" t="s">
        <v>36</v>
      </c>
      <c r="BD372" s="4">
        <f>HYPERLINK("http://mlb.mlb.com/team/player.jsp?player_id=455976",455976)</f>
        <v>455976</v>
      </c>
      <c r="BE372">
        <v>1577</v>
      </c>
      <c r="BF372">
        <v>577</v>
      </c>
      <c r="BG372">
        <v>670</v>
      </c>
      <c r="BH372">
        <v>593</v>
      </c>
    </row>
    <row r="373" spans="1:60" x14ac:dyDescent="0.3">
      <c r="A373" s="4">
        <f>HYPERLINK("http://legacy.baseballprospectus.com/p/46716",46716)</f>
        <v>46716</v>
      </c>
      <c r="B373" t="s">
        <v>670</v>
      </c>
      <c r="C373" t="s">
        <v>227</v>
      </c>
      <c r="D373" s="10">
        <v>31428</v>
      </c>
      <c r="E373" t="s">
        <v>57</v>
      </c>
      <c r="F373" t="s">
        <v>33</v>
      </c>
      <c r="G373" t="s">
        <v>33</v>
      </c>
      <c r="H373">
        <v>76</v>
      </c>
      <c r="I373">
        <v>225</v>
      </c>
      <c r="J373">
        <v>2018</v>
      </c>
      <c r="K373" s="4" t="str">
        <f>HYPERLINK("http://legacy.baseballprospectus.com/fantasy/dc/index.php?tm=BAL","BAL")</f>
        <v>BAL</v>
      </c>
      <c r="L373" t="s">
        <v>95</v>
      </c>
      <c r="M373" t="s">
        <v>34</v>
      </c>
      <c r="N373">
        <v>32</v>
      </c>
      <c r="O373">
        <v>465</v>
      </c>
      <c r="P373">
        <v>114</v>
      </c>
      <c r="Q373">
        <v>428</v>
      </c>
      <c r="R373">
        <v>59</v>
      </c>
      <c r="S373">
        <v>63</v>
      </c>
      <c r="T373">
        <v>18</v>
      </c>
      <c r="U373">
        <v>1</v>
      </c>
      <c r="V373">
        <v>22</v>
      </c>
      <c r="W373">
        <v>104</v>
      </c>
      <c r="X373">
        <v>190</v>
      </c>
      <c r="Y373">
        <v>65</v>
      </c>
      <c r="Z373">
        <v>34</v>
      </c>
      <c r="AA373">
        <v>2</v>
      </c>
      <c r="AB373">
        <v>1</v>
      </c>
      <c r="AC373">
        <v>118</v>
      </c>
      <c r="AD373">
        <v>0</v>
      </c>
      <c r="AE373">
        <v>2</v>
      </c>
      <c r="AF373">
        <v>12</v>
      </c>
      <c r="AG373">
        <v>1</v>
      </c>
      <c r="AH373">
        <v>0</v>
      </c>
      <c r="AI373" s="5">
        <v>0.24299999999999999</v>
      </c>
      <c r="AJ373" s="5">
        <v>0.29899999999999999</v>
      </c>
      <c r="AK373" s="5">
        <v>0.44400000000000001</v>
      </c>
      <c r="AL373" s="5">
        <v>0.255</v>
      </c>
      <c r="AM373" s="5">
        <v>0.28100000000000003</v>
      </c>
      <c r="AN373">
        <v>-0.8</v>
      </c>
      <c r="AO373">
        <v>-3.89</v>
      </c>
      <c r="AP373">
        <v>12.48</v>
      </c>
      <c r="AQ373">
        <v>-2.2000000000000002</v>
      </c>
      <c r="AR373">
        <v>-1.4</v>
      </c>
      <c r="AS373" t="s">
        <v>78</v>
      </c>
      <c r="AT373">
        <v>0.4</v>
      </c>
      <c r="AU373">
        <v>5.6</v>
      </c>
      <c r="AV373">
        <v>2</v>
      </c>
      <c r="AW373">
        <v>36</v>
      </c>
      <c r="AX373">
        <v>7</v>
      </c>
      <c r="AY373">
        <v>12</v>
      </c>
      <c r="AZ373" t="s">
        <v>3943</v>
      </c>
      <c r="BA373">
        <v>93</v>
      </c>
      <c r="BB373" t="s">
        <v>35</v>
      </c>
      <c r="BC373" t="s">
        <v>36</v>
      </c>
      <c r="BD373" s="4">
        <f>HYPERLINK("http://mlb.mlb.com/team/player.jsp?player_id=444432",444432)</f>
        <v>444432</v>
      </c>
      <c r="BE373">
        <v>570</v>
      </c>
      <c r="BF373">
        <v>1570</v>
      </c>
      <c r="BG373">
        <v>603</v>
      </c>
      <c r="BH373">
        <v>559</v>
      </c>
    </row>
    <row r="374" spans="1:60" x14ac:dyDescent="0.3">
      <c r="A374" s="4">
        <f>HYPERLINK("http://legacy.baseballprospectus.com/p/66662",66662)</f>
        <v>66662</v>
      </c>
      <c r="B374" t="s">
        <v>1688</v>
      </c>
      <c r="C374" t="s">
        <v>258</v>
      </c>
      <c r="D374" s="10">
        <v>32709</v>
      </c>
      <c r="E374" t="s">
        <v>51</v>
      </c>
      <c r="F374" t="s">
        <v>33</v>
      </c>
      <c r="G374" t="s">
        <v>33</v>
      </c>
      <c r="H374">
        <v>72</v>
      </c>
      <c r="I374">
        <v>200</v>
      </c>
      <c r="J374">
        <v>2018</v>
      </c>
      <c r="K374" s="4" t="str">
        <f>HYPERLINK("http://legacy.baseballprospectus.com/fantasy/dc/index.php?tm=CHA","CHA")</f>
        <v>CHA</v>
      </c>
      <c r="L374" t="s">
        <v>95</v>
      </c>
      <c r="M374" t="s">
        <v>34</v>
      </c>
      <c r="N374">
        <v>28</v>
      </c>
      <c r="O374">
        <v>214</v>
      </c>
      <c r="P374">
        <v>61</v>
      </c>
      <c r="Q374">
        <v>195</v>
      </c>
      <c r="R374">
        <v>25</v>
      </c>
      <c r="S374">
        <v>33</v>
      </c>
      <c r="T374">
        <v>8</v>
      </c>
      <c r="U374">
        <v>2</v>
      </c>
      <c r="V374">
        <v>4</v>
      </c>
      <c r="W374">
        <v>47</v>
      </c>
      <c r="X374">
        <v>71</v>
      </c>
      <c r="Y374">
        <v>20</v>
      </c>
      <c r="Z374">
        <v>14</v>
      </c>
      <c r="AA374">
        <v>1</v>
      </c>
      <c r="AB374">
        <v>2</v>
      </c>
      <c r="AC374">
        <v>44</v>
      </c>
      <c r="AD374">
        <v>1</v>
      </c>
      <c r="AE374">
        <v>1</v>
      </c>
      <c r="AF374">
        <v>6</v>
      </c>
      <c r="AG374">
        <v>7</v>
      </c>
      <c r="AH374">
        <v>3</v>
      </c>
      <c r="AI374" s="5">
        <v>0.24099999999999999</v>
      </c>
      <c r="AJ374" s="5">
        <v>0.29699999999999999</v>
      </c>
      <c r="AK374" s="5">
        <v>0.36399999999999999</v>
      </c>
      <c r="AL374" s="5">
        <v>0.23</v>
      </c>
      <c r="AM374" s="5">
        <v>0.28100000000000003</v>
      </c>
      <c r="AN374">
        <v>0.5</v>
      </c>
      <c r="AO374">
        <v>0.74</v>
      </c>
      <c r="AP374">
        <v>5.75</v>
      </c>
      <c r="AQ374">
        <v>-6.71</v>
      </c>
      <c r="AR374">
        <v>3.6</v>
      </c>
      <c r="AS374" t="s">
        <v>5030</v>
      </c>
      <c r="AT374">
        <v>0.4</v>
      </c>
      <c r="AU374">
        <v>0.3</v>
      </c>
      <c r="AV374">
        <v>1</v>
      </c>
      <c r="AW374">
        <v>42</v>
      </c>
      <c r="AX374">
        <v>10</v>
      </c>
      <c r="AY374">
        <v>20</v>
      </c>
      <c r="AZ374" t="s">
        <v>4047</v>
      </c>
      <c r="BA374">
        <v>91</v>
      </c>
      <c r="BB374" t="s">
        <v>35</v>
      </c>
      <c r="BC374" t="s">
        <v>36</v>
      </c>
      <c r="BD374" s="4">
        <f>HYPERLINK("http://mlb.mlb.com/team/player.jsp?player_id=573135",573135)</f>
        <v>573135</v>
      </c>
      <c r="BE374">
        <v>514</v>
      </c>
      <c r="BF374">
        <v>1514</v>
      </c>
      <c r="BG374">
        <v>281</v>
      </c>
      <c r="BH374">
        <v>253</v>
      </c>
    </row>
    <row r="375" spans="1:60" x14ac:dyDescent="0.3">
      <c r="A375" s="4">
        <f>HYPERLINK("http://legacy.baseballprospectus.com/p/59592",59592)</f>
        <v>59592</v>
      </c>
      <c r="B375" t="s">
        <v>154</v>
      </c>
      <c r="C375" t="s">
        <v>155</v>
      </c>
      <c r="D375" s="10">
        <v>33245</v>
      </c>
      <c r="E375" t="s">
        <v>54</v>
      </c>
      <c r="F375" t="s">
        <v>37</v>
      </c>
      <c r="G375" t="s">
        <v>33</v>
      </c>
      <c r="H375">
        <v>71</v>
      </c>
      <c r="I375">
        <v>192</v>
      </c>
      <c r="J375">
        <v>2018</v>
      </c>
      <c r="K375" s="4" t="str">
        <f>HYPERLINK("http://legacy.baseballprospectus.com/fantasy/dc/index.php?tm=CIN","CIN")</f>
        <v>CIN</v>
      </c>
      <c r="L375" t="s">
        <v>100</v>
      </c>
      <c r="M375" t="s">
        <v>34</v>
      </c>
      <c r="N375">
        <v>27</v>
      </c>
      <c r="O375">
        <v>377</v>
      </c>
      <c r="P375">
        <v>104</v>
      </c>
      <c r="Q375">
        <v>335</v>
      </c>
      <c r="R375">
        <v>40</v>
      </c>
      <c r="S375">
        <v>58</v>
      </c>
      <c r="T375">
        <v>17</v>
      </c>
      <c r="U375">
        <v>1</v>
      </c>
      <c r="V375">
        <v>7</v>
      </c>
      <c r="W375">
        <v>83</v>
      </c>
      <c r="X375">
        <v>123</v>
      </c>
      <c r="Y375">
        <v>37</v>
      </c>
      <c r="Z375">
        <v>34</v>
      </c>
      <c r="AA375">
        <v>6</v>
      </c>
      <c r="AB375">
        <v>3</v>
      </c>
      <c r="AC375">
        <v>63</v>
      </c>
      <c r="AD375">
        <v>3</v>
      </c>
      <c r="AE375">
        <v>2</v>
      </c>
      <c r="AF375">
        <v>10</v>
      </c>
      <c r="AG375">
        <v>2</v>
      </c>
      <c r="AH375">
        <v>0</v>
      </c>
      <c r="AI375" s="5">
        <v>0.248</v>
      </c>
      <c r="AJ375" s="5">
        <v>0.32100000000000001</v>
      </c>
      <c r="AK375" s="5">
        <v>0.36699999999999999</v>
      </c>
      <c r="AL375" s="5">
        <v>0.23899999999999999</v>
      </c>
      <c r="AM375" s="5">
        <v>0.28399999999999997</v>
      </c>
      <c r="AN375">
        <v>-0.4</v>
      </c>
      <c r="AO375">
        <v>2.87</v>
      </c>
      <c r="AP375">
        <v>10.119999999999999</v>
      </c>
      <c r="AQ375">
        <v>-8.19</v>
      </c>
      <c r="AR375">
        <v>-0.3</v>
      </c>
      <c r="AS375" t="s">
        <v>55</v>
      </c>
      <c r="AT375">
        <v>0.4</v>
      </c>
      <c r="AU375">
        <v>4.4000000000000004</v>
      </c>
      <c r="AV375">
        <v>7</v>
      </c>
      <c r="AW375">
        <v>44</v>
      </c>
      <c r="AX375">
        <v>7</v>
      </c>
      <c r="AY375">
        <v>18</v>
      </c>
      <c r="AZ375" t="s">
        <v>3944</v>
      </c>
      <c r="BA375">
        <v>98</v>
      </c>
      <c r="BB375" t="s">
        <v>35</v>
      </c>
      <c r="BC375" t="s">
        <v>36</v>
      </c>
      <c r="BD375" s="4">
        <f>HYPERLINK("http://mlb.mlb.com/team/player.jsp?player_id=571466",571466)</f>
        <v>571466</v>
      </c>
      <c r="BE375">
        <v>1375</v>
      </c>
      <c r="BF375">
        <v>375</v>
      </c>
      <c r="BG375">
        <v>423</v>
      </c>
      <c r="BH375">
        <v>370</v>
      </c>
    </row>
    <row r="376" spans="1:60" x14ac:dyDescent="0.3">
      <c r="A376" s="4">
        <f>HYPERLINK("http://legacy.baseballprospectus.com/p/68089",68089)</f>
        <v>68089</v>
      </c>
      <c r="B376" t="s">
        <v>279</v>
      </c>
      <c r="C376" t="s">
        <v>280</v>
      </c>
      <c r="D376" s="10">
        <v>33924</v>
      </c>
      <c r="E376" t="s">
        <v>50</v>
      </c>
      <c r="F376" t="s">
        <v>33</v>
      </c>
      <c r="G376" t="s">
        <v>33</v>
      </c>
      <c r="H376">
        <v>73</v>
      </c>
      <c r="I376">
        <v>190</v>
      </c>
      <c r="J376">
        <v>2018</v>
      </c>
      <c r="K376" s="4" t="str">
        <f>HYPERLINK("http://legacy.baseballprospectus.com/fantasy/dc/index.php?tm=KCA","KCA")</f>
        <v>KCA</v>
      </c>
      <c r="L376" t="s">
        <v>95</v>
      </c>
      <c r="M376" t="s">
        <v>34</v>
      </c>
      <c r="N376">
        <v>25</v>
      </c>
      <c r="O376">
        <v>446</v>
      </c>
      <c r="P376">
        <v>129</v>
      </c>
      <c r="Q376">
        <v>409</v>
      </c>
      <c r="R376">
        <v>50</v>
      </c>
      <c r="S376">
        <v>71</v>
      </c>
      <c r="T376">
        <v>21</v>
      </c>
      <c r="U376">
        <v>2</v>
      </c>
      <c r="V376">
        <v>12</v>
      </c>
      <c r="W376">
        <v>106</v>
      </c>
      <c r="X376">
        <v>167</v>
      </c>
      <c r="Y376">
        <v>51</v>
      </c>
      <c r="Z376">
        <v>32</v>
      </c>
      <c r="AA376">
        <v>1</v>
      </c>
      <c r="AB376">
        <v>2</v>
      </c>
      <c r="AC376">
        <v>82</v>
      </c>
      <c r="AD376">
        <v>1</v>
      </c>
      <c r="AE376">
        <v>2</v>
      </c>
      <c r="AF376">
        <v>11</v>
      </c>
      <c r="AG376">
        <v>1</v>
      </c>
      <c r="AH376">
        <v>0</v>
      </c>
      <c r="AI376" s="5">
        <v>0.25900000000000001</v>
      </c>
      <c r="AJ376" s="5">
        <v>0.315</v>
      </c>
      <c r="AK376" s="5">
        <v>0.40799999999999997</v>
      </c>
      <c r="AL376" s="5">
        <v>0.254</v>
      </c>
      <c r="AM376" s="5">
        <v>0.29799999999999999</v>
      </c>
      <c r="AN376">
        <v>-0.7</v>
      </c>
      <c r="AO376">
        <v>-4.5199999999999996</v>
      </c>
      <c r="AP376">
        <v>11.97</v>
      </c>
      <c r="AQ376">
        <v>-2.61</v>
      </c>
      <c r="AR376">
        <v>0.3</v>
      </c>
      <c r="AS376" t="s">
        <v>1005</v>
      </c>
      <c r="AT376">
        <v>0.4</v>
      </c>
      <c r="AU376">
        <v>4.2</v>
      </c>
      <c r="AV376">
        <v>1</v>
      </c>
      <c r="AW376">
        <v>55</v>
      </c>
      <c r="AX376">
        <v>7</v>
      </c>
      <c r="AY376">
        <v>13</v>
      </c>
      <c r="AZ376" t="s">
        <v>3831</v>
      </c>
      <c r="BA376">
        <v>96</v>
      </c>
      <c r="BB376" t="s">
        <v>35</v>
      </c>
      <c r="BC376" t="s">
        <v>36</v>
      </c>
      <c r="BD376" s="4">
        <f>HYPERLINK("http://mlb.mlb.com/team/player.jsp?player_id=596144",596144)</f>
        <v>596144</v>
      </c>
      <c r="BE376">
        <v>479</v>
      </c>
      <c r="BF376">
        <v>1479</v>
      </c>
      <c r="BG376">
        <v>153</v>
      </c>
      <c r="BH376">
        <v>143</v>
      </c>
    </row>
    <row r="377" spans="1:60" x14ac:dyDescent="0.3">
      <c r="A377" s="4">
        <f>HYPERLINK("http://legacy.baseballprospectus.com/p/46792",46792)</f>
        <v>46792</v>
      </c>
      <c r="B377" t="s">
        <v>678</v>
      </c>
      <c r="C377" t="s">
        <v>262</v>
      </c>
      <c r="D377" s="10">
        <v>31617</v>
      </c>
      <c r="E377" t="s">
        <v>57</v>
      </c>
      <c r="F377" t="s">
        <v>33</v>
      </c>
      <c r="G377" t="s">
        <v>33</v>
      </c>
      <c r="H377">
        <v>76</v>
      </c>
      <c r="I377">
        <v>215</v>
      </c>
      <c r="J377">
        <v>2018</v>
      </c>
      <c r="K377" s="4" t="str">
        <f>HYPERLINK("http://legacy.baseballprospectus.com/fantasy/dc/index.php?tm=MIA","MIA")</f>
        <v>MIA</v>
      </c>
      <c r="L377" t="s">
        <v>100</v>
      </c>
      <c r="M377" t="s">
        <v>34</v>
      </c>
      <c r="N377">
        <v>31</v>
      </c>
      <c r="O377">
        <v>252</v>
      </c>
      <c r="P377">
        <v>136</v>
      </c>
      <c r="Q377">
        <v>218</v>
      </c>
      <c r="R377">
        <v>32</v>
      </c>
      <c r="S377">
        <v>33</v>
      </c>
      <c r="T377">
        <v>11</v>
      </c>
      <c r="U377">
        <v>0</v>
      </c>
      <c r="V377">
        <v>8</v>
      </c>
      <c r="W377">
        <v>52</v>
      </c>
      <c r="X377">
        <v>87</v>
      </c>
      <c r="Y377">
        <v>29</v>
      </c>
      <c r="Z377">
        <v>28</v>
      </c>
      <c r="AA377">
        <v>1</v>
      </c>
      <c r="AB377">
        <v>4</v>
      </c>
      <c r="AC377">
        <v>65</v>
      </c>
      <c r="AD377">
        <v>0</v>
      </c>
      <c r="AE377">
        <v>1</v>
      </c>
      <c r="AF377">
        <v>5</v>
      </c>
      <c r="AG377">
        <v>3</v>
      </c>
      <c r="AH377">
        <v>1</v>
      </c>
      <c r="AI377" s="5">
        <v>0.23899999999999999</v>
      </c>
      <c r="AJ377" s="5">
        <v>0.33500000000000002</v>
      </c>
      <c r="AK377" s="5">
        <v>0.39900000000000002</v>
      </c>
      <c r="AL377" s="5">
        <v>0.25800000000000001</v>
      </c>
      <c r="AM377" s="5">
        <v>0.29599999999999999</v>
      </c>
      <c r="AN377">
        <v>-0.3</v>
      </c>
      <c r="AO377">
        <v>-1.83</v>
      </c>
      <c r="AP377">
        <v>6.77</v>
      </c>
      <c r="AQ377">
        <v>-0.46</v>
      </c>
      <c r="AR377">
        <v>-0.1</v>
      </c>
      <c r="AS377" t="s">
        <v>1839</v>
      </c>
      <c r="AT377">
        <v>0.4</v>
      </c>
      <c r="AU377">
        <v>4.2</v>
      </c>
      <c r="AV377">
        <v>4</v>
      </c>
      <c r="AW377">
        <v>35</v>
      </c>
      <c r="AX377">
        <v>8</v>
      </c>
      <c r="AY377">
        <v>23</v>
      </c>
      <c r="AZ377" t="s">
        <v>4000</v>
      </c>
      <c r="BA377">
        <v>78</v>
      </c>
      <c r="BB377" t="s">
        <v>35</v>
      </c>
      <c r="BC377" t="s">
        <v>36</v>
      </c>
      <c r="BD377" s="4">
        <f>HYPERLINK("http://mlb.mlb.com/team/player.jsp?player_id=475100",475100)</f>
        <v>475100</v>
      </c>
      <c r="BE377">
        <v>0</v>
      </c>
      <c r="BF377">
        <v>0</v>
      </c>
      <c r="BG377">
        <v>48</v>
      </c>
      <c r="BH377">
        <v>41</v>
      </c>
    </row>
    <row r="378" spans="1:60" x14ac:dyDescent="0.3">
      <c r="A378" s="4">
        <f>HYPERLINK("http://legacy.baseballprospectus.com/p/50677",50677)</f>
        <v>50677</v>
      </c>
      <c r="B378" t="s">
        <v>105</v>
      </c>
      <c r="C378" t="s">
        <v>106</v>
      </c>
      <c r="D378" s="10">
        <v>32741</v>
      </c>
      <c r="E378" t="s">
        <v>59</v>
      </c>
      <c r="F378" t="s">
        <v>37</v>
      </c>
      <c r="G378" t="s">
        <v>33</v>
      </c>
      <c r="H378">
        <v>73</v>
      </c>
      <c r="I378">
        <v>170</v>
      </c>
      <c r="J378">
        <v>2018</v>
      </c>
      <c r="K378" s="4" t="str">
        <f>HYPERLINK("http://legacy.baseballprospectus.com/fantasy/dc/index.php?tm=MIN","MIN")</f>
        <v>MIN</v>
      </c>
      <c r="L378" t="s">
        <v>95</v>
      </c>
      <c r="M378" t="s">
        <v>34</v>
      </c>
      <c r="N378">
        <v>28</v>
      </c>
      <c r="O378">
        <v>217</v>
      </c>
      <c r="P378">
        <v>72</v>
      </c>
      <c r="Q378">
        <v>190</v>
      </c>
      <c r="R378">
        <v>25</v>
      </c>
      <c r="S378">
        <v>34</v>
      </c>
      <c r="T378">
        <v>9</v>
      </c>
      <c r="U378">
        <v>1</v>
      </c>
      <c r="V378">
        <v>4</v>
      </c>
      <c r="W378">
        <v>48</v>
      </c>
      <c r="X378">
        <v>71</v>
      </c>
      <c r="Y378">
        <v>20</v>
      </c>
      <c r="Z378">
        <v>19</v>
      </c>
      <c r="AA378">
        <v>1</v>
      </c>
      <c r="AB378">
        <v>3</v>
      </c>
      <c r="AC378">
        <v>39</v>
      </c>
      <c r="AD378">
        <v>4</v>
      </c>
      <c r="AE378">
        <v>1</v>
      </c>
      <c r="AF378">
        <v>3</v>
      </c>
      <c r="AG378">
        <v>5</v>
      </c>
      <c r="AH378">
        <v>2</v>
      </c>
      <c r="AI378" s="5">
        <v>0.253</v>
      </c>
      <c r="AJ378" s="5">
        <v>0.32900000000000001</v>
      </c>
      <c r="AK378" s="5">
        <v>0.374</v>
      </c>
      <c r="AL378" s="5">
        <v>0.23599999999999999</v>
      </c>
      <c r="AM378" s="5">
        <v>0.28799999999999998</v>
      </c>
      <c r="AN378">
        <v>0.1</v>
      </c>
      <c r="AO378">
        <v>0.52</v>
      </c>
      <c r="AP378">
        <v>5.83</v>
      </c>
      <c r="AQ378">
        <v>-5.47</v>
      </c>
      <c r="AR378">
        <v>2.7</v>
      </c>
      <c r="AS378" t="s">
        <v>4051</v>
      </c>
      <c r="AT378">
        <v>0.4</v>
      </c>
      <c r="AU378">
        <v>1</v>
      </c>
      <c r="AV378">
        <v>5</v>
      </c>
      <c r="AW378">
        <v>26</v>
      </c>
      <c r="AX378">
        <v>13</v>
      </c>
      <c r="AY378">
        <v>25</v>
      </c>
      <c r="AZ378" t="s">
        <v>4052</v>
      </c>
      <c r="BA378">
        <v>69</v>
      </c>
      <c r="BB378" t="s">
        <v>35</v>
      </c>
      <c r="BC378" t="s">
        <v>36</v>
      </c>
      <c r="BD378" s="4">
        <f>HYPERLINK("http://mlb.mlb.com/team/player.jsp?player_id=501303",501303)</f>
        <v>501303</v>
      </c>
      <c r="BE378">
        <v>518</v>
      </c>
      <c r="BF378">
        <v>1518</v>
      </c>
      <c r="BG378">
        <v>186</v>
      </c>
      <c r="BH378">
        <v>162</v>
      </c>
    </row>
    <row r="379" spans="1:60" x14ac:dyDescent="0.3">
      <c r="A379" s="4">
        <f>HYPERLINK("http://legacy.baseballprospectus.com/p/67568",67568)</f>
        <v>67568</v>
      </c>
      <c r="B379" t="s">
        <v>577</v>
      </c>
      <c r="C379" t="s">
        <v>111</v>
      </c>
      <c r="D379" s="10">
        <v>34155</v>
      </c>
      <c r="E379" t="s">
        <v>53</v>
      </c>
      <c r="F379" t="s">
        <v>37</v>
      </c>
      <c r="G379" t="s">
        <v>33</v>
      </c>
      <c r="H379">
        <v>71</v>
      </c>
      <c r="I379">
        <v>200</v>
      </c>
      <c r="J379">
        <v>2018</v>
      </c>
      <c r="K379" s="4" t="str">
        <f>HYPERLINK("http://legacy.baseballprospectus.com/fantasy/dc/index.php?tm=MIN","MIN")</f>
        <v>MIN</v>
      </c>
      <c r="L379" t="s">
        <v>95</v>
      </c>
      <c r="M379" t="s">
        <v>34</v>
      </c>
      <c r="N379">
        <v>24</v>
      </c>
      <c r="O379">
        <v>271</v>
      </c>
      <c r="P379">
        <v>70</v>
      </c>
      <c r="Q379">
        <v>247</v>
      </c>
      <c r="R379">
        <v>30</v>
      </c>
      <c r="S379">
        <v>44</v>
      </c>
      <c r="T379">
        <v>12</v>
      </c>
      <c r="U379">
        <v>2</v>
      </c>
      <c r="V379">
        <v>6</v>
      </c>
      <c r="W379">
        <v>64</v>
      </c>
      <c r="X379">
        <v>98</v>
      </c>
      <c r="Y379">
        <v>30</v>
      </c>
      <c r="Z379">
        <v>19</v>
      </c>
      <c r="AA379">
        <v>1</v>
      </c>
      <c r="AB379">
        <v>1</v>
      </c>
      <c r="AC379">
        <v>46</v>
      </c>
      <c r="AD379">
        <v>2</v>
      </c>
      <c r="AE379">
        <v>2</v>
      </c>
      <c r="AF379">
        <v>6</v>
      </c>
      <c r="AG379">
        <v>6</v>
      </c>
      <c r="AH379">
        <v>3</v>
      </c>
      <c r="AI379" s="5">
        <v>0.25900000000000001</v>
      </c>
      <c r="AJ379" s="5">
        <v>0.312</v>
      </c>
      <c r="AK379" s="5">
        <v>0.39700000000000002</v>
      </c>
      <c r="AL379" s="5">
        <v>0.246</v>
      </c>
      <c r="AM379" s="5">
        <v>0.29899999999999999</v>
      </c>
      <c r="AN379">
        <v>0.1</v>
      </c>
      <c r="AO379">
        <v>1.87</v>
      </c>
      <c r="AP379">
        <v>7.28</v>
      </c>
      <c r="AQ379">
        <v>-3.95</v>
      </c>
      <c r="AR379">
        <v>-1.3</v>
      </c>
      <c r="AS379" t="s">
        <v>73</v>
      </c>
      <c r="AT379">
        <v>0.4</v>
      </c>
      <c r="AU379">
        <v>5.3</v>
      </c>
      <c r="AV379">
        <v>5</v>
      </c>
      <c r="AW379">
        <v>39</v>
      </c>
      <c r="AX379">
        <v>9</v>
      </c>
      <c r="AY379">
        <v>22</v>
      </c>
      <c r="AZ379" t="s">
        <v>3761</v>
      </c>
      <c r="BA379">
        <v>87</v>
      </c>
      <c r="BB379" t="s">
        <v>35</v>
      </c>
      <c r="BC379" t="s">
        <v>36</v>
      </c>
      <c r="BD379" s="4">
        <f>HYPERLINK("http://mlb.mlb.com/team/player.jsp?player_id=593871",593871)</f>
        <v>593871</v>
      </c>
      <c r="BE379">
        <v>502</v>
      </c>
      <c r="BF379">
        <v>1502</v>
      </c>
      <c r="BG379">
        <v>544</v>
      </c>
      <c r="BH379">
        <v>488</v>
      </c>
    </row>
    <row r="380" spans="1:60" x14ac:dyDescent="0.3">
      <c r="A380" s="4">
        <f>HYPERLINK("http://legacy.baseballprospectus.com/p/56792",56792)</f>
        <v>56792</v>
      </c>
      <c r="B380" t="s">
        <v>1346</v>
      </c>
      <c r="C380" t="s">
        <v>344</v>
      </c>
      <c r="D380" s="10">
        <v>32548</v>
      </c>
      <c r="E380" t="s">
        <v>57</v>
      </c>
      <c r="F380" t="s">
        <v>33</v>
      </c>
      <c r="G380" t="s">
        <v>33</v>
      </c>
      <c r="H380">
        <v>71</v>
      </c>
      <c r="I380">
        <v>205</v>
      </c>
      <c r="J380">
        <v>2018</v>
      </c>
      <c r="K380" s="4" t="str">
        <f>HYPERLINK("http://legacy.baseballprospectus.com/fantasy/dc/index.php?tm=OAK","OAK")</f>
        <v>OAK</v>
      </c>
      <c r="L380" t="s">
        <v>95</v>
      </c>
      <c r="M380" t="s">
        <v>34</v>
      </c>
      <c r="N380">
        <v>29</v>
      </c>
      <c r="O380">
        <v>246</v>
      </c>
      <c r="P380">
        <v>76</v>
      </c>
      <c r="Q380">
        <v>222</v>
      </c>
      <c r="R380">
        <v>32</v>
      </c>
      <c r="S380">
        <v>34</v>
      </c>
      <c r="T380">
        <v>12</v>
      </c>
      <c r="U380">
        <v>1</v>
      </c>
      <c r="V380">
        <v>8</v>
      </c>
      <c r="W380">
        <v>55</v>
      </c>
      <c r="X380">
        <v>93</v>
      </c>
      <c r="Y380">
        <v>27</v>
      </c>
      <c r="Z380">
        <v>18</v>
      </c>
      <c r="AA380">
        <v>0</v>
      </c>
      <c r="AB380">
        <v>4</v>
      </c>
      <c r="AC380">
        <v>46</v>
      </c>
      <c r="AD380">
        <v>0</v>
      </c>
      <c r="AE380">
        <v>2</v>
      </c>
      <c r="AF380">
        <v>6</v>
      </c>
      <c r="AG380">
        <v>2</v>
      </c>
      <c r="AH380">
        <v>1</v>
      </c>
      <c r="AI380" s="5">
        <v>0.248</v>
      </c>
      <c r="AJ380" s="5">
        <v>0.313</v>
      </c>
      <c r="AK380" s="5">
        <v>0.41899999999999998</v>
      </c>
      <c r="AL380" s="5">
        <v>0.25800000000000001</v>
      </c>
      <c r="AM380" s="5">
        <v>0.28000000000000003</v>
      </c>
      <c r="AN380">
        <v>-0.3</v>
      </c>
      <c r="AO380">
        <v>-0.33</v>
      </c>
      <c r="AP380">
        <v>6.6</v>
      </c>
      <c r="AQ380">
        <v>-0.57999999999999996</v>
      </c>
      <c r="AR380">
        <v>-0.9</v>
      </c>
      <c r="AS380" t="s">
        <v>4914</v>
      </c>
      <c r="AT380">
        <v>0.4</v>
      </c>
      <c r="AU380">
        <v>5.4</v>
      </c>
      <c r="AV380">
        <v>2</v>
      </c>
      <c r="AW380">
        <v>21</v>
      </c>
      <c r="AX380">
        <v>14</v>
      </c>
      <c r="AY380">
        <v>23</v>
      </c>
      <c r="AZ380" t="s">
        <v>3955</v>
      </c>
      <c r="BA380">
        <v>66</v>
      </c>
      <c r="BB380" t="s">
        <v>35</v>
      </c>
      <c r="BC380" t="s">
        <v>36</v>
      </c>
      <c r="BD380" s="4">
        <f>HYPERLINK("http://mlb.mlb.com/team/player.jsp?player_id=519295",519295)</f>
        <v>519295</v>
      </c>
      <c r="BE380">
        <v>628</v>
      </c>
      <c r="BF380">
        <v>1628</v>
      </c>
      <c r="BG380">
        <v>29</v>
      </c>
      <c r="BH380">
        <v>27</v>
      </c>
    </row>
    <row r="381" spans="1:60" x14ac:dyDescent="0.3">
      <c r="A381" s="4">
        <f>HYPERLINK("http://legacy.baseballprospectus.com/p/69578",69578)</f>
        <v>69578</v>
      </c>
      <c r="B381" t="s">
        <v>647</v>
      </c>
      <c r="C381" t="s">
        <v>648</v>
      </c>
      <c r="D381" s="10">
        <v>33313</v>
      </c>
      <c r="E381" t="s">
        <v>58</v>
      </c>
      <c r="F381" t="s">
        <v>9</v>
      </c>
      <c r="G381" t="s">
        <v>33</v>
      </c>
      <c r="H381">
        <v>72</v>
      </c>
      <c r="I381">
        <v>195</v>
      </c>
      <c r="J381">
        <v>2018</v>
      </c>
      <c r="K381" s="4" t="str">
        <f>HYPERLINK("http://legacy.baseballprospectus.com/fantasy/dc/index.php?tm=SDN","SDN")</f>
        <v>SDN</v>
      </c>
      <c r="L381" t="s">
        <v>100</v>
      </c>
      <c r="M381" t="s">
        <v>34</v>
      </c>
      <c r="N381">
        <v>27</v>
      </c>
      <c r="O381">
        <v>294</v>
      </c>
      <c r="P381">
        <v>119</v>
      </c>
      <c r="Q381">
        <v>267</v>
      </c>
      <c r="R381">
        <v>32</v>
      </c>
      <c r="S381">
        <v>47</v>
      </c>
      <c r="T381">
        <v>12</v>
      </c>
      <c r="U381">
        <v>3</v>
      </c>
      <c r="V381">
        <v>6</v>
      </c>
      <c r="W381">
        <v>68</v>
      </c>
      <c r="X381">
        <v>104</v>
      </c>
      <c r="Y381">
        <v>31</v>
      </c>
      <c r="Z381">
        <v>20</v>
      </c>
      <c r="AA381">
        <v>1</v>
      </c>
      <c r="AB381">
        <v>2</v>
      </c>
      <c r="AC381">
        <v>70</v>
      </c>
      <c r="AD381">
        <v>4</v>
      </c>
      <c r="AE381">
        <v>1</v>
      </c>
      <c r="AF381">
        <v>5</v>
      </c>
      <c r="AG381">
        <v>7</v>
      </c>
      <c r="AH381">
        <v>3</v>
      </c>
      <c r="AI381" s="5">
        <v>0.255</v>
      </c>
      <c r="AJ381" s="5">
        <v>0.31</v>
      </c>
      <c r="AK381" s="5">
        <v>0.39</v>
      </c>
      <c r="AL381" s="5">
        <v>0.247</v>
      </c>
      <c r="AM381" s="5">
        <v>0.317</v>
      </c>
      <c r="AN381">
        <v>0.6</v>
      </c>
      <c r="AO381">
        <v>0.05</v>
      </c>
      <c r="AP381">
        <v>7.89</v>
      </c>
      <c r="AQ381">
        <v>-3.89</v>
      </c>
      <c r="AR381">
        <v>-0.7</v>
      </c>
      <c r="AS381" t="s">
        <v>1875</v>
      </c>
      <c r="AT381">
        <v>0.4</v>
      </c>
      <c r="AU381">
        <v>4.5999999999999996</v>
      </c>
      <c r="AV381">
        <v>7</v>
      </c>
      <c r="AW381">
        <v>42</v>
      </c>
      <c r="AX381">
        <v>8</v>
      </c>
      <c r="AY381">
        <v>15</v>
      </c>
      <c r="AZ381" t="s">
        <v>4055</v>
      </c>
      <c r="BA381">
        <v>92</v>
      </c>
      <c r="BB381" t="s">
        <v>35</v>
      </c>
      <c r="BC381" t="s">
        <v>36</v>
      </c>
      <c r="BD381" s="4">
        <f>HYPERLINK("http://mlb.mlb.com/team/player.jsp?player_id=605486",605486)</f>
        <v>605486</v>
      </c>
      <c r="BE381">
        <v>1495</v>
      </c>
      <c r="BF381">
        <v>495</v>
      </c>
      <c r="BG381">
        <v>486</v>
      </c>
      <c r="BH381">
        <v>444</v>
      </c>
    </row>
    <row r="382" spans="1:60" x14ac:dyDescent="0.3">
      <c r="A382" s="4">
        <f>HYPERLINK("http://legacy.baseballprospectus.com/p/69304",69304)</f>
        <v>69304</v>
      </c>
      <c r="B382" t="s">
        <v>1693</v>
      </c>
      <c r="C382" t="s">
        <v>391</v>
      </c>
      <c r="D382" s="10">
        <v>32769</v>
      </c>
      <c r="E382" t="s">
        <v>59</v>
      </c>
      <c r="F382" t="s">
        <v>33</v>
      </c>
      <c r="G382" t="s">
        <v>33</v>
      </c>
      <c r="H382">
        <v>73</v>
      </c>
      <c r="I382">
        <v>195</v>
      </c>
      <c r="J382">
        <v>2018</v>
      </c>
      <c r="K382" s="4" t="str">
        <f>HYPERLINK("http://legacy.baseballprospectus.com/fantasy/dc/index.php?tm=SEA","SEA")</f>
        <v>SEA</v>
      </c>
      <c r="L382" t="s">
        <v>95</v>
      </c>
      <c r="M382" t="s">
        <v>34</v>
      </c>
      <c r="N382">
        <v>28</v>
      </c>
      <c r="O382">
        <v>265</v>
      </c>
      <c r="P382">
        <v>83</v>
      </c>
      <c r="Q382">
        <v>238</v>
      </c>
      <c r="R382">
        <v>34</v>
      </c>
      <c r="S382">
        <v>35</v>
      </c>
      <c r="T382">
        <v>13</v>
      </c>
      <c r="U382">
        <v>0</v>
      </c>
      <c r="V382">
        <v>9</v>
      </c>
      <c r="W382">
        <v>57</v>
      </c>
      <c r="X382">
        <v>97</v>
      </c>
      <c r="Y382">
        <v>31</v>
      </c>
      <c r="Z382">
        <v>23</v>
      </c>
      <c r="AA382">
        <v>1</v>
      </c>
      <c r="AB382">
        <v>2</v>
      </c>
      <c r="AC382">
        <v>53</v>
      </c>
      <c r="AD382">
        <v>0</v>
      </c>
      <c r="AE382">
        <v>2</v>
      </c>
      <c r="AF382">
        <v>7</v>
      </c>
      <c r="AG382">
        <v>10</v>
      </c>
      <c r="AH382">
        <v>3</v>
      </c>
      <c r="AI382" s="5">
        <v>0.23899999999999999</v>
      </c>
      <c r="AJ382" s="5">
        <v>0.309</v>
      </c>
      <c r="AK382" s="5">
        <v>0.40799999999999997</v>
      </c>
      <c r="AL382" s="5">
        <v>0.254</v>
      </c>
      <c r="AM382" s="5">
        <v>0.27100000000000002</v>
      </c>
      <c r="AN382">
        <v>0.9</v>
      </c>
      <c r="AO382">
        <v>0.1</v>
      </c>
      <c r="AP382">
        <v>7.11</v>
      </c>
      <c r="AQ382">
        <v>-1.78</v>
      </c>
      <c r="AR382">
        <v>-2.7</v>
      </c>
      <c r="AS382" t="s">
        <v>3844</v>
      </c>
      <c r="AT382">
        <v>0.4</v>
      </c>
      <c r="AU382">
        <v>6.3</v>
      </c>
      <c r="AV382">
        <v>5</v>
      </c>
      <c r="AW382">
        <v>25</v>
      </c>
      <c r="AX382">
        <v>11</v>
      </c>
      <c r="AY382">
        <v>28</v>
      </c>
      <c r="AZ382" t="s">
        <v>4056</v>
      </c>
      <c r="BA382">
        <v>62</v>
      </c>
      <c r="BB382" t="s">
        <v>35</v>
      </c>
      <c r="BC382" t="s">
        <v>36</v>
      </c>
      <c r="BD382" s="4">
        <f>HYPERLINK("http://mlb.mlb.com/team/player.jsp?player_id=600301",600301)</f>
        <v>600301</v>
      </c>
      <c r="BE382">
        <v>515</v>
      </c>
      <c r="BF382">
        <v>1515</v>
      </c>
      <c r="BG382">
        <v>280</v>
      </c>
      <c r="BH382">
        <v>258</v>
      </c>
    </row>
    <row r="383" spans="1:60" x14ac:dyDescent="0.3">
      <c r="A383" s="4">
        <f>HYPERLINK("http://legacy.baseballprospectus.com/p/66810",66810)</f>
        <v>66810</v>
      </c>
      <c r="B383" t="s">
        <v>416</v>
      </c>
      <c r="C383" t="s">
        <v>417</v>
      </c>
      <c r="D383" s="10">
        <v>32613</v>
      </c>
      <c r="E383" t="s">
        <v>53</v>
      </c>
      <c r="F383" t="s">
        <v>33</v>
      </c>
      <c r="G383" t="s">
        <v>33</v>
      </c>
      <c r="H383">
        <v>72</v>
      </c>
      <c r="I383">
        <v>195</v>
      </c>
      <c r="J383">
        <v>2018</v>
      </c>
      <c r="K383" s="4" t="str">
        <f>HYPERLINK("http://legacy.baseballprospectus.com/fantasy/dc/index.php?tm=TBA","TBA")</f>
        <v>TBA</v>
      </c>
      <c r="L383" t="s">
        <v>95</v>
      </c>
      <c r="M383" t="s">
        <v>34</v>
      </c>
      <c r="N383">
        <v>29</v>
      </c>
      <c r="O383">
        <v>476</v>
      </c>
      <c r="P383">
        <v>127</v>
      </c>
      <c r="Q383">
        <v>445</v>
      </c>
      <c r="R383">
        <v>44</v>
      </c>
      <c r="S383">
        <v>83</v>
      </c>
      <c r="T383">
        <v>16</v>
      </c>
      <c r="U383">
        <v>5</v>
      </c>
      <c r="V383">
        <v>6</v>
      </c>
      <c r="W383">
        <v>110</v>
      </c>
      <c r="X383">
        <v>154</v>
      </c>
      <c r="Y383">
        <v>41</v>
      </c>
      <c r="Z383">
        <v>25</v>
      </c>
      <c r="AA383">
        <v>3</v>
      </c>
      <c r="AB383">
        <v>1</v>
      </c>
      <c r="AC383">
        <v>81</v>
      </c>
      <c r="AD383">
        <v>2</v>
      </c>
      <c r="AE383">
        <v>2</v>
      </c>
      <c r="AF383">
        <v>15</v>
      </c>
      <c r="AG383">
        <v>4</v>
      </c>
      <c r="AH383">
        <v>1</v>
      </c>
      <c r="AI383" s="5">
        <v>0.247</v>
      </c>
      <c r="AJ383" s="5">
        <v>0.28799999999999998</v>
      </c>
      <c r="AK383" s="5">
        <v>0.34599999999999997</v>
      </c>
      <c r="AL383" s="5">
        <v>0.22900000000000001</v>
      </c>
      <c r="AM383" s="5">
        <v>0.28499999999999998</v>
      </c>
      <c r="AN383">
        <v>0.4</v>
      </c>
      <c r="AO383">
        <v>3.28</v>
      </c>
      <c r="AP383">
        <v>12.78</v>
      </c>
      <c r="AQ383">
        <v>-15.75</v>
      </c>
      <c r="AR383">
        <v>3.7</v>
      </c>
      <c r="AS383" t="s">
        <v>1334</v>
      </c>
      <c r="AT383">
        <v>0.4</v>
      </c>
      <c r="AU383">
        <v>0.8</v>
      </c>
      <c r="AV383">
        <v>2</v>
      </c>
      <c r="AW383">
        <v>46</v>
      </c>
      <c r="AX383">
        <v>5</v>
      </c>
      <c r="AY383">
        <v>14</v>
      </c>
      <c r="AZ383" t="s">
        <v>3960</v>
      </c>
      <c r="BA383">
        <v>92</v>
      </c>
      <c r="BB383" t="s">
        <v>35</v>
      </c>
      <c r="BC383" t="s">
        <v>36</v>
      </c>
      <c r="BD383" s="4">
        <f>HYPERLINK("http://mlb.mlb.com/team/player.jsp?player_id=588751",588751)</f>
        <v>588751</v>
      </c>
      <c r="BE383">
        <v>510</v>
      </c>
      <c r="BF383">
        <v>1510</v>
      </c>
      <c r="BG383">
        <v>348</v>
      </c>
      <c r="BH383">
        <v>330</v>
      </c>
    </row>
    <row r="384" spans="1:60" x14ac:dyDescent="0.3">
      <c r="A384" s="4">
        <f>HYPERLINK("http://legacy.baseballprospectus.com/p/59582",59582)</f>
        <v>59582</v>
      </c>
      <c r="B384" t="s">
        <v>101</v>
      </c>
      <c r="C384" t="s">
        <v>104</v>
      </c>
      <c r="D384" s="10">
        <v>32386</v>
      </c>
      <c r="E384" t="s">
        <v>50</v>
      </c>
      <c r="F384" t="s">
        <v>9</v>
      </c>
      <c r="G384" t="s">
        <v>33</v>
      </c>
      <c r="H384">
        <v>75</v>
      </c>
      <c r="I384">
        <v>260</v>
      </c>
      <c r="J384">
        <v>2018</v>
      </c>
      <c r="K384" s="4" t="str">
        <f>HYPERLINK("http://legacy.baseballprospectus.com/fantasy/dc/index.php?tm=WAS","WAS")</f>
        <v>WAS</v>
      </c>
      <c r="L384" t="s">
        <v>100</v>
      </c>
      <c r="M384" t="s">
        <v>34</v>
      </c>
      <c r="N384">
        <v>29</v>
      </c>
      <c r="O384">
        <v>235</v>
      </c>
      <c r="P384">
        <v>133</v>
      </c>
      <c r="Q384">
        <v>218</v>
      </c>
      <c r="R384">
        <v>28</v>
      </c>
      <c r="S384">
        <v>35</v>
      </c>
      <c r="T384">
        <v>12</v>
      </c>
      <c r="U384">
        <v>1</v>
      </c>
      <c r="V384">
        <v>10</v>
      </c>
      <c r="W384">
        <v>58</v>
      </c>
      <c r="X384">
        <v>102</v>
      </c>
      <c r="Y384">
        <v>34</v>
      </c>
      <c r="Z384">
        <v>15</v>
      </c>
      <c r="AA384">
        <v>2</v>
      </c>
      <c r="AB384">
        <v>1</v>
      </c>
      <c r="AC384">
        <v>56</v>
      </c>
      <c r="AD384">
        <v>0</v>
      </c>
      <c r="AE384">
        <v>1</v>
      </c>
      <c r="AF384">
        <v>5</v>
      </c>
      <c r="AG384">
        <v>1</v>
      </c>
      <c r="AH384">
        <v>0</v>
      </c>
      <c r="AI384" s="5">
        <v>0.26600000000000001</v>
      </c>
      <c r="AJ384" s="5">
        <v>0.315</v>
      </c>
      <c r="AK384" s="5">
        <v>0.46800000000000003</v>
      </c>
      <c r="AL384" s="5">
        <v>0.25900000000000001</v>
      </c>
      <c r="AM384" s="5">
        <v>0.309</v>
      </c>
      <c r="AN384">
        <v>-0.5</v>
      </c>
      <c r="AO384">
        <v>-3.17</v>
      </c>
      <c r="AP384">
        <v>6.31</v>
      </c>
      <c r="AQ384">
        <v>-0.25</v>
      </c>
      <c r="AR384">
        <v>1.4</v>
      </c>
      <c r="AS384" t="s">
        <v>77</v>
      </c>
      <c r="AT384">
        <v>0.4</v>
      </c>
      <c r="AU384">
        <v>2.4</v>
      </c>
      <c r="AV384">
        <v>6</v>
      </c>
      <c r="AW384">
        <v>53</v>
      </c>
      <c r="AX384">
        <v>9</v>
      </c>
      <c r="AY384">
        <v>12</v>
      </c>
      <c r="AZ384" t="s">
        <v>3962</v>
      </c>
      <c r="BA384">
        <v>91</v>
      </c>
      <c r="BB384" t="s">
        <v>35</v>
      </c>
      <c r="BC384" t="s">
        <v>36</v>
      </c>
      <c r="BD384" s="4">
        <f>HYPERLINK("http://mlb.mlb.com/team/player.jsp?player_id=571431",571431)</f>
        <v>571431</v>
      </c>
      <c r="BE384">
        <v>1434</v>
      </c>
      <c r="BF384">
        <v>434</v>
      </c>
      <c r="BG384">
        <v>367</v>
      </c>
      <c r="BH384">
        <v>339</v>
      </c>
    </row>
    <row r="385" spans="1:60" x14ac:dyDescent="0.3">
      <c r="A385" s="4">
        <f>HYPERLINK("http://legacy.baseballprospectus.com/p/102503",102503)</f>
        <v>102503</v>
      </c>
      <c r="B385" t="s">
        <v>124</v>
      </c>
      <c r="C385" t="s">
        <v>159</v>
      </c>
      <c r="D385" s="10">
        <v>34143</v>
      </c>
      <c r="E385" t="s">
        <v>53</v>
      </c>
      <c r="F385" t="s">
        <v>33</v>
      </c>
      <c r="G385" t="s">
        <v>33</v>
      </c>
      <c r="H385">
        <v>73</v>
      </c>
      <c r="I385">
        <v>185</v>
      </c>
      <c r="J385">
        <v>2018</v>
      </c>
      <c r="K385" s="4" t="str">
        <f>HYPERLINK("http://legacy.baseballprospectus.com/fantasy/dc/index.php?tm=CHA","CHA")</f>
        <v>CHA</v>
      </c>
      <c r="L385" t="s">
        <v>95</v>
      </c>
      <c r="M385" t="s">
        <v>34</v>
      </c>
      <c r="N385">
        <v>25</v>
      </c>
      <c r="O385">
        <v>630</v>
      </c>
      <c r="P385">
        <v>154</v>
      </c>
      <c r="Q385">
        <v>601</v>
      </c>
      <c r="R385">
        <v>80</v>
      </c>
      <c r="S385">
        <v>111</v>
      </c>
      <c r="T385">
        <v>26</v>
      </c>
      <c r="U385">
        <v>7</v>
      </c>
      <c r="V385">
        <v>16</v>
      </c>
      <c r="W385">
        <v>160</v>
      </c>
      <c r="X385">
        <v>248</v>
      </c>
      <c r="Y385">
        <v>63</v>
      </c>
      <c r="Z385">
        <v>18</v>
      </c>
      <c r="AA385">
        <v>2</v>
      </c>
      <c r="AB385">
        <v>4</v>
      </c>
      <c r="AC385">
        <v>166</v>
      </c>
      <c r="AD385">
        <v>5</v>
      </c>
      <c r="AE385">
        <v>2</v>
      </c>
      <c r="AF385">
        <v>17</v>
      </c>
      <c r="AG385">
        <v>19</v>
      </c>
      <c r="AH385">
        <v>4</v>
      </c>
      <c r="AI385" s="5">
        <v>0.26600000000000001</v>
      </c>
      <c r="AJ385" s="5">
        <v>0.29099999999999998</v>
      </c>
      <c r="AK385" s="5">
        <v>0.41299999999999998</v>
      </c>
      <c r="AL385" s="5">
        <v>0.24099999999999999</v>
      </c>
      <c r="AM385" s="5">
        <v>0.33600000000000002</v>
      </c>
      <c r="AN385">
        <v>3</v>
      </c>
      <c r="AO385">
        <v>4.34</v>
      </c>
      <c r="AP385">
        <v>16.91</v>
      </c>
      <c r="AQ385">
        <v>-12.6</v>
      </c>
      <c r="AR385">
        <v>-8</v>
      </c>
      <c r="AS385" t="s">
        <v>4060</v>
      </c>
      <c r="AT385">
        <v>0.4</v>
      </c>
      <c r="AU385">
        <v>11.7</v>
      </c>
      <c r="AV385">
        <v>4</v>
      </c>
      <c r="AW385">
        <v>55</v>
      </c>
      <c r="AX385">
        <v>8</v>
      </c>
      <c r="AY385">
        <v>19</v>
      </c>
      <c r="AZ385" t="s">
        <v>4061</v>
      </c>
      <c r="BA385">
        <v>98</v>
      </c>
      <c r="BB385" t="s">
        <v>35</v>
      </c>
      <c r="BC385" t="s">
        <v>36</v>
      </c>
      <c r="BD385" s="4">
        <f>HYPERLINK("http://mlb.mlb.com/team/player.jsp?player_id=641313",641313)</f>
        <v>641313</v>
      </c>
      <c r="BE385">
        <v>498</v>
      </c>
      <c r="BF385">
        <v>1498</v>
      </c>
      <c r="BG385">
        <v>606</v>
      </c>
      <c r="BH385">
        <v>587</v>
      </c>
    </row>
    <row r="386" spans="1:60" x14ac:dyDescent="0.3">
      <c r="A386" s="4">
        <f>HYPERLINK("http://legacy.baseballprospectus.com/p/102427",102427)</f>
        <v>102427</v>
      </c>
      <c r="B386" t="s">
        <v>938</v>
      </c>
      <c r="C386" t="s">
        <v>760</v>
      </c>
      <c r="D386" s="10">
        <v>33800</v>
      </c>
      <c r="E386" t="s">
        <v>65</v>
      </c>
      <c r="F386" t="s">
        <v>33</v>
      </c>
      <c r="G386" t="s">
        <v>33</v>
      </c>
      <c r="H386">
        <v>70</v>
      </c>
      <c r="I386">
        <v>207</v>
      </c>
      <c r="J386">
        <v>2018</v>
      </c>
      <c r="K386" s="4" t="str">
        <f>HYPERLINK("http://legacy.baseballprospectus.com/fantasy/dc/index.php?tm=CIN","CIN")</f>
        <v>CIN</v>
      </c>
      <c r="L386" t="s">
        <v>100</v>
      </c>
      <c r="M386" t="s">
        <v>34</v>
      </c>
      <c r="N386">
        <v>25</v>
      </c>
      <c r="O386">
        <v>189</v>
      </c>
      <c r="P386">
        <v>116</v>
      </c>
      <c r="Q386">
        <v>164</v>
      </c>
      <c r="R386">
        <v>27</v>
      </c>
      <c r="S386">
        <v>24</v>
      </c>
      <c r="T386">
        <v>8</v>
      </c>
      <c r="U386">
        <v>1</v>
      </c>
      <c r="V386">
        <v>6</v>
      </c>
      <c r="W386">
        <v>39</v>
      </c>
      <c r="X386">
        <v>67</v>
      </c>
      <c r="Y386">
        <v>21</v>
      </c>
      <c r="Z386">
        <v>20</v>
      </c>
      <c r="AA386">
        <v>1</v>
      </c>
      <c r="AB386">
        <v>3</v>
      </c>
      <c r="AC386">
        <v>43</v>
      </c>
      <c r="AD386">
        <v>1</v>
      </c>
      <c r="AE386">
        <v>1</v>
      </c>
      <c r="AF386">
        <v>4</v>
      </c>
      <c r="AG386">
        <v>9</v>
      </c>
      <c r="AH386">
        <v>3</v>
      </c>
      <c r="AI386" s="5">
        <v>0.23799999999999999</v>
      </c>
      <c r="AJ386" s="5">
        <v>0.33</v>
      </c>
      <c r="AK386" s="5">
        <v>0.40899999999999997</v>
      </c>
      <c r="AL386" s="5">
        <v>0.25600000000000001</v>
      </c>
      <c r="AM386" s="5">
        <v>0.27400000000000002</v>
      </c>
      <c r="AN386">
        <v>0.9</v>
      </c>
      <c r="AO386">
        <v>-1.2</v>
      </c>
      <c r="AP386">
        <v>5.07</v>
      </c>
      <c r="AQ386">
        <v>-0.73</v>
      </c>
      <c r="AR386">
        <v>-0.3</v>
      </c>
      <c r="AS386" t="s">
        <v>1328</v>
      </c>
      <c r="AT386">
        <v>0.4</v>
      </c>
      <c r="AU386">
        <v>4</v>
      </c>
      <c r="AV386">
        <v>8</v>
      </c>
      <c r="AW386">
        <v>25</v>
      </c>
      <c r="AX386">
        <v>16</v>
      </c>
      <c r="AY386">
        <v>31</v>
      </c>
      <c r="AZ386" t="s">
        <v>3932</v>
      </c>
      <c r="BA386">
        <v>52</v>
      </c>
      <c r="BB386" t="s">
        <v>35</v>
      </c>
      <c r="BC386" t="s">
        <v>35</v>
      </c>
      <c r="BD386" s="4">
        <f>HYPERLINK("http://mlb.mlb.com/team/player.jsp?player_id=640447",640447)</f>
        <v>640447</v>
      </c>
      <c r="BE386">
        <v>1637</v>
      </c>
      <c r="BF386">
        <v>637</v>
      </c>
      <c r="BG386">
        <v>64</v>
      </c>
      <c r="BH386">
        <v>58</v>
      </c>
    </row>
    <row r="387" spans="1:60" x14ac:dyDescent="0.3">
      <c r="A387" s="4">
        <f>HYPERLINK("http://legacy.baseballprospectus.com/p/103340",103340)</f>
        <v>103340</v>
      </c>
      <c r="B387" t="s">
        <v>3974</v>
      </c>
      <c r="C387" t="s">
        <v>451</v>
      </c>
      <c r="D387" s="10">
        <v>33232</v>
      </c>
      <c r="E387" t="s">
        <v>50</v>
      </c>
      <c r="F387" t="s">
        <v>33</v>
      </c>
      <c r="G387" t="s">
        <v>33</v>
      </c>
      <c r="H387">
        <v>78</v>
      </c>
      <c r="I387">
        <v>230</v>
      </c>
      <c r="J387">
        <v>2018</v>
      </c>
      <c r="K387" s="4" t="str">
        <f>HYPERLINK("http://legacy.baseballprospectus.com/fantasy/dc/index.php?tm=MIA","MIA")</f>
        <v>MIA</v>
      </c>
      <c r="L387" t="s">
        <v>100</v>
      </c>
      <c r="M387" t="s">
        <v>34</v>
      </c>
      <c r="N387">
        <v>27</v>
      </c>
      <c r="O387">
        <v>203</v>
      </c>
      <c r="P387">
        <v>110</v>
      </c>
      <c r="Q387">
        <v>185</v>
      </c>
      <c r="R387">
        <v>23</v>
      </c>
      <c r="S387">
        <v>32</v>
      </c>
      <c r="T387">
        <v>11</v>
      </c>
      <c r="U387">
        <v>1</v>
      </c>
      <c r="V387">
        <v>6</v>
      </c>
      <c r="W387">
        <v>50</v>
      </c>
      <c r="X387">
        <v>81</v>
      </c>
      <c r="Y387">
        <v>26</v>
      </c>
      <c r="Z387">
        <v>15</v>
      </c>
      <c r="AA387">
        <v>1</v>
      </c>
      <c r="AB387">
        <v>2</v>
      </c>
      <c r="AC387">
        <v>44</v>
      </c>
      <c r="AD387">
        <v>0</v>
      </c>
      <c r="AE387">
        <v>1</v>
      </c>
      <c r="AF387">
        <v>6</v>
      </c>
      <c r="AG387">
        <v>0</v>
      </c>
      <c r="AH387">
        <v>0</v>
      </c>
      <c r="AI387" s="5">
        <v>0.27</v>
      </c>
      <c r="AJ387" s="5">
        <v>0.33</v>
      </c>
      <c r="AK387" s="5">
        <v>0.438</v>
      </c>
      <c r="AL387" s="5">
        <v>0.26900000000000002</v>
      </c>
      <c r="AM387" s="5">
        <v>0.32</v>
      </c>
      <c r="AN387">
        <v>-0.4</v>
      </c>
      <c r="AO387">
        <v>-2.66</v>
      </c>
      <c r="AP387">
        <v>5.45</v>
      </c>
      <c r="AQ387">
        <v>1.89</v>
      </c>
      <c r="AR387">
        <v>0</v>
      </c>
      <c r="AS387" t="s">
        <v>1004</v>
      </c>
      <c r="AT387">
        <v>0.4</v>
      </c>
      <c r="AU387">
        <v>4.3</v>
      </c>
      <c r="AV387">
        <v>2</v>
      </c>
      <c r="AW387">
        <v>16</v>
      </c>
      <c r="AX387">
        <v>14</v>
      </c>
      <c r="AY387">
        <v>20</v>
      </c>
      <c r="AZ387" t="s">
        <v>3975</v>
      </c>
      <c r="BA387">
        <v>36</v>
      </c>
      <c r="BB387" t="s">
        <v>35</v>
      </c>
      <c r="BC387" t="s">
        <v>35</v>
      </c>
      <c r="BD387" s="4">
        <f>HYPERLINK("http://mlb.mlb.com/team/player.jsp?player_id=643265",643265)</f>
        <v>643265</v>
      </c>
      <c r="BE387">
        <v>1440</v>
      </c>
      <c r="BF387">
        <v>440</v>
      </c>
      <c r="BG387">
        <v>45</v>
      </c>
      <c r="BH387">
        <v>43</v>
      </c>
    </row>
    <row r="388" spans="1:60" x14ac:dyDescent="0.3">
      <c r="A388" s="4">
        <f>HYPERLINK("http://legacy.baseballprospectus.com/p/102429",102429)</f>
        <v>102429</v>
      </c>
      <c r="B388" t="s">
        <v>349</v>
      </c>
      <c r="C388" t="s">
        <v>151</v>
      </c>
      <c r="D388" s="10">
        <v>34583</v>
      </c>
      <c r="E388" t="s">
        <v>57</v>
      </c>
      <c r="F388" t="s">
        <v>33</v>
      </c>
      <c r="G388" t="s">
        <v>33</v>
      </c>
      <c r="H388">
        <v>73</v>
      </c>
      <c r="I388">
        <v>190</v>
      </c>
      <c r="J388">
        <v>2018</v>
      </c>
      <c r="K388" s="4" t="str">
        <f>HYPERLINK("http://legacy.baseballprospectus.com/fantasy/dc/index.php?tm=NYA","NYA")</f>
        <v>NYA</v>
      </c>
      <c r="L388" t="s">
        <v>95</v>
      </c>
      <c r="M388" t="s">
        <v>34</v>
      </c>
      <c r="N388">
        <v>23</v>
      </c>
      <c r="O388">
        <v>241</v>
      </c>
      <c r="P388">
        <v>74</v>
      </c>
      <c r="Q388">
        <v>215</v>
      </c>
      <c r="R388">
        <v>29</v>
      </c>
      <c r="S388">
        <v>29</v>
      </c>
      <c r="T388">
        <v>11</v>
      </c>
      <c r="U388">
        <v>1</v>
      </c>
      <c r="V388">
        <v>9</v>
      </c>
      <c r="W388">
        <v>50</v>
      </c>
      <c r="X388">
        <v>90</v>
      </c>
      <c r="Y388">
        <v>31</v>
      </c>
      <c r="Z388">
        <v>22</v>
      </c>
      <c r="AA388">
        <v>1</v>
      </c>
      <c r="AB388">
        <v>2</v>
      </c>
      <c r="AC388">
        <v>66</v>
      </c>
      <c r="AD388">
        <v>1</v>
      </c>
      <c r="AE388">
        <v>1</v>
      </c>
      <c r="AF388">
        <v>4</v>
      </c>
      <c r="AG388">
        <v>4</v>
      </c>
      <c r="AH388">
        <v>1</v>
      </c>
      <c r="AI388" s="5">
        <v>0.23300000000000001</v>
      </c>
      <c r="AJ388" s="5">
        <v>0.308</v>
      </c>
      <c r="AK388" s="5">
        <v>0.41899999999999998</v>
      </c>
      <c r="AL388" s="5">
        <v>0.25600000000000001</v>
      </c>
      <c r="AM388" s="5">
        <v>0.29399999999999998</v>
      </c>
      <c r="AN388">
        <v>0.2</v>
      </c>
      <c r="AO388">
        <v>-1.17</v>
      </c>
      <c r="AP388">
        <v>6.47</v>
      </c>
      <c r="AQ388">
        <v>-0.91</v>
      </c>
      <c r="AR388">
        <v>-1</v>
      </c>
      <c r="AS388" t="s">
        <v>4930</v>
      </c>
      <c r="AT388">
        <v>0.4</v>
      </c>
      <c r="AU388">
        <v>4.5999999999999996</v>
      </c>
      <c r="AV388">
        <v>5</v>
      </c>
      <c r="AW388">
        <v>21</v>
      </c>
      <c r="AX388">
        <v>9</v>
      </c>
      <c r="AY388">
        <v>18</v>
      </c>
      <c r="AZ388" t="s">
        <v>4125</v>
      </c>
      <c r="BA388">
        <v>48</v>
      </c>
      <c r="BB388" t="s">
        <v>35</v>
      </c>
      <c r="BC388" t="s">
        <v>36</v>
      </c>
      <c r="BD388" s="4">
        <f>HYPERLINK("http://mlb.mlb.com/team/player.jsp?player_id=640449",640449)</f>
        <v>640449</v>
      </c>
      <c r="BE388">
        <v>613</v>
      </c>
      <c r="BF388">
        <v>1613</v>
      </c>
      <c r="BG388">
        <v>142</v>
      </c>
      <c r="BH388">
        <v>134</v>
      </c>
    </row>
    <row r="389" spans="1:60" x14ac:dyDescent="0.3">
      <c r="A389" s="4">
        <f>HYPERLINK("http://legacy.baseballprospectus.com/p/100641",100641)</f>
        <v>100641</v>
      </c>
      <c r="B389" t="s">
        <v>1384</v>
      </c>
      <c r="C389" t="s">
        <v>3753</v>
      </c>
      <c r="D389" s="10">
        <v>33983</v>
      </c>
      <c r="E389" t="s">
        <v>65</v>
      </c>
      <c r="F389" t="s">
        <v>9</v>
      </c>
      <c r="G389" t="s">
        <v>9</v>
      </c>
      <c r="H389">
        <v>70</v>
      </c>
      <c r="I389">
        <v>185</v>
      </c>
      <c r="J389">
        <v>2018</v>
      </c>
      <c r="K389" s="4" t="str">
        <f>HYPERLINK("http://legacy.baseballprospectus.com/fantasy/dc/index.php?tm=OAK","OAK")</f>
        <v>OAK</v>
      </c>
      <c r="L389" t="s">
        <v>95</v>
      </c>
      <c r="M389" t="s">
        <v>34</v>
      </c>
      <c r="N389">
        <v>25</v>
      </c>
      <c r="O389">
        <v>171</v>
      </c>
      <c r="P389">
        <v>53</v>
      </c>
      <c r="Q389">
        <v>151</v>
      </c>
      <c r="R389">
        <v>21</v>
      </c>
      <c r="S389">
        <v>29</v>
      </c>
      <c r="T389">
        <v>7</v>
      </c>
      <c r="U389">
        <v>1</v>
      </c>
      <c r="V389">
        <v>4</v>
      </c>
      <c r="W389">
        <v>41</v>
      </c>
      <c r="X389">
        <v>62</v>
      </c>
      <c r="Y389">
        <v>18</v>
      </c>
      <c r="Z389">
        <v>16</v>
      </c>
      <c r="AA389">
        <v>0</v>
      </c>
      <c r="AB389">
        <v>1</v>
      </c>
      <c r="AC389">
        <v>32</v>
      </c>
      <c r="AD389">
        <v>2</v>
      </c>
      <c r="AE389">
        <v>1</v>
      </c>
      <c r="AF389">
        <v>5</v>
      </c>
      <c r="AG389">
        <v>4</v>
      </c>
      <c r="AH389">
        <v>2</v>
      </c>
      <c r="AI389" s="5">
        <v>0.27200000000000002</v>
      </c>
      <c r="AJ389" s="5">
        <v>0.34300000000000003</v>
      </c>
      <c r="AK389" s="5">
        <v>0.41099999999999998</v>
      </c>
      <c r="AL389" s="5">
        <v>0.255</v>
      </c>
      <c r="AM389" s="5">
        <v>0.308</v>
      </c>
      <c r="AN389">
        <v>-0.1</v>
      </c>
      <c r="AO389">
        <v>-0.03</v>
      </c>
      <c r="AP389">
        <v>4.59</v>
      </c>
      <c r="AQ389">
        <v>-0.89</v>
      </c>
      <c r="AR389">
        <v>0.1</v>
      </c>
      <c r="AS389" t="s">
        <v>1932</v>
      </c>
      <c r="AT389">
        <v>0.4</v>
      </c>
      <c r="AU389">
        <v>3.6</v>
      </c>
      <c r="AV389">
        <v>8</v>
      </c>
      <c r="AW389">
        <v>45</v>
      </c>
      <c r="AX389">
        <v>4</v>
      </c>
      <c r="AY389">
        <v>35</v>
      </c>
      <c r="AZ389" t="s">
        <v>3754</v>
      </c>
      <c r="BA389">
        <v>72</v>
      </c>
      <c r="BB389" t="s">
        <v>35</v>
      </c>
      <c r="BC389" t="s">
        <v>35</v>
      </c>
      <c r="BD389" s="4">
        <f>HYPERLINK("http://mlb.mlb.com/team/player.jsp?player_id=621471",621471)</f>
        <v>621471</v>
      </c>
      <c r="BE389">
        <v>615</v>
      </c>
      <c r="BF389">
        <v>1615</v>
      </c>
      <c r="BG389">
        <v>135</v>
      </c>
      <c r="BH389">
        <v>117</v>
      </c>
    </row>
    <row r="390" spans="1:60" x14ac:dyDescent="0.3">
      <c r="A390" s="4">
        <f>HYPERLINK("http://legacy.baseballprospectus.com/p/100786",100786)</f>
        <v>100786</v>
      </c>
      <c r="B390" t="s">
        <v>1864</v>
      </c>
      <c r="C390" t="s">
        <v>704</v>
      </c>
      <c r="D390" s="10">
        <v>34485</v>
      </c>
      <c r="E390" t="s">
        <v>59</v>
      </c>
      <c r="F390" t="s">
        <v>9</v>
      </c>
      <c r="G390" t="s">
        <v>9</v>
      </c>
      <c r="H390">
        <v>78</v>
      </c>
      <c r="I390">
        <v>235</v>
      </c>
      <c r="J390">
        <v>2018</v>
      </c>
      <c r="K390" s="4" t="str">
        <f>HYPERLINK("http://legacy.baseballprospectus.com/fantasy/dc/index.php?tm=PHI","PHI")</f>
        <v>PHI</v>
      </c>
      <c r="L390" t="s">
        <v>100</v>
      </c>
      <c r="M390" t="s">
        <v>34</v>
      </c>
      <c r="N390">
        <v>24</v>
      </c>
      <c r="O390">
        <v>145</v>
      </c>
      <c r="P390">
        <v>54</v>
      </c>
      <c r="Q390">
        <v>131</v>
      </c>
      <c r="R390">
        <v>20</v>
      </c>
      <c r="S390">
        <v>15</v>
      </c>
      <c r="T390">
        <v>6</v>
      </c>
      <c r="U390">
        <v>1</v>
      </c>
      <c r="V390">
        <v>7</v>
      </c>
      <c r="W390">
        <v>29</v>
      </c>
      <c r="X390">
        <v>58</v>
      </c>
      <c r="Y390">
        <v>20</v>
      </c>
      <c r="Z390">
        <v>12</v>
      </c>
      <c r="AA390">
        <v>1</v>
      </c>
      <c r="AB390">
        <v>1</v>
      </c>
      <c r="AC390">
        <v>52</v>
      </c>
      <c r="AD390">
        <v>0</v>
      </c>
      <c r="AE390">
        <v>1</v>
      </c>
      <c r="AF390">
        <v>3</v>
      </c>
      <c r="AG390">
        <v>2</v>
      </c>
      <c r="AH390">
        <v>1</v>
      </c>
      <c r="AI390" s="5">
        <v>0.221</v>
      </c>
      <c r="AJ390" s="5">
        <v>0.28999999999999998</v>
      </c>
      <c r="AK390" s="5">
        <v>0.443</v>
      </c>
      <c r="AL390" s="5">
        <v>0.252</v>
      </c>
      <c r="AM390" s="5">
        <v>0.29799999999999999</v>
      </c>
      <c r="AN390">
        <v>0.2</v>
      </c>
      <c r="AO390">
        <v>-0.59</v>
      </c>
      <c r="AP390">
        <v>3.89</v>
      </c>
      <c r="AQ390">
        <v>-1.17</v>
      </c>
      <c r="AR390">
        <v>1.7</v>
      </c>
      <c r="AS390" t="s">
        <v>5001</v>
      </c>
      <c r="AT390">
        <v>0.4</v>
      </c>
      <c r="AU390">
        <v>2.2999999999999998</v>
      </c>
      <c r="AV390">
        <v>6</v>
      </c>
      <c r="AW390">
        <v>25</v>
      </c>
      <c r="AX390">
        <v>11</v>
      </c>
      <c r="AY390">
        <v>28</v>
      </c>
      <c r="AZ390" t="s">
        <v>4293</v>
      </c>
      <c r="BA390">
        <v>47</v>
      </c>
      <c r="BB390" t="s">
        <v>35</v>
      </c>
      <c r="BC390" t="s">
        <v>35</v>
      </c>
      <c r="BD390" s="4">
        <f>HYPERLINK("http://mlb.mlb.com/team/player.jsp?player_id=622226",622226)</f>
        <v>622226</v>
      </c>
      <c r="BE390">
        <v>1673</v>
      </c>
      <c r="BF390">
        <v>673</v>
      </c>
      <c r="BG390">
        <v>0</v>
      </c>
      <c r="BH390">
        <v>0</v>
      </c>
    </row>
    <row r="391" spans="1:60" x14ac:dyDescent="0.3">
      <c r="A391" s="4">
        <f>HYPERLINK("http://legacy.baseballprospectus.com/p/102432",102432)</f>
        <v>102432</v>
      </c>
      <c r="B391" t="s">
        <v>1258</v>
      </c>
      <c r="C391" t="s">
        <v>136</v>
      </c>
      <c r="D391" s="10">
        <v>34822</v>
      </c>
      <c r="E391" t="s">
        <v>59</v>
      </c>
      <c r="F391" t="s">
        <v>9</v>
      </c>
      <c r="G391" t="s">
        <v>9</v>
      </c>
      <c r="H391">
        <v>75</v>
      </c>
      <c r="I391">
        <v>200</v>
      </c>
      <c r="J391">
        <v>2018</v>
      </c>
      <c r="K391" s="4" t="str">
        <f>HYPERLINK("http://legacy.baseballprospectus.com/fantasy/dc/index.php?tm=PIT","PIT")</f>
        <v>PIT</v>
      </c>
      <c r="L391" t="s">
        <v>100</v>
      </c>
      <c r="M391" t="s">
        <v>34</v>
      </c>
      <c r="N391">
        <v>23</v>
      </c>
      <c r="O391">
        <v>310</v>
      </c>
      <c r="P391">
        <v>114</v>
      </c>
      <c r="Q391">
        <v>284</v>
      </c>
      <c r="R391">
        <v>42</v>
      </c>
      <c r="S391">
        <v>45</v>
      </c>
      <c r="T391">
        <v>15</v>
      </c>
      <c r="U391">
        <v>3</v>
      </c>
      <c r="V391">
        <v>9</v>
      </c>
      <c r="W391">
        <v>72</v>
      </c>
      <c r="X391">
        <v>120</v>
      </c>
      <c r="Y391">
        <v>32</v>
      </c>
      <c r="Z391">
        <v>22</v>
      </c>
      <c r="AA391">
        <v>2</v>
      </c>
      <c r="AB391">
        <v>2</v>
      </c>
      <c r="AC391">
        <v>63</v>
      </c>
      <c r="AD391">
        <v>1</v>
      </c>
      <c r="AE391">
        <v>2</v>
      </c>
      <c r="AF391">
        <v>4</v>
      </c>
      <c r="AG391">
        <v>9</v>
      </c>
      <c r="AH391">
        <v>3</v>
      </c>
      <c r="AI391" s="5">
        <v>0.254</v>
      </c>
      <c r="AJ391" s="5">
        <v>0.31</v>
      </c>
      <c r="AK391" s="5">
        <v>0.42299999999999999</v>
      </c>
      <c r="AL391" s="5">
        <v>0.254</v>
      </c>
      <c r="AM391" s="5">
        <v>0.29499999999999998</v>
      </c>
      <c r="AN391">
        <v>1</v>
      </c>
      <c r="AO391">
        <v>-0.62</v>
      </c>
      <c r="AP391">
        <v>8.32</v>
      </c>
      <c r="AQ391">
        <v>-2.1</v>
      </c>
      <c r="AR391">
        <v>-2.4</v>
      </c>
      <c r="AS391" t="s">
        <v>4970</v>
      </c>
      <c r="AT391">
        <v>0.4</v>
      </c>
      <c r="AU391">
        <v>6.6</v>
      </c>
      <c r="AV391">
        <v>2</v>
      </c>
      <c r="AW391">
        <v>22</v>
      </c>
      <c r="AX391">
        <v>6</v>
      </c>
      <c r="AY391">
        <v>19</v>
      </c>
      <c r="AZ391" t="s">
        <v>3934</v>
      </c>
      <c r="BA391">
        <v>49</v>
      </c>
      <c r="BB391" t="s">
        <v>35</v>
      </c>
      <c r="BC391" t="s">
        <v>35</v>
      </c>
      <c r="BD391" s="4">
        <f>HYPERLINK("http://mlb.mlb.com/team/player.jsp?player_id=640457",640457)</f>
        <v>640457</v>
      </c>
      <c r="BE391">
        <v>1678</v>
      </c>
      <c r="BF391">
        <v>678</v>
      </c>
      <c r="BG391">
        <v>0</v>
      </c>
      <c r="BH391">
        <v>0</v>
      </c>
    </row>
    <row r="392" spans="1:60" x14ac:dyDescent="0.3">
      <c r="A392" s="4">
        <f>HYPERLINK("http://legacy.baseballprospectus.com/p/102040",102040)</f>
        <v>102040</v>
      </c>
      <c r="B392" t="s">
        <v>1148</v>
      </c>
      <c r="C392" t="s">
        <v>1197</v>
      </c>
      <c r="D392" s="10">
        <v>33878</v>
      </c>
      <c r="E392" t="s">
        <v>51</v>
      </c>
      <c r="F392" t="s">
        <v>9</v>
      </c>
      <c r="G392" t="s">
        <v>33</v>
      </c>
      <c r="H392">
        <v>76</v>
      </c>
      <c r="I392">
        <v>204</v>
      </c>
      <c r="J392">
        <v>2018</v>
      </c>
      <c r="K392" s="4" t="str">
        <f>HYPERLINK("http://legacy.baseballprospectus.com/fantasy/dc/index.php?tm=PIT","PIT")</f>
        <v>PIT</v>
      </c>
      <c r="L392" t="s">
        <v>100</v>
      </c>
      <c r="M392" t="s">
        <v>34</v>
      </c>
      <c r="N392">
        <v>25</v>
      </c>
      <c r="O392">
        <v>509</v>
      </c>
      <c r="P392">
        <v>154</v>
      </c>
      <c r="Q392">
        <v>461</v>
      </c>
      <c r="R392">
        <v>55</v>
      </c>
      <c r="S392">
        <v>77</v>
      </c>
      <c r="T392">
        <v>21</v>
      </c>
      <c r="U392">
        <v>2</v>
      </c>
      <c r="V392">
        <v>15</v>
      </c>
      <c r="W392">
        <v>115</v>
      </c>
      <c r="X392">
        <v>185</v>
      </c>
      <c r="Y392">
        <v>61</v>
      </c>
      <c r="Z392">
        <v>41</v>
      </c>
      <c r="AA392">
        <v>3</v>
      </c>
      <c r="AB392">
        <v>4</v>
      </c>
      <c r="AC392">
        <v>120</v>
      </c>
      <c r="AD392">
        <v>0</v>
      </c>
      <c r="AE392">
        <v>3</v>
      </c>
      <c r="AF392">
        <v>15</v>
      </c>
      <c r="AG392">
        <v>1</v>
      </c>
      <c r="AH392">
        <v>0</v>
      </c>
      <c r="AI392" s="5">
        <v>0.249</v>
      </c>
      <c r="AJ392" s="5">
        <v>0.314</v>
      </c>
      <c r="AK392" s="5">
        <v>0.40100000000000002</v>
      </c>
      <c r="AL392" s="5">
        <v>0.25</v>
      </c>
      <c r="AM392" s="5">
        <v>0.30299999999999999</v>
      </c>
      <c r="AN392">
        <v>-1.1000000000000001</v>
      </c>
      <c r="AO392">
        <v>-0.66</v>
      </c>
      <c r="AP392">
        <v>13.67</v>
      </c>
      <c r="AQ392">
        <v>-5.43</v>
      </c>
      <c r="AR392">
        <v>-2.4</v>
      </c>
      <c r="AS392" t="s">
        <v>5031</v>
      </c>
      <c r="AT392">
        <v>0.4</v>
      </c>
      <c r="AU392">
        <v>6.5</v>
      </c>
      <c r="AV392">
        <v>6</v>
      </c>
      <c r="AW392">
        <v>16</v>
      </c>
      <c r="AX392">
        <v>11</v>
      </c>
      <c r="AY392">
        <v>34</v>
      </c>
      <c r="AZ392" t="s">
        <v>4315</v>
      </c>
      <c r="BA392">
        <v>42</v>
      </c>
      <c r="BB392" t="s">
        <v>35</v>
      </c>
      <c r="BC392" t="s">
        <v>35</v>
      </c>
      <c r="BD392" s="4">
        <f>HYPERLINK("http://mlb.mlb.com/team/player.jsp?player_id=592567",592567)</f>
        <v>592567</v>
      </c>
      <c r="BE392">
        <v>1509</v>
      </c>
      <c r="BF392">
        <v>509</v>
      </c>
      <c r="BG392">
        <v>12</v>
      </c>
      <c r="BH392">
        <v>11</v>
      </c>
    </row>
    <row r="393" spans="1:60" x14ac:dyDescent="0.3">
      <c r="A393" s="4">
        <f>HYPERLINK("http://legacy.baseballprospectus.com/p/101604",101604)</f>
        <v>101604</v>
      </c>
      <c r="B393" t="s">
        <v>701</v>
      </c>
      <c r="C393" t="s">
        <v>172</v>
      </c>
      <c r="D393" s="10">
        <v>34849</v>
      </c>
      <c r="E393" t="s">
        <v>51</v>
      </c>
      <c r="F393" t="s">
        <v>33</v>
      </c>
      <c r="G393" t="s">
        <v>33</v>
      </c>
      <c r="H393">
        <v>73</v>
      </c>
      <c r="I393">
        <v>180</v>
      </c>
      <c r="J393">
        <v>2018</v>
      </c>
      <c r="K393" s="4" t="str">
        <f>HYPERLINK("http://legacy.baseballprospectus.com/fantasy/dc/index.php?tm=TBA","TBA")</f>
        <v>TBA</v>
      </c>
      <c r="L393" t="s">
        <v>95</v>
      </c>
      <c r="M393" t="s">
        <v>34</v>
      </c>
      <c r="N393">
        <v>23</v>
      </c>
      <c r="O393">
        <v>361</v>
      </c>
      <c r="P393">
        <v>111</v>
      </c>
      <c r="Q393">
        <v>336</v>
      </c>
      <c r="R393">
        <v>36</v>
      </c>
      <c r="S393">
        <v>55</v>
      </c>
      <c r="T393">
        <v>19</v>
      </c>
      <c r="U393">
        <v>1</v>
      </c>
      <c r="V393">
        <v>8</v>
      </c>
      <c r="W393">
        <v>83</v>
      </c>
      <c r="X393">
        <v>128</v>
      </c>
      <c r="Y393">
        <v>37</v>
      </c>
      <c r="Z393">
        <v>18</v>
      </c>
      <c r="AA393">
        <v>2</v>
      </c>
      <c r="AB393">
        <v>4</v>
      </c>
      <c r="AC393">
        <v>78</v>
      </c>
      <c r="AD393">
        <v>2</v>
      </c>
      <c r="AE393">
        <v>2</v>
      </c>
      <c r="AF393">
        <v>11</v>
      </c>
      <c r="AG393">
        <v>2</v>
      </c>
      <c r="AH393">
        <v>1</v>
      </c>
      <c r="AI393" s="5">
        <v>0.247</v>
      </c>
      <c r="AJ393" s="5">
        <v>0.29199999999999998</v>
      </c>
      <c r="AK393" s="5">
        <v>0.38100000000000001</v>
      </c>
      <c r="AL393" s="5">
        <v>0.24</v>
      </c>
      <c r="AM393" s="5">
        <v>0.29399999999999998</v>
      </c>
      <c r="AN393">
        <v>-0.8</v>
      </c>
      <c r="AO393">
        <v>0.31</v>
      </c>
      <c r="AP393">
        <v>9.69</v>
      </c>
      <c r="AQ393">
        <v>-7.75</v>
      </c>
      <c r="AR393">
        <v>3</v>
      </c>
      <c r="AS393" t="s">
        <v>1009</v>
      </c>
      <c r="AT393">
        <v>0.4</v>
      </c>
      <c r="AU393">
        <v>1.5</v>
      </c>
      <c r="AV393">
        <v>9</v>
      </c>
      <c r="AW393">
        <v>39</v>
      </c>
      <c r="AX393">
        <v>11</v>
      </c>
      <c r="AY393">
        <v>27</v>
      </c>
      <c r="AZ393" t="s">
        <v>4128</v>
      </c>
      <c r="BA393">
        <v>61</v>
      </c>
      <c r="BB393" t="s">
        <v>35</v>
      </c>
      <c r="BC393" t="s">
        <v>35</v>
      </c>
      <c r="BD393" s="4">
        <f>HYPERLINK("http://mlb.mlb.com/team/player.jsp?player_id=624414",624414)</f>
        <v>624414</v>
      </c>
      <c r="BE393">
        <v>481</v>
      </c>
      <c r="BF393">
        <v>1481</v>
      </c>
      <c r="BG393">
        <v>135</v>
      </c>
      <c r="BH393">
        <v>125</v>
      </c>
    </row>
    <row r="394" spans="1:60" x14ac:dyDescent="0.3">
      <c r="A394" s="4">
        <f>HYPERLINK("http://legacy.baseballprospectus.com/p/100666",100666)</f>
        <v>100666</v>
      </c>
      <c r="B394" t="s">
        <v>1241</v>
      </c>
      <c r="C394" t="s">
        <v>212</v>
      </c>
      <c r="D394" s="10">
        <v>32989</v>
      </c>
      <c r="E394" t="s">
        <v>58</v>
      </c>
      <c r="F394" t="s">
        <v>9</v>
      </c>
      <c r="G394" t="s">
        <v>33</v>
      </c>
      <c r="H394">
        <v>73</v>
      </c>
      <c r="I394">
        <v>190</v>
      </c>
      <c r="J394">
        <v>2018</v>
      </c>
      <c r="K394" s="4" t="str">
        <f>HYPERLINK("http://legacy.baseballprospectus.com/fantasy/dc/index.php?tm=TBA","TBA")</f>
        <v>TBA</v>
      </c>
      <c r="L394" t="s">
        <v>95</v>
      </c>
      <c r="M394" t="s">
        <v>34</v>
      </c>
      <c r="N394">
        <v>28</v>
      </c>
      <c r="O394">
        <v>192</v>
      </c>
      <c r="P394">
        <v>59</v>
      </c>
      <c r="Q394">
        <v>180</v>
      </c>
      <c r="R394">
        <v>21</v>
      </c>
      <c r="S394">
        <v>29</v>
      </c>
      <c r="T394">
        <v>9</v>
      </c>
      <c r="U394">
        <v>2</v>
      </c>
      <c r="V394">
        <v>5</v>
      </c>
      <c r="W394">
        <v>45</v>
      </c>
      <c r="X394">
        <v>73</v>
      </c>
      <c r="Y394">
        <v>20</v>
      </c>
      <c r="Z394">
        <v>8</v>
      </c>
      <c r="AA394">
        <v>1</v>
      </c>
      <c r="AB394">
        <v>3</v>
      </c>
      <c r="AC394">
        <v>44</v>
      </c>
      <c r="AD394">
        <v>1</v>
      </c>
      <c r="AE394">
        <v>1</v>
      </c>
      <c r="AF394">
        <v>4</v>
      </c>
      <c r="AG394">
        <v>3</v>
      </c>
      <c r="AH394">
        <v>1</v>
      </c>
      <c r="AI394" s="5">
        <v>0.25</v>
      </c>
      <c r="AJ394" s="5">
        <v>0.29199999999999998</v>
      </c>
      <c r="AK394" s="5">
        <v>0.40600000000000003</v>
      </c>
      <c r="AL394" s="5">
        <v>0.246</v>
      </c>
      <c r="AM394" s="5">
        <v>0.30299999999999999</v>
      </c>
      <c r="AN394">
        <v>0.3</v>
      </c>
      <c r="AO394">
        <v>0.52</v>
      </c>
      <c r="AP394">
        <v>5.15</v>
      </c>
      <c r="AQ394">
        <v>-2.9</v>
      </c>
      <c r="AR394">
        <v>1.2</v>
      </c>
      <c r="AS394" t="s">
        <v>69</v>
      </c>
      <c r="AT394">
        <v>0.4</v>
      </c>
      <c r="AU394">
        <v>3.1</v>
      </c>
      <c r="AV394">
        <v>5</v>
      </c>
      <c r="AW394">
        <v>21</v>
      </c>
      <c r="AX394">
        <v>3</v>
      </c>
      <c r="AY394">
        <v>17</v>
      </c>
      <c r="AZ394" t="s">
        <v>4119</v>
      </c>
      <c r="BA394">
        <v>33</v>
      </c>
      <c r="BB394" t="s">
        <v>35</v>
      </c>
      <c r="BC394" t="s">
        <v>35</v>
      </c>
      <c r="BD394" s="4">
        <f>HYPERLINK("http://mlb.mlb.com/team/player.jsp?player_id=621563",621563)</f>
        <v>621563</v>
      </c>
      <c r="BE394">
        <v>460</v>
      </c>
      <c r="BF394">
        <v>1460</v>
      </c>
      <c r="BG394">
        <v>14</v>
      </c>
      <c r="BH394">
        <v>13</v>
      </c>
    </row>
    <row r="395" spans="1:60" x14ac:dyDescent="0.3">
      <c r="A395" s="4">
        <f>HYPERLINK("http://legacy.baseballprospectus.com/p/31340",31340)</f>
        <v>31340</v>
      </c>
      <c r="B395" t="s">
        <v>178</v>
      </c>
      <c r="C395" t="s">
        <v>1028</v>
      </c>
      <c r="D395" s="10">
        <v>30674</v>
      </c>
      <c r="E395" t="s">
        <v>65</v>
      </c>
      <c r="F395" t="s">
        <v>9</v>
      </c>
      <c r="G395" t="s">
        <v>9</v>
      </c>
      <c r="H395">
        <v>71</v>
      </c>
      <c r="I395">
        <v>175</v>
      </c>
      <c r="J395">
        <v>2018</v>
      </c>
      <c r="K395" s="4" t="str">
        <f>HYPERLINK("http://legacy.baseballprospectus.com/fantasy/dc/index.php?tm=SFN","SFN")</f>
        <v>SFN</v>
      </c>
      <c r="L395" t="s">
        <v>100</v>
      </c>
      <c r="M395" t="s">
        <v>34</v>
      </c>
      <c r="N395">
        <v>34</v>
      </c>
      <c r="O395">
        <v>250</v>
      </c>
      <c r="P395" t="s">
        <v>1680</v>
      </c>
      <c r="Q395">
        <v>220</v>
      </c>
      <c r="R395">
        <v>29</v>
      </c>
      <c r="S395">
        <v>38</v>
      </c>
      <c r="T395">
        <v>11</v>
      </c>
      <c r="U395">
        <v>2</v>
      </c>
      <c r="V395">
        <v>4</v>
      </c>
      <c r="W395">
        <v>55</v>
      </c>
      <c r="X395">
        <v>82</v>
      </c>
      <c r="Y395">
        <v>22</v>
      </c>
      <c r="Z395">
        <v>26</v>
      </c>
      <c r="AA395">
        <v>2</v>
      </c>
      <c r="AB395">
        <v>1</v>
      </c>
      <c r="AC395">
        <v>51</v>
      </c>
      <c r="AD395">
        <v>2</v>
      </c>
      <c r="AE395">
        <v>1</v>
      </c>
      <c r="AF395">
        <v>5</v>
      </c>
      <c r="AG395">
        <v>9</v>
      </c>
      <c r="AH395">
        <v>2</v>
      </c>
      <c r="AI395" s="5">
        <v>0.251</v>
      </c>
      <c r="AJ395" s="5">
        <v>0.33200000000000002</v>
      </c>
      <c r="AK395" s="5">
        <v>0.371</v>
      </c>
      <c r="AL395" s="5">
        <v>0.24099999999999999</v>
      </c>
      <c r="AM395" s="5">
        <v>0.308</v>
      </c>
      <c r="AN395">
        <v>1.4</v>
      </c>
      <c r="AO395">
        <v>2.4500000000000002</v>
      </c>
      <c r="AP395">
        <v>7</v>
      </c>
      <c r="AQ395">
        <v>-4.8600000000000003</v>
      </c>
      <c r="AR395">
        <v>-2.8</v>
      </c>
      <c r="AS395" t="s">
        <v>3996</v>
      </c>
      <c r="AT395">
        <v>0.3</v>
      </c>
      <c r="AU395">
        <v>5.9</v>
      </c>
      <c r="AV395">
        <v>1</v>
      </c>
      <c r="AW395">
        <v>31</v>
      </c>
      <c r="AX395">
        <v>11</v>
      </c>
      <c r="AY395">
        <v>18</v>
      </c>
      <c r="AZ395" t="s">
        <v>3997</v>
      </c>
      <c r="BA395">
        <v>84</v>
      </c>
      <c r="BB395" t="s">
        <v>36</v>
      </c>
      <c r="BC395" t="s">
        <v>36</v>
      </c>
      <c r="BD395" s="4">
        <f>HYPERLINK("http://mlb.mlb.com/team/player.jsp?player_id=453923",453923)</f>
        <v>453923</v>
      </c>
      <c r="BE395">
        <v>1730</v>
      </c>
      <c r="BF395">
        <v>730</v>
      </c>
      <c r="BG395">
        <v>256</v>
      </c>
      <c r="BH395">
        <v>224</v>
      </c>
    </row>
    <row r="396" spans="1:60" x14ac:dyDescent="0.3">
      <c r="A396" s="4">
        <f>HYPERLINK("http://legacy.baseballprospectus.com/p/32835",32835)</f>
        <v>32835</v>
      </c>
      <c r="B396" t="s">
        <v>178</v>
      </c>
      <c r="C396" t="s">
        <v>180</v>
      </c>
      <c r="D396" s="10">
        <v>30783</v>
      </c>
      <c r="E396" t="s">
        <v>58</v>
      </c>
      <c r="F396" t="s">
        <v>37</v>
      </c>
      <c r="G396" t="s">
        <v>33</v>
      </c>
      <c r="H396">
        <v>70</v>
      </c>
      <c r="I396">
        <v>195</v>
      </c>
      <c r="J396">
        <v>2018</v>
      </c>
      <c r="K396" s="4" t="str">
        <f>HYPERLINK("http://legacy.baseballprospectus.com/fantasy/dc/index.php?tm=SFN","SFN")</f>
        <v>SFN</v>
      </c>
      <c r="L396" t="s">
        <v>100</v>
      </c>
      <c r="M396" t="s">
        <v>34</v>
      </c>
      <c r="N396">
        <v>34</v>
      </c>
      <c r="O396">
        <v>250</v>
      </c>
      <c r="P396" t="s">
        <v>1680</v>
      </c>
      <c r="Q396">
        <v>224</v>
      </c>
      <c r="R396">
        <v>26</v>
      </c>
      <c r="S396">
        <v>34</v>
      </c>
      <c r="T396">
        <v>14</v>
      </c>
      <c r="U396">
        <v>1</v>
      </c>
      <c r="V396">
        <v>6</v>
      </c>
      <c r="W396">
        <v>55</v>
      </c>
      <c r="X396">
        <v>89</v>
      </c>
      <c r="Y396">
        <v>28</v>
      </c>
      <c r="Z396">
        <v>19</v>
      </c>
      <c r="AA396">
        <v>0</v>
      </c>
      <c r="AB396">
        <v>4</v>
      </c>
      <c r="AC396">
        <v>51</v>
      </c>
      <c r="AD396">
        <v>2</v>
      </c>
      <c r="AE396">
        <v>1</v>
      </c>
      <c r="AF396">
        <v>8</v>
      </c>
      <c r="AG396">
        <v>2</v>
      </c>
      <c r="AH396">
        <v>2</v>
      </c>
      <c r="AI396" s="5">
        <v>0.246</v>
      </c>
      <c r="AJ396" s="5">
        <v>0.312</v>
      </c>
      <c r="AK396" s="5">
        <v>0.4</v>
      </c>
      <c r="AL396" s="5">
        <v>0.23799999999999999</v>
      </c>
      <c r="AM396" s="5">
        <v>0.28599999999999998</v>
      </c>
      <c r="AN396">
        <v>0.5</v>
      </c>
      <c r="AO396">
        <v>2.12</v>
      </c>
      <c r="AP396">
        <v>7</v>
      </c>
      <c r="AQ396">
        <v>-5.68</v>
      </c>
      <c r="AR396">
        <v>-1.6</v>
      </c>
      <c r="AS396" t="s">
        <v>4068</v>
      </c>
      <c r="AT396">
        <v>0.3</v>
      </c>
      <c r="AU396">
        <v>4</v>
      </c>
      <c r="AV396">
        <v>1</v>
      </c>
      <c r="AW396">
        <v>33</v>
      </c>
      <c r="AX396">
        <v>15</v>
      </c>
      <c r="AY396">
        <v>23</v>
      </c>
      <c r="AZ396" t="s">
        <v>4069</v>
      </c>
      <c r="BA396">
        <v>82</v>
      </c>
      <c r="BB396" t="s">
        <v>36</v>
      </c>
      <c r="BC396" t="s">
        <v>36</v>
      </c>
      <c r="BD396" s="4">
        <f>HYPERLINK("http://mlb.mlb.com/team/player.jsp?player_id=433217",433217)</f>
        <v>433217</v>
      </c>
      <c r="BE396">
        <v>0</v>
      </c>
      <c r="BF396">
        <v>0</v>
      </c>
      <c r="BG396">
        <v>144</v>
      </c>
      <c r="BH396">
        <v>130</v>
      </c>
    </row>
    <row r="397" spans="1:60" x14ac:dyDescent="0.3">
      <c r="A397" s="4">
        <f>HYPERLINK("http://legacy.baseballprospectus.com/p/45862",45862)</f>
        <v>45862</v>
      </c>
      <c r="B397" t="s">
        <v>1374</v>
      </c>
      <c r="C397" t="s">
        <v>290</v>
      </c>
      <c r="D397" s="10">
        <v>31898</v>
      </c>
      <c r="E397" t="s">
        <v>51</v>
      </c>
      <c r="F397" t="s">
        <v>33</v>
      </c>
      <c r="G397" t="s">
        <v>33</v>
      </c>
      <c r="H397">
        <v>71</v>
      </c>
      <c r="I397">
        <v>200</v>
      </c>
      <c r="J397">
        <v>2018</v>
      </c>
      <c r="K397" s="4" t="str">
        <f>HYPERLINK("http://legacy.baseballprospectus.com/fantasy/dc/index.php?tm=BOS","BOS")</f>
        <v>BOS</v>
      </c>
      <c r="L397" t="s">
        <v>100</v>
      </c>
      <c r="M397" t="s">
        <v>34</v>
      </c>
      <c r="N397">
        <v>31</v>
      </c>
      <c r="O397">
        <v>250</v>
      </c>
      <c r="P397" t="s">
        <v>1680</v>
      </c>
      <c r="Q397">
        <v>224</v>
      </c>
      <c r="R397">
        <v>25</v>
      </c>
      <c r="S397">
        <v>40</v>
      </c>
      <c r="T397">
        <v>11</v>
      </c>
      <c r="U397">
        <v>1</v>
      </c>
      <c r="V397">
        <v>5</v>
      </c>
      <c r="W397">
        <v>57</v>
      </c>
      <c r="X397">
        <v>85</v>
      </c>
      <c r="Y397">
        <v>26</v>
      </c>
      <c r="Z397">
        <v>20</v>
      </c>
      <c r="AA397">
        <v>1</v>
      </c>
      <c r="AB397">
        <v>3</v>
      </c>
      <c r="AC397">
        <v>60</v>
      </c>
      <c r="AD397">
        <v>1</v>
      </c>
      <c r="AE397">
        <v>1</v>
      </c>
      <c r="AF397">
        <v>7</v>
      </c>
      <c r="AG397">
        <v>1</v>
      </c>
      <c r="AH397">
        <v>1</v>
      </c>
      <c r="AI397" s="5">
        <v>0.253</v>
      </c>
      <c r="AJ397" s="5">
        <v>0.32200000000000001</v>
      </c>
      <c r="AK397" s="5">
        <v>0.376</v>
      </c>
      <c r="AL397" s="5">
        <v>0.23799999999999999</v>
      </c>
      <c r="AM397" s="5">
        <v>0.32100000000000001</v>
      </c>
      <c r="AN397">
        <v>-0.3</v>
      </c>
      <c r="AO397">
        <v>1.54</v>
      </c>
      <c r="AP397">
        <v>7</v>
      </c>
      <c r="AQ397">
        <v>-5.81</v>
      </c>
      <c r="AR397">
        <v>0.3</v>
      </c>
      <c r="AS397" t="s">
        <v>2206</v>
      </c>
      <c r="AT397">
        <v>0.3</v>
      </c>
      <c r="AU397">
        <v>2.4</v>
      </c>
      <c r="AV397">
        <v>0</v>
      </c>
      <c r="AW397">
        <v>15</v>
      </c>
      <c r="AX397">
        <v>17</v>
      </c>
      <c r="AY397">
        <v>24</v>
      </c>
      <c r="AZ397" t="s">
        <v>4133</v>
      </c>
      <c r="BA397">
        <v>56</v>
      </c>
      <c r="BB397" t="s">
        <v>36</v>
      </c>
      <c r="BC397" t="s">
        <v>36</v>
      </c>
      <c r="BD397" s="4">
        <f>HYPERLINK("http://mlb.mlb.com/team/player.jsp?player_id=474443",474443)</f>
        <v>474443</v>
      </c>
      <c r="BE397">
        <v>0</v>
      </c>
      <c r="BF397">
        <v>0</v>
      </c>
      <c r="BG397">
        <v>0</v>
      </c>
      <c r="BH397">
        <v>0</v>
      </c>
    </row>
    <row r="398" spans="1:60" x14ac:dyDescent="0.3">
      <c r="A398" s="4">
        <f>HYPERLINK("http://legacy.baseballprospectus.com/p/45962",45962)</f>
        <v>45962</v>
      </c>
      <c r="B398" t="s">
        <v>330</v>
      </c>
      <c r="C398" t="s">
        <v>331</v>
      </c>
      <c r="D398" s="10">
        <v>30051</v>
      </c>
      <c r="E398" t="s">
        <v>59</v>
      </c>
      <c r="F398" t="s">
        <v>9</v>
      </c>
      <c r="G398" t="s">
        <v>9</v>
      </c>
      <c r="H398">
        <v>74</v>
      </c>
      <c r="I398">
        <v>210</v>
      </c>
      <c r="J398">
        <v>2018</v>
      </c>
      <c r="K398" s="4" t="str">
        <f>HYPERLINK("http://legacy.baseballprospectus.com/fantasy/dc/index.php?tm=LAN","LAN")</f>
        <v>LAN</v>
      </c>
      <c r="L398" t="s">
        <v>100</v>
      </c>
      <c r="M398" t="s">
        <v>34</v>
      </c>
      <c r="N398">
        <v>36</v>
      </c>
      <c r="O398">
        <v>250</v>
      </c>
      <c r="P398" t="s">
        <v>1680</v>
      </c>
      <c r="Q398">
        <v>221</v>
      </c>
      <c r="R398">
        <v>27</v>
      </c>
      <c r="S398">
        <v>35</v>
      </c>
      <c r="T398">
        <v>12</v>
      </c>
      <c r="U398">
        <v>2</v>
      </c>
      <c r="V398">
        <v>6</v>
      </c>
      <c r="W398">
        <v>55</v>
      </c>
      <c r="X398">
        <v>89</v>
      </c>
      <c r="Y398">
        <v>29</v>
      </c>
      <c r="Z398">
        <v>25</v>
      </c>
      <c r="AA398">
        <v>2</v>
      </c>
      <c r="AB398">
        <v>3</v>
      </c>
      <c r="AC398">
        <v>50</v>
      </c>
      <c r="AD398">
        <v>0</v>
      </c>
      <c r="AE398">
        <v>1</v>
      </c>
      <c r="AF398">
        <v>6</v>
      </c>
      <c r="AG398">
        <v>1</v>
      </c>
      <c r="AH398">
        <v>1</v>
      </c>
      <c r="AI398" s="5">
        <v>0.252</v>
      </c>
      <c r="AJ398" s="5">
        <v>0.33300000000000002</v>
      </c>
      <c r="AK398" s="5">
        <v>0.40899999999999997</v>
      </c>
      <c r="AL398" s="5">
        <v>0.25600000000000001</v>
      </c>
      <c r="AM398" s="5">
        <v>0.29499999999999998</v>
      </c>
      <c r="AN398">
        <v>-0.8</v>
      </c>
      <c r="AO398">
        <v>1.1000000000000001</v>
      </c>
      <c r="AP398">
        <v>7</v>
      </c>
      <c r="AQ398">
        <v>-0.98</v>
      </c>
      <c r="AR398">
        <v>-3.6</v>
      </c>
      <c r="AS398" t="s">
        <v>4904</v>
      </c>
      <c r="AT398">
        <v>0.3</v>
      </c>
      <c r="AU398">
        <v>6.4</v>
      </c>
      <c r="AV398">
        <v>0</v>
      </c>
      <c r="AW398">
        <v>31</v>
      </c>
      <c r="AX398">
        <v>6</v>
      </c>
      <c r="AY398">
        <v>15</v>
      </c>
      <c r="AZ398" t="s">
        <v>4072</v>
      </c>
      <c r="BA398">
        <v>68</v>
      </c>
      <c r="BB398" t="s">
        <v>36</v>
      </c>
      <c r="BC398" t="s">
        <v>36</v>
      </c>
      <c r="BD398" s="4">
        <f>HYPERLINK("http://mlb.mlb.com/team/player.jsp?player_id=444843",444843)</f>
        <v>444843</v>
      </c>
      <c r="BE398">
        <v>0</v>
      </c>
      <c r="BF398">
        <v>0</v>
      </c>
      <c r="BG398">
        <v>38</v>
      </c>
      <c r="BH398">
        <v>34</v>
      </c>
    </row>
    <row r="399" spans="1:60" x14ac:dyDescent="0.3">
      <c r="A399" s="4">
        <f>HYPERLINK("http://legacy.baseballprospectus.com/p/46607",46607)</f>
        <v>46607</v>
      </c>
      <c r="B399" t="s">
        <v>576</v>
      </c>
      <c r="C399" t="s">
        <v>272</v>
      </c>
      <c r="D399" s="10">
        <v>31578</v>
      </c>
      <c r="E399" t="s">
        <v>51</v>
      </c>
      <c r="F399" t="s">
        <v>33</v>
      </c>
      <c r="G399" t="s">
        <v>33</v>
      </c>
      <c r="H399">
        <v>74</v>
      </c>
      <c r="I399">
        <v>215</v>
      </c>
      <c r="J399">
        <v>2018</v>
      </c>
      <c r="K399" s="4" t="str">
        <f>HYPERLINK("http://legacy.baseballprospectus.com/fantasy/dc/index.php?tm=TEX","TEX")</f>
        <v>TEX</v>
      </c>
      <c r="L399" t="s">
        <v>95</v>
      </c>
      <c r="M399" t="s">
        <v>34</v>
      </c>
      <c r="N399">
        <v>32</v>
      </c>
      <c r="O399">
        <v>308</v>
      </c>
      <c r="P399" t="s">
        <v>1680</v>
      </c>
      <c r="Q399">
        <v>277</v>
      </c>
      <c r="R399">
        <v>32</v>
      </c>
      <c r="S399">
        <v>41</v>
      </c>
      <c r="T399">
        <v>13</v>
      </c>
      <c r="U399">
        <v>1</v>
      </c>
      <c r="V399">
        <v>9</v>
      </c>
      <c r="W399">
        <v>64</v>
      </c>
      <c r="X399">
        <v>106</v>
      </c>
      <c r="Y399">
        <v>36</v>
      </c>
      <c r="Z399">
        <v>26</v>
      </c>
      <c r="AA399">
        <v>1</v>
      </c>
      <c r="AB399">
        <v>2</v>
      </c>
      <c r="AC399">
        <v>72</v>
      </c>
      <c r="AD399">
        <v>0</v>
      </c>
      <c r="AE399">
        <v>2</v>
      </c>
      <c r="AF399">
        <v>10</v>
      </c>
      <c r="AG399">
        <v>1</v>
      </c>
      <c r="AH399">
        <v>1</v>
      </c>
      <c r="AI399" s="5">
        <v>0.23200000000000001</v>
      </c>
      <c r="AJ399" s="5">
        <v>0.30099999999999999</v>
      </c>
      <c r="AK399" s="5">
        <v>0.38500000000000001</v>
      </c>
      <c r="AL399" s="5">
        <v>0.24199999999999999</v>
      </c>
      <c r="AM399" s="5">
        <v>0.27800000000000002</v>
      </c>
      <c r="AN399">
        <v>-1.1000000000000001</v>
      </c>
      <c r="AO399">
        <v>1.28</v>
      </c>
      <c r="AP399">
        <v>8.6199999999999992</v>
      </c>
      <c r="AQ399">
        <v>-5.78</v>
      </c>
      <c r="AR399">
        <v>-0.4</v>
      </c>
      <c r="AS399" t="s">
        <v>4134</v>
      </c>
      <c r="AT399">
        <v>0.3</v>
      </c>
      <c r="AU399">
        <v>3</v>
      </c>
      <c r="AV399">
        <v>5</v>
      </c>
      <c r="AW399">
        <v>40</v>
      </c>
      <c r="AX399">
        <v>10</v>
      </c>
      <c r="AY399">
        <v>9</v>
      </c>
      <c r="AZ399" t="s">
        <v>4135</v>
      </c>
      <c r="BA399">
        <v>89</v>
      </c>
      <c r="BB399" t="s">
        <v>36</v>
      </c>
      <c r="BC399" t="s">
        <v>36</v>
      </c>
      <c r="BD399" s="4">
        <f>HYPERLINK("http://mlb.mlb.com/team/player.jsp?player_id=461858",461858)</f>
        <v>461858</v>
      </c>
      <c r="BE399">
        <v>0</v>
      </c>
      <c r="BF399">
        <v>0</v>
      </c>
      <c r="BG399">
        <v>313</v>
      </c>
      <c r="BH399">
        <v>283</v>
      </c>
    </row>
    <row r="400" spans="1:60" x14ac:dyDescent="0.3">
      <c r="A400" s="4">
        <f>HYPERLINK("http://legacy.baseballprospectus.com/p/50191",50191)</f>
        <v>50191</v>
      </c>
      <c r="B400" t="s">
        <v>366</v>
      </c>
      <c r="C400" t="s">
        <v>261</v>
      </c>
      <c r="D400" s="10">
        <v>30649</v>
      </c>
      <c r="E400" t="s">
        <v>57</v>
      </c>
      <c r="F400" t="s">
        <v>33</v>
      </c>
      <c r="G400" t="s">
        <v>33</v>
      </c>
      <c r="H400">
        <v>74</v>
      </c>
      <c r="I400">
        <v>190</v>
      </c>
      <c r="J400">
        <v>2018</v>
      </c>
      <c r="K400" s="4" t="str">
        <f>HYPERLINK("http://legacy.baseballprospectus.com/fantasy/dc/index.php?tm=BAL","BAL")</f>
        <v>BAL</v>
      </c>
      <c r="L400" t="s">
        <v>95</v>
      </c>
      <c r="M400" t="s">
        <v>34</v>
      </c>
      <c r="N400">
        <v>34</v>
      </c>
      <c r="O400">
        <v>250</v>
      </c>
      <c r="P400" t="s">
        <v>1680</v>
      </c>
      <c r="Q400">
        <v>221</v>
      </c>
      <c r="R400">
        <v>31</v>
      </c>
      <c r="S400">
        <v>40</v>
      </c>
      <c r="T400">
        <v>8</v>
      </c>
      <c r="U400">
        <v>1</v>
      </c>
      <c r="V400">
        <v>4</v>
      </c>
      <c r="W400">
        <v>53</v>
      </c>
      <c r="X400">
        <v>75</v>
      </c>
      <c r="Y400">
        <v>20</v>
      </c>
      <c r="Z400">
        <v>21</v>
      </c>
      <c r="AA400">
        <v>1</v>
      </c>
      <c r="AB400">
        <v>4</v>
      </c>
      <c r="AC400">
        <v>52</v>
      </c>
      <c r="AD400">
        <v>2</v>
      </c>
      <c r="AE400">
        <v>2</v>
      </c>
      <c r="AF400">
        <v>5</v>
      </c>
      <c r="AG400">
        <v>11</v>
      </c>
      <c r="AH400">
        <v>4</v>
      </c>
      <c r="AI400" s="5">
        <v>0.24199999999999999</v>
      </c>
      <c r="AJ400" s="5">
        <v>0.315</v>
      </c>
      <c r="AK400" s="5">
        <v>0.34499999999999997</v>
      </c>
      <c r="AL400" s="5">
        <v>0.22900000000000001</v>
      </c>
      <c r="AM400" s="5">
        <v>0.29199999999999998</v>
      </c>
      <c r="AN400">
        <v>0.5</v>
      </c>
      <c r="AO400">
        <v>1.1200000000000001</v>
      </c>
      <c r="AP400">
        <v>7</v>
      </c>
      <c r="AQ400">
        <v>-8.24</v>
      </c>
      <c r="AR400">
        <v>2.1</v>
      </c>
      <c r="AS400" t="s">
        <v>4905</v>
      </c>
      <c r="AT400">
        <v>0.3</v>
      </c>
      <c r="AU400">
        <v>0.3</v>
      </c>
      <c r="AV400">
        <v>1</v>
      </c>
      <c r="AW400">
        <v>23</v>
      </c>
      <c r="AX400">
        <v>13</v>
      </c>
      <c r="AY400">
        <v>24</v>
      </c>
      <c r="AZ400" t="s">
        <v>4073</v>
      </c>
      <c r="BA400">
        <v>71</v>
      </c>
      <c r="BB400" t="s">
        <v>36</v>
      </c>
      <c r="BC400" t="s">
        <v>36</v>
      </c>
      <c r="BD400" s="4">
        <f>HYPERLINK("http://mlb.mlb.com/team/player.jsp?player_id=502226",502226)</f>
        <v>502226</v>
      </c>
      <c r="BE400">
        <v>0</v>
      </c>
      <c r="BF400">
        <v>0</v>
      </c>
      <c r="BG400">
        <v>117</v>
      </c>
      <c r="BH400">
        <v>101</v>
      </c>
    </row>
    <row r="401" spans="1:60" x14ac:dyDescent="0.3">
      <c r="A401" s="4">
        <f>HYPERLINK("http://legacy.baseballprospectus.com/p/51312",51312)</f>
        <v>51312</v>
      </c>
      <c r="B401" t="s">
        <v>1029</v>
      </c>
      <c r="C401" t="s">
        <v>1685</v>
      </c>
      <c r="D401" s="10">
        <v>29956</v>
      </c>
      <c r="E401" t="s">
        <v>59</v>
      </c>
      <c r="F401" t="s">
        <v>9</v>
      </c>
      <c r="G401" t="s">
        <v>33</v>
      </c>
      <c r="H401">
        <v>69</v>
      </c>
      <c r="I401">
        <v>180</v>
      </c>
      <c r="J401">
        <v>2018</v>
      </c>
      <c r="K401" s="4" t="str">
        <f>HYPERLINK("http://legacy.baseballprospectus.com/fantasy/dc/index.php?tm=NYN","NYN")</f>
        <v>NYN</v>
      </c>
      <c r="L401" t="s">
        <v>100</v>
      </c>
      <c r="M401" t="s">
        <v>34</v>
      </c>
      <c r="N401">
        <v>36</v>
      </c>
      <c r="O401">
        <v>383</v>
      </c>
      <c r="P401" t="s">
        <v>1680</v>
      </c>
      <c r="Q401">
        <v>341</v>
      </c>
      <c r="R401">
        <v>46</v>
      </c>
      <c r="S401">
        <v>70</v>
      </c>
      <c r="T401">
        <v>15</v>
      </c>
      <c r="U401">
        <v>2</v>
      </c>
      <c r="V401">
        <v>5</v>
      </c>
      <c r="W401">
        <v>92</v>
      </c>
      <c r="X401">
        <v>126</v>
      </c>
      <c r="Y401">
        <v>32</v>
      </c>
      <c r="Z401">
        <v>31</v>
      </c>
      <c r="AA401">
        <v>0</v>
      </c>
      <c r="AB401">
        <v>5</v>
      </c>
      <c r="AC401">
        <v>39</v>
      </c>
      <c r="AD401">
        <v>4</v>
      </c>
      <c r="AE401">
        <v>2</v>
      </c>
      <c r="AF401">
        <v>10</v>
      </c>
      <c r="AG401">
        <v>10</v>
      </c>
      <c r="AH401">
        <v>4</v>
      </c>
      <c r="AI401" s="5">
        <v>0.27100000000000002</v>
      </c>
      <c r="AJ401" s="5">
        <v>0.33900000000000002</v>
      </c>
      <c r="AK401" s="5">
        <v>0.372</v>
      </c>
      <c r="AL401" s="5">
        <v>0.246</v>
      </c>
      <c r="AM401" s="5">
        <v>0.28799999999999998</v>
      </c>
      <c r="AN401">
        <v>-1</v>
      </c>
      <c r="AO401">
        <v>1.39</v>
      </c>
      <c r="AP401">
        <v>10.72</v>
      </c>
      <c r="AQ401">
        <v>-5.46</v>
      </c>
      <c r="AR401">
        <v>-3.3</v>
      </c>
      <c r="AS401" t="s">
        <v>3935</v>
      </c>
      <c r="AT401">
        <v>0.3</v>
      </c>
      <c r="AU401">
        <v>5.7</v>
      </c>
      <c r="AV401">
        <v>0</v>
      </c>
      <c r="AW401">
        <v>22</v>
      </c>
      <c r="AX401">
        <v>10</v>
      </c>
      <c r="AY401">
        <v>24</v>
      </c>
      <c r="AZ401" t="s">
        <v>4074</v>
      </c>
      <c r="BA401">
        <v>69</v>
      </c>
      <c r="BB401" t="s">
        <v>36</v>
      </c>
      <c r="BC401" t="s">
        <v>36</v>
      </c>
      <c r="BD401" s="4">
        <f>HYPERLINK("http://mlb.mlb.com/team/player.jsp?player_id=493114",493114)</f>
        <v>493114</v>
      </c>
      <c r="BE401">
        <v>0</v>
      </c>
      <c r="BF401">
        <v>0</v>
      </c>
      <c r="BG401">
        <v>374</v>
      </c>
      <c r="BH401">
        <v>336</v>
      </c>
    </row>
    <row r="402" spans="1:60" x14ac:dyDescent="0.3">
      <c r="A402" s="4">
        <f>HYPERLINK("http://legacy.baseballprospectus.com/p/51994",51994)</f>
        <v>51994</v>
      </c>
      <c r="B402" t="s">
        <v>443</v>
      </c>
      <c r="C402" t="s">
        <v>296</v>
      </c>
      <c r="D402" s="10">
        <v>31715</v>
      </c>
      <c r="E402" t="s">
        <v>65</v>
      </c>
      <c r="F402" t="s">
        <v>33</v>
      </c>
      <c r="G402" t="s">
        <v>33</v>
      </c>
      <c r="H402">
        <v>74</v>
      </c>
      <c r="I402">
        <v>210</v>
      </c>
      <c r="J402">
        <v>2018</v>
      </c>
      <c r="K402" s="4" t="str">
        <f>HYPERLINK("http://legacy.baseballprospectus.com/fantasy/dc/index.php?tm=NYN","NYN")</f>
        <v>NYN</v>
      </c>
      <c r="L402" t="s">
        <v>100</v>
      </c>
      <c r="M402" t="s">
        <v>34</v>
      </c>
      <c r="N402">
        <v>31</v>
      </c>
      <c r="O402">
        <v>250</v>
      </c>
      <c r="P402" t="s">
        <v>1680</v>
      </c>
      <c r="Q402">
        <v>220</v>
      </c>
      <c r="R402">
        <v>28</v>
      </c>
      <c r="S402">
        <v>34</v>
      </c>
      <c r="T402">
        <v>11</v>
      </c>
      <c r="U402">
        <v>1</v>
      </c>
      <c r="V402">
        <v>7</v>
      </c>
      <c r="W402">
        <v>53</v>
      </c>
      <c r="X402">
        <v>87</v>
      </c>
      <c r="Y402">
        <v>28</v>
      </c>
      <c r="Z402">
        <v>24</v>
      </c>
      <c r="AA402">
        <v>0</v>
      </c>
      <c r="AB402">
        <v>2</v>
      </c>
      <c r="AC402">
        <v>53</v>
      </c>
      <c r="AD402">
        <v>2</v>
      </c>
      <c r="AE402">
        <v>2</v>
      </c>
      <c r="AF402">
        <v>6</v>
      </c>
      <c r="AG402">
        <v>5</v>
      </c>
      <c r="AH402">
        <v>2</v>
      </c>
      <c r="AI402" s="5">
        <v>0.23899999999999999</v>
      </c>
      <c r="AJ402" s="5">
        <v>0.318</v>
      </c>
      <c r="AK402" s="5">
        <v>0.39300000000000002</v>
      </c>
      <c r="AL402" s="5">
        <v>0.24299999999999999</v>
      </c>
      <c r="AM402" s="5">
        <v>0.27900000000000003</v>
      </c>
      <c r="AN402">
        <v>-0.3</v>
      </c>
      <c r="AO402">
        <v>2.41</v>
      </c>
      <c r="AP402">
        <v>7</v>
      </c>
      <c r="AQ402">
        <v>-4.46</v>
      </c>
      <c r="AR402">
        <v>-2.2999999999999998</v>
      </c>
      <c r="AS402" t="s">
        <v>4005</v>
      </c>
      <c r="AT402">
        <v>0.3</v>
      </c>
      <c r="AU402">
        <v>4.5999999999999996</v>
      </c>
      <c r="AV402">
        <v>0</v>
      </c>
      <c r="AW402">
        <v>44</v>
      </c>
      <c r="AX402">
        <v>8</v>
      </c>
      <c r="AY402">
        <v>15</v>
      </c>
      <c r="AZ402" t="s">
        <v>4075</v>
      </c>
      <c r="BA402">
        <v>87</v>
      </c>
      <c r="BB402" t="s">
        <v>36</v>
      </c>
      <c r="BC402" t="s">
        <v>36</v>
      </c>
      <c r="BD402" s="4">
        <f>HYPERLINK("http://mlb.mlb.com/team/player.jsp?player_id=457775",457775)</f>
        <v>457775</v>
      </c>
      <c r="BE402">
        <v>0</v>
      </c>
      <c r="BF402">
        <v>0</v>
      </c>
      <c r="BG402">
        <v>0</v>
      </c>
      <c r="BH402">
        <v>0</v>
      </c>
    </row>
    <row r="403" spans="1:60" x14ac:dyDescent="0.3">
      <c r="A403" s="4">
        <f>HYPERLINK("http://legacy.baseballprospectus.com/p/56736",56736)</f>
        <v>56736</v>
      </c>
      <c r="B403" t="s">
        <v>616</v>
      </c>
      <c r="C403" t="s">
        <v>167</v>
      </c>
      <c r="D403" s="10">
        <v>33101</v>
      </c>
      <c r="E403" t="s">
        <v>53</v>
      </c>
      <c r="F403" t="s">
        <v>33</v>
      </c>
      <c r="G403" t="s">
        <v>33</v>
      </c>
      <c r="H403">
        <v>72</v>
      </c>
      <c r="I403">
        <v>160</v>
      </c>
      <c r="J403">
        <v>2018</v>
      </c>
      <c r="K403" s="4" t="str">
        <f>HYPERLINK("http://legacy.baseballprospectus.com/fantasy/dc/index.php?tm=WAS","WAS")</f>
        <v>WAS</v>
      </c>
      <c r="L403" t="s">
        <v>100</v>
      </c>
      <c r="M403" t="s">
        <v>34</v>
      </c>
      <c r="N403">
        <v>27</v>
      </c>
      <c r="O403">
        <v>250</v>
      </c>
      <c r="P403" t="s">
        <v>1680</v>
      </c>
      <c r="Q403">
        <v>231</v>
      </c>
      <c r="R403">
        <v>25</v>
      </c>
      <c r="S403">
        <v>38</v>
      </c>
      <c r="T403">
        <v>13</v>
      </c>
      <c r="U403">
        <v>1</v>
      </c>
      <c r="V403">
        <v>6</v>
      </c>
      <c r="W403">
        <v>58</v>
      </c>
      <c r="X403">
        <v>91</v>
      </c>
      <c r="Y403">
        <v>26</v>
      </c>
      <c r="Z403">
        <v>13</v>
      </c>
      <c r="AA403">
        <v>2</v>
      </c>
      <c r="AB403">
        <v>2</v>
      </c>
      <c r="AC403">
        <v>52</v>
      </c>
      <c r="AD403">
        <v>2</v>
      </c>
      <c r="AE403">
        <v>1</v>
      </c>
      <c r="AF403">
        <v>8</v>
      </c>
      <c r="AG403">
        <v>2</v>
      </c>
      <c r="AH403">
        <v>1</v>
      </c>
      <c r="AI403" s="5">
        <v>0.247</v>
      </c>
      <c r="AJ403" s="5">
        <v>0.29099999999999998</v>
      </c>
      <c r="AK403" s="5">
        <v>0.379</v>
      </c>
      <c r="AL403" s="5">
        <v>0.221</v>
      </c>
      <c r="AM403" s="5">
        <v>0.28999999999999998</v>
      </c>
      <c r="AN403">
        <v>-0.3</v>
      </c>
      <c r="AO403">
        <v>3.6</v>
      </c>
      <c r="AP403">
        <v>7</v>
      </c>
      <c r="AQ403">
        <v>-10.25</v>
      </c>
      <c r="AR403">
        <v>2.6</v>
      </c>
      <c r="AS403" t="s">
        <v>4906</v>
      </c>
      <c r="AT403">
        <v>0.3</v>
      </c>
      <c r="AU403">
        <v>0</v>
      </c>
      <c r="AV403">
        <v>6</v>
      </c>
      <c r="AW403">
        <v>12</v>
      </c>
      <c r="AX403">
        <v>8</v>
      </c>
      <c r="AY403">
        <v>20</v>
      </c>
      <c r="AZ403" t="s">
        <v>4361</v>
      </c>
      <c r="BA403">
        <v>32</v>
      </c>
      <c r="BB403" t="s">
        <v>36</v>
      </c>
      <c r="BC403" t="s">
        <v>35</v>
      </c>
      <c r="BD403" s="4">
        <f>HYPERLINK("http://mlb.mlb.com/team/player.jsp?player_id=506703",506703)</f>
        <v>506703</v>
      </c>
      <c r="BE403">
        <v>1546</v>
      </c>
      <c r="BF403">
        <v>546</v>
      </c>
      <c r="BG403">
        <v>75</v>
      </c>
      <c r="BH403">
        <v>71</v>
      </c>
    </row>
    <row r="404" spans="1:60" x14ac:dyDescent="0.3">
      <c r="A404" s="4">
        <f>HYPERLINK("http://legacy.baseballprospectus.com/p/56850",56850)</f>
        <v>56850</v>
      </c>
      <c r="B404" t="s">
        <v>662</v>
      </c>
      <c r="C404" t="s">
        <v>663</v>
      </c>
      <c r="D404" s="10">
        <v>32808</v>
      </c>
      <c r="E404" t="s">
        <v>53</v>
      </c>
      <c r="F404" t="s">
        <v>33</v>
      </c>
      <c r="G404" t="s">
        <v>33</v>
      </c>
      <c r="H404">
        <v>71</v>
      </c>
      <c r="I404">
        <v>200</v>
      </c>
      <c r="J404">
        <v>2018</v>
      </c>
      <c r="K404" s="4" t="str">
        <f>HYPERLINK("http://legacy.baseballprospectus.com/fantasy/dc/index.php?tm=BAL","BAL")</f>
        <v>BAL</v>
      </c>
      <c r="L404" t="s">
        <v>95</v>
      </c>
      <c r="M404" t="s">
        <v>34</v>
      </c>
      <c r="N404">
        <v>28</v>
      </c>
      <c r="O404">
        <v>250</v>
      </c>
      <c r="P404" t="s">
        <v>1680</v>
      </c>
      <c r="Q404">
        <v>221</v>
      </c>
      <c r="R404">
        <v>26</v>
      </c>
      <c r="S404">
        <v>39</v>
      </c>
      <c r="T404">
        <v>12</v>
      </c>
      <c r="U404">
        <v>0</v>
      </c>
      <c r="V404">
        <v>5</v>
      </c>
      <c r="W404">
        <v>56</v>
      </c>
      <c r="X404">
        <v>83</v>
      </c>
      <c r="Y404">
        <v>25</v>
      </c>
      <c r="Z404">
        <v>22</v>
      </c>
      <c r="AA404">
        <v>2</v>
      </c>
      <c r="AB404">
        <v>3</v>
      </c>
      <c r="AC404">
        <v>39</v>
      </c>
      <c r="AD404">
        <v>2</v>
      </c>
      <c r="AE404">
        <v>2</v>
      </c>
      <c r="AF404">
        <v>6</v>
      </c>
      <c r="AG404">
        <v>0</v>
      </c>
      <c r="AH404">
        <v>1</v>
      </c>
      <c r="AI404" s="5">
        <v>0.252</v>
      </c>
      <c r="AJ404" s="5">
        <v>0.32800000000000001</v>
      </c>
      <c r="AK404" s="5">
        <v>0.36899999999999999</v>
      </c>
      <c r="AL404" s="5">
        <v>0.23699999999999999</v>
      </c>
      <c r="AM404" s="5">
        <v>0.28199999999999997</v>
      </c>
      <c r="AN404">
        <v>0.1</v>
      </c>
      <c r="AO404">
        <v>3.41</v>
      </c>
      <c r="AP404">
        <v>7</v>
      </c>
      <c r="AQ404">
        <v>-6.12</v>
      </c>
      <c r="AR404">
        <v>-1.7</v>
      </c>
      <c r="AS404" t="s">
        <v>4827</v>
      </c>
      <c r="AT404">
        <v>0.3</v>
      </c>
      <c r="AU404">
        <v>4.4000000000000004</v>
      </c>
      <c r="AV404">
        <v>3</v>
      </c>
      <c r="AW404">
        <v>43</v>
      </c>
      <c r="AX404">
        <v>7</v>
      </c>
      <c r="AY404">
        <v>14</v>
      </c>
      <c r="AZ404" t="s">
        <v>4077</v>
      </c>
      <c r="BA404">
        <v>91</v>
      </c>
      <c r="BB404" t="s">
        <v>36</v>
      </c>
      <c r="BC404" t="s">
        <v>36</v>
      </c>
      <c r="BD404" s="4">
        <f>HYPERLINK("http://mlb.mlb.com/team/player.jsp?player_id=514913",514913)</f>
        <v>514913</v>
      </c>
      <c r="BE404">
        <v>0</v>
      </c>
      <c r="BF404">
        <v>0</v>
      </c>
      <c r="BG404">
        <v>124</v>
      </c>
      <c r="BH404">
        <v>113</v>
      </c>
    </row>
    <row r="405" spans="1:60" x14ac:dyDescent="0.3">
      <c r="A405" s="4">
        <f>HYPERLINK("http://legacy.baseballprospectus.com/p/57472",57472)</f>
        <v>57472</v>
      </c>
      <c r="B405" t="s">
        <v>521</v>
      </c>
      <c r="C405" t="s">
        <v>337</v>
      </c>
      <c r="D405" s="10">
        <v>32840</v>
      </c>
      <c r="E405" t="s">
        <v>50</v>
      </c>
      <c r="F405" t="s">
        <v>33</v>
      </c>
      <c r="G405" t="s">
        <v>33</v>
      </c>
      <c r="H405">
        <v>75</v>
      </c>
      <c r="I405">
        <v>235</v>
      </c>
      <c r="J405">
        <v>2018</v>
      </c>
      <c r="K405" s="4" t="str">
        <f>HYPERLINK("http://legacy.baseballprospectus.com/fantasy/dc/index.php?tm=BAL","BAL")</f>
        <v>BAL</v>
      </c>
      <c r="L405" t="s">
        <v>95</v>
      </c>
      <c r="M405" t="s">
        <v>34</v>
      </c>
      <c r="N405">
        <v>28</v>
      </c>
      <c r="O405">
        <v>250</v>
      </c>
      <c r="P405" t="s">
        <v>1680</v>
      </c>
      <c r="Q405">
        <v>231</v>
      </c>
      <c r="R405">
        <v>28</v>
      </c>
      <c r="S405">
        <v>41</v>
      </c>
      <c r="T405">
        <v>11</v>
      </c>
      <c r="U405">
        <v>1</v>
      </c>
      <c r="V405">
        <v>10</v>
      </c>
      <c r="W405">
        <v>63</v>
      </c>
      <c r="X405">
        <v>106</v>
      </c>
      <c r="Y405">
        <v>34</v>
      </c>
      <c r="Z405">
        <v>16</v>
      </c>
      <c r="AA405">
        <v>1</v>
      </c>
      <c r="AB405">
        <v>1</v>
      </c>
      <c r="AC405">
        <v>55</v>
      </c>
      <c r="AD405">
        <v>0</v>
      </c>
      <c r="AE405">
        <v>2</v>
      </c>
      <c r="AF405">
        <v>8</v>
      </c>
      <c r="AG405">
        <v>0</v>
      </c>
      <c r="AH405">
        <v>0</v>
      </c>
      <c r="AI405" s="5">
        <v>0.27</v>
      </c>
      <c r="AJ405" s="5">
        <v>0.31900000000000001</v>
      </c>
      <c r="AK405" s="5">
        <v>0.44900000000000001</v>
      </c>
      <c r="AL405" s="5">
        <v>0.25600000000000001</v>
      </c>
      <c r="AM405" s="5">
        <v>0.314</v>
      </c>
      <c r="AN405">
        <v>-0.3</v>
      </c>
      <c r="AO405">
        <v>-1.93</v>
      </c>
      <c r="AP405">
        <v>7</v>
      </c>
      <c r="AQ405">
        <v>-1.1599999999999999</v>
      </c>
      <c r="AR405">
        <v>-1</v>
      </c>
      <c r="AS405" t="s">
        <v>4907</v>
      </c>
      <c r="AT405">
        <v>0.3</v>
      </c>
      <c r="AU405">
        <v>3.6</v>
      </c>
      <c r="AV405">
        <v>5</v>
      </c>
      <c r="AW405">
        <v>15</v>
      </c>
      <c r="AX405">
        <v>10</v>
      </c>
      <c r="AY405">
        <v>24</v>
      </c>
      <c r="AZ405" t="s">
        <v>4078</v>
      </c>
      <c r="BA405">
        <v>40</v>
      </c>
      <c r="BB405" t="s">
        <v>36</v>
      </c>
      <c r="BC405" t="s">
        <v>35</v>
      </c>
      <c r="BD405" s="4">
        <f>HYPERLINK("http://mlb.mlb.com/team/player.jsp?player_id=524968",524968)</f>
        <v>524968</v>
      </c>
      <c r="BE405">
        <v>0</v>
      </c>
      <c r="BF405">
        <v>0</v>
      </c>
      <c r="BG405">
        <v>0</v>
      </c>
      <c r="BH405">
        <v>0</v>
      </c>
    </row>
    <row r="406" spans="1:60" x14ac:dyDescent="0.3">
      <c r="A406" s="4">
        <f>HYPERLINK("http://legacy.baseballprospectus.com/p/59218",59218)</f>
        <v>59218</v>
      </c>
      <c r="B406" t="s">
        <v>120</v>
      </c>
      <c r="C406" t="s">
        <v>121</v>
      </c>
      <c r="D406" s="10">
        <v>31814</v>
      </c>
      <c r="E406" t="s">
        <v>50</v>
      </c>
      <c r="F406" t="s">
        <v>9</v>
      </c>
      <c r="G406" t="s">
        <v>33</v>
      </c>
      <c r="H406">
        <v>75</v>
      </c>
      <c r="I406">
        <v>250</v>
      </c>
      <c r="J406">
        <v>2018</v>
      </c>
      <c r="K406" s="4" t="str">
        <f>HYPERLINK("http://legacy.baseballprospectus.com/fantasy/dc/index.php?tm=BAL","BAL")</f>
        <v>BAL</v>
      </c>
      <c r="L406" t="s">
        <v>95</v>
      </c>
      <c r="M406" t="s">
        <v>34</v>
      </c>
      <c r="N406">
        <v>31</v>
      </c>
      <c r="O406">
        <v>250</v>
      </c>
      <c r="P406" t="s">
        <v>1680</v>
      </c>
      <c r="Q406">
        <v>225</v>
      </c>
      <c r="R406">
        <v>32</v>
      </c>
      <c r="S406">
        <v>30</v>
      </c>
      <c r="T406">
        <v>10</v>
      </c>
      <c r="U406">
        <v>0</v>
      </c>
      <c r="V406">
        <v>14</v>
      </c>
      <c r="W406">
        <v>54</v>
      </c>
      <c r="X406">
        <v>106</v>
      </c>
      <c r="Y406">
        <v>39</v>
      </c>
      <c r="Z406">
        <v>23</v>
      </c>
      <c r="AA406">
        <v>2</v>
      </c>
      <c r="AB406">
        <v>1</v>
      </c>
      <c r="AC406">
        <v>70</v>
      </c>
      <c r="AD406">
        <v>0</v>
      </c>
      <c r="AE406">
        <v>1</v>
      </c>
      <c r="AF406">
        <v>6</v>
      </c>
      <c r="AG406">
        <v>1</v>
      </c>
      <c r="AH406">
        <v>0</v>
      </c>
      <c r="AI406" s="5">
        <v>0.23699999999999999</v>
      </c>
      <c r="AJ406" s="5">
        <v>0.309</v>
      </c>
      <c r="AK406" s="5">
        <v>0.46700000000000003</v>
      </c>
      <c r="AL406" s="5">
        <v>0.255</v>
      </c>
      <c r="AM406" s="5">
        <v>0.27700000000000002</v>
      </c>
      <c r="AN406">
        <v>0.2</v>
      </c>
      <c r="AO406">
        <v>-1.33</v>
      </c>
      <c r="AP406">
        <v>7</v>
      </c>
      <c r="AQ406">
        <v>-1.34</v>
      </c>
      <c r="AR406">
        <v>-2</v>
      </c>
      <c r="AS406" t="s">
        <v>4079</v>
      </c>
      <c r="AT406">
        <v>0.3</v>
      </c>
      <c r="AU406">
        <v>4.5</v>
      </c>
      <c r="AV406">
        <v>1</v>
      </c>
      <c r="AW406">
        <v>32</v>
      </c>
      <c r="AX406">
        <v>12</v>
      </c>
      <c r="AY406">
        <v>20</v>
      </c>
      <c r="AZ406" t="s">
        <v>4080</v>
      </c>
      <c r="BA406">
        <v>88</v>
      </c>
      <c r="BB406" t="s">
        <v>36</v>
      </c>
      <c r="BC406" t="s">
        <v>36</v>
      </c>
      <c r="BD406" s="4">
        <f>HYPERLINK("http://mlb.mlb.com/team/player.jsp?player_id=476883",476883)</f>
        <v>476883</v>
      </c>
      <c r="BE406">
        <v>0</v>
      </c>
      <c r="BF406">
        <v>0</v>
      </c>
      <c r="BG406">
        <v>34</v>
      </c>
      <c r="BH406">
        <v>32</v>
      </c>
    </row>
    <row r="407" spans="1:60" x14ac:dyDescent="0.3">
      <c r="A407" s="4">
        <f>HYPERLINK("http://legacy.baseballprospectus.com/p/60676",60676)</f>
        <v>60676</v>
      </c>
      <c r="B407" t="s">
        <v>636</v>
      </c>
      <c r="C407" t="s">
        <v>442</v>
      </c>
      <c r="D407" s="10">
        <v>33499</v>
      </c>
      <c r="E407" t="s">
        <v>50</v>
      </c>
      <c r="F407" t="s">
        <v>9</v>
      </c>
      <c r="G407" t="s">
        <v>9</v>
      </c>
      <c r="H407">
        <v>74</v>
      </c>
      <c r="I407">
        <v>230</v>
      </c>
      <c r="J407">
        <v>2018</v>
      </c>
      <c r="K407" s="4" t="str">
        <f>HYPERLINK("http://legacy.baseballprospectus.com/fantasy/dc/index.php?tm=HOU","HOU")</f>
        <v>HOU</v>
      </c>
      <c r="L407" t="s">
        <v>95</v>
      </c>
      <c r="M407" t="s">
        <v>34</v>
      </c>
      <c r="N407">
        <v>26</v>
      </c>
      <c r="O407">
        <v>250</v>
      </c>
      <c r="P407" t="s">
        <v>1680</v>
      </c>
      <c r="Q407">
        <v>207</v>
      </c>
      <c r="R407">
        <v>31</v>
      </c>
      <c r="S407">
        <v>21</v>
      </c>
      <c r="T407">
        <v>9</v>
      </c>
      <c r="U407">
        <v>0</v>
      </c>
      <c r="V407">
        <v>11</v>
      </c>
      <c r="W407">
        <v>41</v>
      </c>
      <c r="X407">
        <v>83</v>
      </c>
      <c r="Y407">
        <v>34</v>
      </c>
      <c r="Z407">
        <v>40</v>
      </c>
      <c r="AA407">
        <v>2</v>
      </c>
      <c r="AB407">
        <v>1</v>
      </c>
      <c r="AC407">
        <v>76</v>
      </c>
      <c r="AD407">
        <v>0</v>
      </c>
      <c r="AE407">
        <v>1</v>
      </c>
      <c r="AF407">
        <v>5</v>
      </c>
      <c r="AG407">
        <v>0</v>
      </c>
      <c r="AH407">
        <v>0</v>
      </c>
      <c r="AI407" s="5">
        <v>0.20100000000000001</v>
      </c>
      <c r="AJ407" s="5">
        <v>0.33200000000000002</v>
      </c>
      <c r="AK407" s="5">
        <v>0.40600000000000003</v>
      </c>
      <c r="AL407" s="5">
        <v>0.254</v>
      </c>
      <c r="AM407" s="5">
        <v>0.251</v>
      </c>
      <c r="AN407">
        <v>-0.5</v>
      </c>
      <c r="AO407">
        <v>-2.2200000000000002</v>
      </c>
      <c r="AP407">
        <v>7</v>
      </c>
      <c r="AQ407">
        <v>-1.67</v>
      </c>
      <c r="AR407">
        <v>-0.1</v>
      </c>
      <c r="AS407" t="s">
        <v>1004</v>
      </c>
      <c r="AT407">
        <v>0.3</v>
      </c>
      <c r="AU407">
        <v>2.6</v>
      </c>
      <c r="AV407">
        <v>4</v>
      </c>
      <c r="AW407">
        <v>20</v>
      </c>
      <c r="AX407">
        <v>10</v>
      </c>
      <c r="AY407">
        <v>32</v>
      </c>
      <c r="AZ407" t="s">
        <v>4082</v>
      </c>
      <c r="BA407">
        <v>61</v>
      </c>
      <c r="BB407" t="s">
        <v>36</v>
      </c>
      <c r="BC407" t="s">
        <v>35</v>
      </c>
      <c r="BD407" s="4">
        <f>HYPERLINK("http://mlb.mlb.com/team/player.jsp?player_id=572138",572138)</f>
        <v>572138</v>
      </c>
      <c r="BE407">
        <v>0</v>
      </c>
      <c r="BF407">
        <v>0</v>
      </c>
      <c r="BG407">
        <v>0</v>
      </c>
      <c r="BH407">
        <v>0</v>
      </c>
    </row>
    <row r="408" spans="1:60" x14ac:dyDescent="0.3">
      <c r="A408" s="4">
        <f>HYPERLINK("http://legacy.baseballprospectus.com/p/60927",60927)</f>
        <v>60927</v>
      </c>
      <c r="B408" t="s">
        <v>447</v>
      </c>
      <c r="C408" t="s">
        <v>689</v>
      </c>
      <c r="D408" s="10">
        <v>32344</v>
      </c>
      <c r="E408" t="s">
        <v>58</v>
      </c>
      <c r="F408" t="s">
        <v>37</v>
      </c>
      <c r="G408" t="s">
        <v>33</v>
      </c>
      <c r="H408">
        <v>72</v>
      </c>
      <c r="I408">
        <v>180</v>
      </c>
      <c r="J408">
        <v>2018</v>
      </c>
      <c r="K408" s="4" t="str">
        <f>HYPERLINK("http://legacy.baseballprospectus.com/fantasy/dc/index.php?tm=NYN","NYN")</f>
        <v>NYN</v>
      </c>
      <c r="L408" t="s">
        <v>100</v>
      </c>
      <c r="M408" t="s">
        <v>34</v>
      </c>
      <c r="N408">
        <v>29</v>
      </c>
      <c r="O408">
        <v>250</v>
      </c>
      <c r="P408" t="s">
        <v>1680</v>
      </c>
      <c r="Q408">
        <v>216</v>
      </c>
      <c r="R408">
        <v>28</v>
      </c>
      <c r="S408">
        <v>35</v>
      </c>
      <c r="T408">
        <v>10</v>
      </c>
      <c r="U408">
        <v>1</v>
      </c>
      <c r="V408">
        <v>6</v>
      </c>
      <c r="W408">
        <v>52</v>
      </c>
      <c r="X408">
        <v>82</v>
      </c>
      <c r="Y408">
        <v>26</v>
      </c>
      <c r="Z408">
        <v>28</v>
      </c>
      <c r="AA408">
        <v>1</v>
      </c>
      <c r="AB408">
        <v>2</v>
      </c>
      <c r="AC408">
        <v>47</v>
      </c>
      <c r="AD408">
        <v>2</v>
      </c>
      <c r="AE408">
        <v>2</v>
      </c>
      <c r="AF408">
        <v>5</v>
      </c>
      <c r="AG408">
        <v>2</v>
      </c>
      <c r="AH408">
        <v>1</v>
      </c>
      <c r="AI408" s="5">
        <v>0.24199999999999999</v>
      </c>
      <c r="AJ408" s="5">
        <v>0.33100000000000002</v>
      </c>
      <c r="AK408" s="5">
        <v>0.38</v>
      </c>
      <c r="AL408" s="5">
        <v>0.24299999999999999</v>
      </c>
      <c r="AM408" s="5">
        <v>0.27700000000000002</v>
      </c>
      <c r="AN408">
        <v>-0.5</v>
      </c>
      <c r="AO408">
        <v>2.31</v>
      </c>
      <c r="AP408">
        <v>7</v>
      </c>
      <c r="AQ408">
        <v>-4.51</v>
      </c>
      <c r="AR408">
        <v>-1.6</v>
      </c>
      <c r="AS408" t="s">
        <v>2190</v>
      </c>
      <c r="AT408">
        <v>0.3</v>
      </c>
      <c r="AU408">
        <v>4.3</v>
      </c>
      <c r="AV408">
        <v>3</v>
      </c>
      <c r="AW408">
        <v>13</v>
      </c>
      <c r="AX408">
        <v>12</v>
      </c>
      <c r="AY408">
        <v>25</v>
      </c>
      <c r="AZ408" t="s">
        <v>4083</v>
      </c>
      <c r="BA408">
        <v>47</v>
      </c>
      <c r="BB408" t="s">
        <v>36</v>
      </c>
      <c r="BC408" t="s">
        <v>36</v>
      </c>
      <c r="BD408" s="4">
        <f>HYPERLINK("http://mlb.mlb.com/team/player.jsp?player_id=571841",571841)</f>
        <v>571841</v>
      </c>
      <c r="BE408">
        <v>0</v>
      </c>
      <c r="BF408">
        <v>0</v>
      </c>
      <c r="BG408">
        <v>105</v>
      </c>
      <c r="BH408">
        <v>89</v>
      </c>
    </row>
    <row r="409" spans="1:60" x14ac:dyDescent="0.3">
      <c r="A409" s="4">
        <f>HYPERLINK("http://legacy.baseballprospectus.com/p/66907",66907)</f>
        <v>66907</v>
      </c>
      <c r="B409" t="s">
        <v>1087</v>
      </c>
      <c r="C409" t="s">
        <v>1088</v>
      </c>
      <c r="D409" s="10">
        <v>33611</v>
      </c>
      <c r="E409" t="s">
        <v>58</v>
      </c>
      <c r="F409" t="s">
        <v>37</v>
      </c>
      <c r="G409" t="s">
        <v>33</v>
      </c>
      <c r="H409">
        <v>71</v>
      </c>
      <c r="I409">
        <v>160</v>
      </c>
      <c r="J409">
        <v>2018</v>
      </c>
      <c r="K409" s="4" t="str">
        <f>HYPERLINK("http://legacy.baseballprospectus.com/fantasy/dc/index.php?tm=SLN","SLN")</f>
        <v>SLN</v>
      </c>
      <c r="L409" t="s">
        <v>100</v>
      </c>
      <c r="M409" t="s">
        <v>34</v>
      </c>
      <c r="N409">
        <v>26</v>
      </c>
      <c r="O409">
        <v>250</v>
      </c>
      <c r="P409" t="s">
        <v>1680</v>
      </c>
      <c r="Q409">
        <v>224</v>
      </c>
      <c r="R409">
        <v>27</v>
      </c>
      <c r="S409">
        <v>44</v>
      </c>
      <c r="T409">
        <v>10</v>
      </c>
      <c r="U409">
        <v>2</v>
      </c>
      <c r="V409">
        <v>4</v>
      </c>
      <c r="W409">
        <v>60</v>
      </c>
      <c r="X409">
        <v>86</v>
      </c>
      <c r="Y409">
        <v>25</v>
      </c>
      <c r="Z409">
        <v>21</v>
      </c>
      <c r="AA409">
        <v>1</v>
      </c>
      <c r="AB409">
        <v>1</v>
      </c>
      <c r="AC409">
        <v>29</v>
      </c>
      <c r="AD409">
        <v>2</v>
      </c>
      <c r="AE409">
        <v>2</v>
      </c>
      <c r="AF409">
        <v>7</v>
      </c>
      <c r="AG409">
        <v>4</v>
      </c>
      <c r="AH409">
        <v>3</v>
      </c>
      <c r="AI409" s="5">
        <v>0.26800000000000002</v>
      </c>
      <c r="AJ409" s="5">
        <v>0.33200000000000002</v>
      </c>
      <c r="AK409" s="5">
        <v>0.38800000000000001</v>
      </c>
      <c r="AL409" s="5">
        <v>0.24199999999999999</v>
      </c>
      <c r="AM409" s="5">
        <v>0.28599999999999998</v>
      </c>
      <c r="AN409">
        <v>-0.5</v>
      </c>
      <c r="AO409">
        <v>2.58</v>
      </c>
      <c r="AP409">
        <v>7</v>
      </c>
      <c r="AQ409">
        <v>-4.8</v>
      </c>
      <c r="AR409">
        <v>-1.7</v>
      </c>
      <c r="AS409" t="s">
        <v>4084</v>
      </c>
      <c r="AT409">
        <v>0.3</v>
      </c>
      <c r="AU409">
        <v>4.3</v>
      </c>
      <c r="AV409">
        <v>2</v>
      </c>
      <c r="AW409">
        <v>20</v>
      </c>
      <c r="AX409">
        <v>6</v>
      </c>
      <c r="AY409">
        <v>23</v>
      </c>
      <c r="AZ409" t="s">
        <v>4085</v>
      </c>
      <c r="BA409">
        <v>35</v>
      </c>
      <c r="BB409" t="s">
        <v>36</v>
      </c>
      <c r="BC409" t="s">
        <v>35</v>
      </c>
      <c r="BD409" s="4">
        <f>HYPERLINK("http://mlb.mlb.com/team/player.jsp?player_id=591971",591971)</f>
        <v>591971</v>
      </c>
      <c r="BE409">
        <v>1473</v>
      </c>
      <c r="BF409">
        <v>473</v>
      </c>
      <c r="BG409">
        <v>11</v>
      </c>
      <c r="BH409">
        <v>10</v>
      </c>
    </row>
    <row r="410" spans="1:60" x14ac:dyDescent="0.3">
      <c r="A410" s="4">
        <f>HYPERLINK("http://legacy.baseballprospectus.com/p/67472",67472)</f>
        <v>67472</v>
      </c>
      <c r="B410" t="s">
        <v>824</v>
      </c>
      <c r="C410" t="s">
        <v>1093</v>
      </c>
      <c r="D410" s="10">
        <v>33899</v>
      </c>
      <c r="E410" t="s">
        <v>58</v>
      </c>
      <c r="F410" t="s">
        <v>37</v>
      </c>
      <c r="G410" t="s">
        <v>33</v>
      </c>
      <c r="H410">
        <v>71</v>
      </c>
      <c r="I410">
        <v>170</v>
      </c>
      <c r="J410">
        <v>2018</v>
      </c>
      <c r="K410" s="4" t="str">
        <f>HYPERLINK("http://legacy.baseballprospectus.com/fantasy/dc/index.php?tm=SFN","SFN")</f>
        <v>SFN</v>
      </c>
      <c r="L410" t="s">
        <v>95</v>
      </c>
      <c r="M410" t="s">
        <v>34</v>
      </c>
      <c r="N410">
        <v>25</v>
      </c>
      <c r="O410">
        <v>250</v>
      </c>
      <c r="P410" t="s">
        <v>1680</v>
      </c>
      <c r="Q410">
        <v>226</v>
      </c>
      <c r="R410">
        <v>36</v>
      </c>
      <c r="S410">
        <v>36</v>
      </c>
      <c r="T410">
        <v>9</v>
      </c>
      <c r="U410">
        <v>3</v>
      </c>
      <c r="V410">
        <v>7</v>
      </c>
      <c r="W410">
        <v>55</v>
      </c>
      <c r="X410">
        <v>91</v>
      </c>
      <c r="Y410">
        <v>25</v>
      </c>
      <c r="Z410">
        <v>17</v>
      </c>
      <c r="AA410">
        <v>1</v>
      </c>
      <c r="AB410">
        <v>1</v>
      </c>
      <c r="AC410">
        <v>54</v>
      </c>
      <c r="AD410">
        <v>4</v>
      </c>
      <c r="AE410">
        <v>2</v>
      </c>
      <c r="AF410">
        <v>6</v>
      </c>
      <c r="AG410">
        <v>14</v>
      </c>
      <c r="AH410">
        <v>5</v>
      </c>
      <c r="AI410" s="5">
        <v>0.247</v>
      </c>
      <c r="AJ410" s="5">
        <v>0.30199999999999999</v>
      </c>
      <c r="AK410" s="5">
        <v>0.41399999999999998</v>
      </c>
      <c r="AL410" s="5">
        <v>0.23499999999999999</v>
      </c>
      <c r="AM410" s="5">
        <v>0.28499999999999998</v>
      </c>
      <c r="AN410">
        <v>0.2</v>
      </c>
      <c r="AO410">
        <v>2.27</v>
      </c>
      <c r="AP410">
        <v>7</v>
      </c>
      <c r="AQ410">
        <v>-6.58</v>
      </c>
      <c r="AR410">
        <v>-0.3</v>
      </c>
      <c r="AS410" t="s">
        <v>4908</v>
      </c>
      <c r="AT410">
        <v>0.3</v>
      </c>
      <c r="AU410">
        <v>2.8</v>
      </c>
      <c r="AV410">
        <v>3</v>
      </c>
      <c r="AW410">
        <v>22</v>
      </c>
      <c r="AX410">
        <v>15</v>
      </c>
      <c r="AY410">
        <v>29</v>
      </c>
      <c r="AZ410" t="s">
        <v>4086</v>
      </c>
      <c r="BA410">
        <v>62</v>
      </c>
      <c r="BB410" t="s">
        <v>36</v>
      </c>
      <c r="BC410" t="s">
        <v>36</v>
      </c>
      <c r="BD410" s="4">
        <f>HYPERLINK("http://mlb.mlb.com/team/player.jsp?player_id=593700",593700)</f>
        <v>593700</v>
      </c>
      <c r="BE410">
        <v>1735</v>
      </c>
      <c r="BF410">
        <v>735</v>
      </c>
      <c r="BG410">
        <v>234</v>
      </c>
      <c r="BH410">
        <v>217</v>
      </c>
    </row>
    <row r="411" spans="1:60" x14ac:dyDescent="0.3">
      <c r="A411" s="4">
        <f>HYPERLINK("http://legacy.baseballprospectus.com/p/100187",100187)</f>
        <v>100187</v>
      </c>
      <c r="B411" t="s">
        <v>1897</v>
      </c>
      <c r="C411" t="s">
        <v>487</v>
      </c>
      <c r="D411" s="10">
        <v>33359</v>
      </c>
      <c r="E411" t="s">
        <v>53</v>
      </c>
      <c r="F411" t="s">
        <v>33</v>
      </c>
      <c r="G411" t="s">
        <v>33</v>
      </c>
      <c r="H411">
        <v>72</v>
      </c>
      <c r="I411">
        <v>190</v>
      </c>
      <c r="J411">
        <v>2018</v>
      </c>
      <c r="K411" s="4" t="str">
        <f>HYPERLINK("http://legacy.baseballprospectus.com/fantasy/dc/index.php?tm=SEA","SEA")</f>
        <v>SEA</v>
      </c>
      <c r="L411" t="s">
        <v>95</v>
      </c>
      <c r="M411" t="s">
        <v>34</v>
      </c>
      <c r="N411">
        <v>27</v>
      </c>
      <c r="O411">
        <v>250</v>
      </c>
      <c r="P411" t="s">
        <v>1680</v>
      </c>
      <c r="Q411">
        <v>224</v>
      </c>
      <c r="R411">
        <v>26</v>
      </c>
      <c r="S411">
        <v>37</v>
      </c>
      <c r="T411">
        <v>11</v>
      </c>
      <c r="U411">
        <v>1</v>
      </c>
      <c r="V411">
        <v>6</v>
      </c>
      <c r="W411">
        <v>55</v>
      </c>
      <c r="X411">
        <v>86</v>
      </c>
      <c r="Y411">
        <v>26</v>
      </c>
      <c r="Z411">
        <v>18</v>
      </c>
      <c r="AA411">
        <v>1</v>
      </c>
      <c r="AB411">
        <v>3</v>
      </c>
      <c r="AC411">
        <v>50</v>
      </c>
      <c r="AD411">
        <v>3</v>
      </c>
      <c r="AE411">
        <v>2</v>
      </c>
      <c r="AF411">
        <v>7</v>
      </c>
      <c r="AG411">
        <v>2</v>
      </c>
      <c r="AH411">
        <v>1</v>
      </c>
      <c r="AI411" s="5">
        <v>0.24299999999999999</v>
      </c>
      <c r="AJ411" s="5">
        <v>0.307</v>
      </c>
      <c r="AK411" s="5">
        <v>0.379</v>
      </c>
      <c r="AL411" s="5">
        <v>0.23200000000000001</v>
      </c>
      <c r="AM411" s="5">
        <v>0.28199999999999997</v>
      </c>
      <c r="AN411">
        <v>-0.5</v>
      </c>
      <c r="AO411">
        <v>4.25</v>
      </c>
      <c r="AP411">
        <v>7</v>
      </c>
      <c r="AQ411">
        <v>-7.47</v>
      </c>
      <c r="AR411">
        <v>-1</v>
      </c>
      <c r="AS411" t="s">
        <v>1810</v>
      </c>
      <c r="AT411">
        <v>0.3</v>
      </c>
      <c r="AU411">
        <v>3.3</v>
      </c>
      <c r="AV411">
        <v>3</v>
      </c>
      <c r="AW411">
        <v>5</v>
      </c>
      <c r="AX411">
        <v>4</v>
      </c>
      <c r="AY411">
        <v>9</v>
      </c>
      <c r="AZ411" t="s">
        <v>4087</v>
      </c>
      <c r="BA411">
        <v>17</v>
      </c>
      <c r="BB411" t="s">
        <v>36</v>
      </c>
      <c r="BC411" t="s">
        <v>35</v>
      </c>
      <c r="BD411" s="4">
        <f>HYPERLINK("http://mlb.mlb.com/team/player.jsp?player_id=572227",572227)</f>
        <v>572227</v>
      </c>
      <c r="BE411">
        <v>0</v>
      </c>
      <c r="BF411">
        <v>0</v>
      </c>
      <c r="BG411">
        <v>12</v>
      </c>
      <c r="BH411">
        <v>9</v>
      </c>
    </row>
    <row r="412" spans="1:60" x14ac:dyDescent="0.3">
      <c r="A412" s="4">
        <f>HYPERLINK("http://legacy.baseballprospectus.com/p/101145",101145)</f>
        <v>101145</v>
      </c>
      <c r="B412" t="s">
        <v>4020</v>
      </c>
      <c r="C412" t="s">
        <v>4021</v>
      </c>
      <c r="D412" s="10">
        <v>34569</v>
      </c>
      <c r="E412" t="s">
        <v>65</v>
      </c>
      <c r="F412" t="s">
        <v>33</v>
      </c>
      <c r="G412" t="s">
        <v>33</v>
      </c>
      <c r="H412">
        <v>70</v>
      </c>
      <c r="I412">
        <v>195</v>
      </c>
      <c r="J412">
        <v>2018</v>
      </c>
      <c r="K412" s="4" t="str">
        <f>HYPERLINK("http://legacy.baseballprospectus.com/fantasy/dc/index.php?tm=CHA","CHA")</f>
        <v>CHA</v>
      </c>
      <c r="L412" t="s">
        <v>95</v>
      </c>
      <c r="M412" t="s">
        <v>34</v>
      </c>
      <c r="N412">
        <v>23</v>
      </c>
      <c r="O412">
        <v>250</v>
      </c>
      <c r="P412" t="s">
        <v>1680</v>
      </c>
      <c r="Q412">
        <v>225</v>
      </c>
      <c r="R412">
        <v>36</v>
      </c>
      <c r="S412">
        <v>35</v>
      </c>
      <c r="T412">
        <v>10</v>
      </c>
      <c r="U412">
        <v>2</v>
      </c>
      <c r="V412">
        <v>8</v>
      </c>
      <c r="W412">
        <v>55</v>
      </c>
      <c r="X412">
        <v>93</v>
      </c>
      <c r="Y412">
        <v>25</v>
      </c>
      <c r="Z412">
        <v>15</v>
      </c>
      <c r="AA412">
        <v>1</v>
      </c>
      <c r="AB412">
        <v>6</v>
      </c>
      <c r="AC412">
        <v>66</v>
      </c>
      <c r="AD412">
        <v>3</v>
      </c>
      <c r="AE412">
        <v>1</v>
      </c>
      <c r="AF412">
        <v>6</v>
      </c>
      <c r="AG412">
        <v>14</v>
      </c>
      <c r="AH412">
        <v>5</v>
      </c>
      <c r="AI412" s="5">
        <v>0.23899999999999999</v>
      </c>
      <c r="AJ412" s="5">
        <v>0.30099999999999999</v>
      </c>
      <c r="AK412" s="5">
        <v>0.39800000000000002</v>
      </c>
      <c r="AL412" s="5">
        <v>0.23599999999999999</v>
      </c>
      <c r="AM412" s="5">
        <v>0.29699999999999999</v>
      </c>
      <c r="AN412">
        <v>1.1000000000000001</v>
      </c>
      <c r="AO412">
        <v>2.2599999999999998</v>
      </c>
      <c r="AP412">
        <v>7</v>
      </c>
      <c r="AQ412">
        <v>-6.25</v>
      </c>
      <c r="AR412">
        <v>-1.1000000000000001</v>
      </c>
      <c r="AS412" t="s">
        <v>4022</v>
      </c>
      <c r="AT412">
        <v>0.3</v>
      </c>
      <c r="AU412">
        <v>4.0999999999999996</v>
      </c>
      <c r="AV412">
        <v>2</v>
      </c>
      <c r="AW412">
        <v>17</v>
      </c>
      <c r="AX412">
        <v>5</v>
      </c>
      <c r="AY412">
        <v>13</v>
      </c>
      <c r="AZ412" t="s">
        <v>4023</v>
      </c>
      <c r="BA412">
        <v>37</v>
      </c>
      <c r="BB412" t="s">
        <v>36</v>
      </c>
      <c r="BC412" t="s">
        <v>35</v>
      </c>
      <c r="BD412" s="4">
        <f>HYPERLINK("http://mlb.mlb.com/team/player.jsp?player_id=622738",622738)</f>
        <v>622738</v>
      </c>
      <c r="BE412">
        <v>0</v>
      </c>
      <c r="BF412">
        <v>0</v>
      </c>
      <c r="BG412">
        <v>0</v>
      </c>
      <c r="BH412">
        <v>0</v>
      </c>
    </row>
    <row r="413" spans="1:60" x14ac:dyDescent="0.3">
      <c r="A413" s="4">
        <f>HYPERLINK("http://legacy.baseballprospectus.com/p/102435",102435)</f>
        <v>102435</v>
      </c>
      <c r="B413" t="s">
        <v>1078</v>
      </c>
      <c r="C413" t="s">
        <v>97</v>
      </c>
      <c r="D413" s="10">
        <v>34587</v>
      </c>
      <c r="E413" t="s">
        <v>59</v>
      </c>
      <c r="F413" t="s">
        <v>33</v>
      </c>
      <c r="G413" t="s">
        <v>33</v>
      </c>
      <c r="H413">
        <v>74</v>
      </c>
      <c r="I413">
        <v>210</v>
      </c>
      <c r="J413">
        <v>2018</v>
      </c>
      <c r="K413" s="4" t="str">
        <f>HYPERLINK("http://legacy.baseballprospectus.com/fantasy/dc/index.php?tm=ATL","ATL")</f>
        <v>ATL</v>
      </c>
      <c r="L413" t="s">
        <v>100</v>
      </c>
      <c r="M413" t="s">
        <v>34</v>
      </c>
      <c r="N413">
        <v>23</v>
      </c>
      <c r="O413">
        <v>250</v>
      </c>
      <c r="P413" t="s">
        <v>1680</v>
      </c>
      <c r="Q413">
        <v>228</v>
      </c>
      <c r="R413">
        <v>25</v>
      </c>
      <c r="S413">
        <v>36</v>
      </c>
      <c r="T413">
        <v>12</v>
      </c>
      <c r="U413">
        <v>0</v>
      </c>
      <c r="V413">
        <v>7</v>
      </c>
      <c r="W413">
        <v>55</v>
      </c>
      <c r="X413">
        <v>88</v>
      </c>
      <c r="Y413">
        <v>29</v>
      </c>
      <c r="Z413">
        <v>19</v>
      </c>
      <c r="AA413">
        <v>1</v>
      </c>
      <c r="AB413">
        <v>2</v>
      </c>
      <c r="AC413">
        <v>59</v>
      </c>
      <c r="AD413">
        <v>0</v>
      </c>
      <c r="AE413">
        <v>1</v>
      </c>
      <c r="AF413">
        <v>5</v>
      </c>
      <c r="AG413">
        <v>0</v>
      </c>
      <c r="AH413">
        <v>0</v>
      </c>
      <c r="AI413" s="5">
        <v>0.246</v>
      </c>
      <c r="AJ413" s="5">
        <v>0.308</v>
      </c>
      <c r="AK413" s="5">
        <v>0.39400000000000002</v>
      </c>
      <c r="AL413" s="5">
        <v>0.23899999999999999</v>
      </c>
      <c r="AM413" s="5">
        <v>0.30099999999999999</v>
      </c>
      <c r="AN413">
        <v>-0.5</v>
      </c>
      <c r="AO413">
        <v>1.1100000000000001</v>
      </c>
      <c r="AP413">
        <v>7</v>
      </c>
      <c r="AQ413">
        <v>-5.63</v>
      </c>
      <c r="AR413">
        <v>1</v>
      </c>
      <c r="AS413" t="s">
        <v>1347</v>
      </c>
      <c r="AT413">
        <v>0.3</v>
      </c>
      <c r="AU413">
        <v>2</v>
      </c>
      <c r="AV413">
        <v>0</v>
      </c>
      <c r="AW413">
        <v>3</v>
      </c>
      <c r="AX413">
        <v>1</v>
      </c>
      <c r="AY413">
        <v>3</v>
      </c>
      <c r="AZ413" t="s">
        <v>4024</v>
      </c>
      <c r="BA413">
        <v>8</v>
      </c>
      <c r="BB413" t="s">
        <v>36</v>
      </c>
      <c r="BC413" t="s">
        <v>35</v>
      </c>
      <c r="BD413" s="4">
        <f>HYPERLINK("http://mlb.mlb.com/team/player.jsp?player_id=640460",640460)</f>
        <v>640460</v>
      </c>
      <c r="BE413">
        <v>0</v>
      </c>
      <c r="BF413">
        <v>0</v>
      </c>
      <c r="BG413">
        <v>0</v>
      </c>
      <c r="BH413">
        <v>0</v>
      </c>
    </row>
    <row r="414" spans="1:60" x14ac:dyDescent="0.3">
      <c r="A414" s="4">
        <f>HYPERLINK("http://legacy.baseballprospectus.com/p/103273",103273)</f>
        <v>103273</v>
      </c>
      <c r="B414" t="s">
        <v>4025</v>
      </c>
      <c r="C414" t="s">
        <v>4026</v>
      </c>
      <c r="D414" s="10">
        <v>34767</v>
      </c>
      <c r="E414" t="s">
        <v>59</v>
      </c>
      <c r="F414" t="s">
        <v>33</v>
      </c>
      <c r="G414" t="s">
        <v>33</v>
      </c>
      <c r="H414">
        <v>72</v>
      </c>
      <c r="I414">
        <v>170</v>
      </c>
      <c r="J414">
        <v>2018</v>
      </c>
      <c r="K414" s="4" t="str">
        <f>HYPERLINK("http://legacy.baseballprospectus.com/fantasy/dc/index.php?tm=CHN","CHN")</f>
        <v>CHN</v>
      </c>
      <c r="L414" t="s">
        <v>100</v>
      </c>
      <c r="M414" t="s">
        <v>34</v>
      </c>
      <c r="N414">
        <v>23</v>
      </c>
      <c r="O414">
        <v>250</v>
      </c>
      <c r="P414" t="s">
        <v>1680</v>
      </c>
      <c r="Q414">
        <v>218</v>
      </c>
      <c r="R414">
        <v>33</v>
      </c>
      <c r="S414">
        <v>32</v>
      </c>
      <c r="T414">
        <v>10</v>
      </c>
      <c r="U414">
        <v>1</v>
      </c>
      <c r="V414">
        <v>7</v>
      </c>
      <c r="W414">
        <v>50</v>
      </c>
      <c r="X414">
        <v>83</v>
      </c>
      <c r="Y414">
        <v>25</v>
      </c>
      <c r="Z414">
        <v>26</v>
      </c>
      <c r="AA414">
        <v>1</v>
      </c>
      <c r="AB414">
        <v>3</v>
      </c>
      <c r="AC414">
        <v>63</v>
      </c>
      <c r="AD414">
        <v>2</v>
      </c>
      <c r="AE414">
        <v>1</v>
      </c>
      <c r="AF414">
        <v>5</v>
      </c>
      <c r="AG414">
        <v>6</v>
      </c>
      <c r="AH414">
        <v>3</v>
      </c>
      <c r="AI414" s="5">
        <v>0.23400000000000001</v>
      </c>
      <c r="AJ414" s="5">
        <v>0.32300000000000001</v>
      </c>
      <c r="AK414" s="5">
        <v>0.39</v>
      </c>
      <c r="AL414" s="5">
        <v>0.23899999999999999</v>
      </c>
      <c r="AM414" s="5">
        <v>0.29199999999999998</v>
      </c>
      <c r="AN414">
        <v>-0.2</v>
      </c>
      <c r="AO414">
        <v>1.55</v>
      </c>
      <c r="AP414">
        <v>7</v>
      </c>
      <c r="AQ414">
        <v>-5.61</v>
      </c>
      <c r="AR414">
        <v>0.4</v>
      </c>
      <c r="AS414" t="s">
        <v>1330</v>
      </c>
      <c r="AT414">
        <v>0.3</v>
      </c>
      <c r="AU414">
        <v>2.8</v>
      </c>
      <c r="AV414">
        <v>0</v>
      </c>
      <c r="AW414">
        <v>5</v>
      </c>
      <c r="AX414">
        <v>3</v>
      </c>
      <c r="AY414">
        <v>8</v>
      </c>
      <c r="AZ414" t="s">
        <v>4027</v>
      </c>
      <c r="BA414">
        <v>14</v>
      </c>
      <c r="BB414" t="s">
        <v>36</v>
      </c>
      <c r="BC414" t="s">
        <v>35</v>
      </c>
      <c r="BD414" s="4">
        <f>HYPERLINK("http://mlb.mlb.com/team/player.jsp?player_id=642836",642836)</f>
        <v>642836</v>
      </c>
      <c r="BE414">
        <v>0</v>
      </c>
      <c r="BF414">
        <v>0</v>
      </c>
      <c r="BG414">
        <v>0</v>
      </c>
      <c r="BH414">
        <v>0</v>
      </c>
    </row>
    <row r="415" spans="1:60" x14ac:dyDescent="0.3">
      <c r="A415" s="4">
        <f>HYPERLINK("http://legacy.baseballprospectus.com/p/103609",103609)</f>
        <v>103609</v>
      </c>
      <c r="B415" t="s">
        <v>1379</v>
      </c>
      <c r="C415" t="s">
        <v>939</v>
      </c>
      <c r="D415" s="10">
        <v>34893</v>
      </c>
      <c r="E415" t="s">
        <v>65</v>
      </c>
      <c r="F415" t="s">
        <v>33</v>
      </c>
      <c r="G415" t="s">
        <v>33</v>
      </c>
      <c r="H415">
        <v>74</v>
      </c>
      <c r="I415">
        <v>185</v>
      </c>
      <c r="J415">
        <v>2018</v>
      </c>
      <c r="K415" s="4" t="str">
        <f>HYPERLINK("http://legacy.baseballprospectus.com/fantasy/dc/index.php?tm=LAN","LAN")</f>
        <v>LAN</v>
      </c>
      <c r="L415" t="s">
        <v>100</v>
      </c>
      <c r="M415" t="s">
        <v>34</v>
      </c>
      <c r="N415">
        <v>22</v>
      </c>
      <c r="O415">
        <v>250</v>
      </c>
      <c r="P415" t="s">
        <v>1680</v>
      </c>
      <c r="Q415">
        <v>229</v>
      </c>
      <c r="R415">
        <v>28</v>
      </c>
      <c r="S415">
        <v>24</v>
      </c>
      <c r="T415">
        <v>11</v>
      </c>
      <c r="U415">
        <v>0</v>
      </c>
      <c r="V415">
        <v>12</v>
      </c>
      <c r="W415">
        <v>47</v>
      </c>
      <c r="X415">
        <v>94</v>
      </c>
      <c r="Y415">
        <v>35</v>
      </c>
      <c r="Z415">
        <v>16</v>
      </c>
      <c r="AA415">
        <v>1</v>
      </c>
      <c r="AB415">
        <v>3</v>
      </c>
      <c r="AC415">
        <v>87</v>
      </c>
      <c r="AD415">
        <v>1</v>
      </c>
      <c r="AE415">
        <v>1</v>
      </c>
      <c r="AF415">
        <v>5</v>
      </c>
      <c r="AG415">
        <v>1</v>
      </c>
      <c r="AH415">
        <v>1</v>
      </c>
      <c r="AI415" s="5">
        <v>0.20499999999999999</v>
      </c>
      <c r="AJ415" s="5">
        <v>0.26400000000000001</v>
      </c>
      <c r="AK415" s="5">
        <v>0.41299999999999998</v>
      </c>
      <c r="AL415" s="5">
        <v>0.23</v>
      </c>
      <c r="AM415" s="5">
        <v>0.26500000000000001</v>
      </c>
      <c r="AN415">
        <v>-0.6</v>
      </c>
      <c r="AO415">
        <v>2.4500000000000002</v>
      </c>
      <c r="AP415">
        <v>7</v>
      </c>
      <c r="AQ415">
        <v>-7.78</v>
      </c>
      <c r="AR415">
        <v>1.6</v>
      </c>
      <c r="AS415" t="s">
        <v>1850</v>
      </c>
      <c r="AT415">
        <v>0.3</v>
      </c>
      <c r="AU415">
        <v>1.1000000000000001</v>
      </c>
      <c r="AV415">
        <v>3</v>
      </c>
      <c r="AW415">
        <v>19</v>
      </c>
      <c r="AX415">
        <v>4</v>
      </c>
      <c r="AY415">
        <v>14</v>
      </c>
      <c r="AZ415" t="s">
        <v>4091</v>
      </c>
      <c r="BA415">
        <v>34</v>
      </c>
      <c r="BB415" t="s">
        <v>36</v>
      </c>
      <c r="BC415" t="s">
        <v>35</v>
      </c>
      <c r="BD415" s="4">
        <f>HYPERLINK("http://mlb.mlb.com/team/player.jsp?player_id=644407",644407)</f>
        <v>644407</v>
      </c>
      <c r="BE415">
        <v>0</v>
      </c>
      <c r="BF415">
        <v>0</v>
      </c>
      <c r="BG415">
        <v>0</v>
      </c>
      <c r="BH415">
        <v>0</v>
      </c>
    </row>
    <row r="416" spans="1:60" x14ac:dyDescent="0.3">
      <c r="A416" s="4">
        <f>HYPERLINK("http://legacy.baseballprospectus.com/p/104859",104859)</f>
        <v>104859</v>
      </c>
      <c r="B416" t="s">
        <v>526</v>
      </c>
      <c r="C416" t="s">
        <v>150</v>
      </c>
      <c r="D416" s="10">
        <v>35019</v>
      </c>
      <c r="E416" t="s">
        <v>53</v>
      </c>
      <c r="F416" t="s">
        <v>33</v>
      </c>
      <c r="G416" t="s">
        <v>33</v>
      </c>
      <c r="H416">
        <v>71</v>
      </c>
      <c r="I416">
        <v>185</v>
      </c>
      <c r="J416">
        <v>2018</v>
      </c>
      <c r="K416" s="4" t="str">
        <f>HYPERLINK("http://legacy.baseballprospectus.com/fantasy/dc/index.php?tm=TEX","TEX")</f>
        <v>TEX</v>
      </c>
      <c r="L416" t="s">
        <v>95</v>
      </c>
      <c r="M416" t="s">
        <v>34</v>
      </c>
      <c r="N416">
        <v>22</v>
      </c>
      <c r="O416">
        <v>250</v>
      </c>
      <c r="P416" t="s">
        <v>1680</v>
      </c>
      <c r="Q416">
        <v>225</v>
      </c>
      <c r="R416">
        <v>28</v>
      </c>
      <c r="S416">
        <v>40</v>
      </c>
      <c r="T416">
        <v>10</v>
      </c>
      <c r="U416">
        <v>1</v>
      </c>
      <c r="V416">
        <v>5</v>
      </c>
      <c r="W416">
        <v>56</v>
      </c>
      <c r="X416">
        <v>83</v>
      </c>
      <c r="Y416">
        <v>24</v>
      </c>
      <c r="Z416">
        <v>18</v>
      </c>
      <c r="AA416">
        <v>1</v>
      </c>
      <c r="AB416">
        <v>4</v>
      </c>
      <c r="AC416">
        <v>45</v>
      </c>
      <c r="AD416">
        <v>1</v>
      </c>
      <c r="AE416">
        <v>1</v>
      </c>
      <c r="AF416">
        <v>7</v>
      </c>
      <c r="AG416">
        <v>0</v>
      </c>
      <c r="AH416">
        <v>0</v>
      </c>
      <c r="AI416" s="5">
        <v>0.249</v>
      </c>
      <c r="AJ416" s="5">
        <v>0.314</v>
      </c>
      <c r="AK416" s="5">
        <v>0.36899999999999999</v>
      </c>
      <c r="AL416" s="5">
        <v>0.224</v>
      </c>
      <c r="AM416" s="5">
        <v>0.28599999999999998</v>
      </c>
      <c r="AN416">
        <v>-0.4</v>
      </c>
      <c r="AO416">
        <v>4.54</v>
      </c>
      <c r="AP416">
        <v>7</v>
      </c>
      <c r="AQ416">
        <v>-9.35</v>
      </c>
      <c r="AR416">
        <v>0.5</v>
      </c>
      <c r="AS416" t="s">
        <v>4095</v>
      </c>
      <c r="AT416">
        <v>0.3</v>
      </c>
      <c r="AU416">
        <v>1.8</v>
      </c>
      <c r="AV416">
        <v>6</v>
      </c>
      <c r="AW416">
        <v>16</v>
      </c>
      <c r="AX416">
        <v>12</v>
      </c>
      <c r="AY416">
        <v>21</v>
      </c>
      <c r="AZ416" t="s">
        <v>4096</v>
      </c>
      <c r="BA416">
        <v>29</v>
      </c>
      <c r="BB416" t="s">
        <v>36</v>
      </c>
      <c r="BC416" t="s">
        <v>35</v>
      </c>
      <c r="BD416" s="4">
        <f>HYPERLINK("http://mlb.mlb.com/team/player.jsp?player_id=656766",656766)</f>
        <v>656766</v>
      </c>
      <c r="BE416">
        <v>0</v>
      </c>
      <c r="BF416">
        <v>0</v>
      </c>
      <c r="BG416">
        <v>0</v>
      </c>
      <c r="BH416">
        <v>0</v>
      </c>
    </row>
    <row r="417" spans="1:60" x14ac:dyDescent="0.3">
      <c r="A417" s="4">
        <f>HYPERLINK("http://legacy.baseballprospectus.com/p/104937",104937)</f>
        <v>104937</v>
      </c>
      <c r="B417" t="s">
        <v>1443</v>
      </c>
      <c r="C417" t="s">
        <v>138</v>
      </c>
      <c r="D417" s="10">
        <v>35298</v>
      </c>
      <c r="E417" t="s">
        <v>54</v>
      </c>
      <c r="F417" t="s">
        <v>33</v>
      </c>
      <c r="G417" t="s">
        <v>33</v>
      </c>
      <c r="H417">
        <v>72</v>
      </c>
      <c r="I417">
        <v>215</v>
      </c>
      <c r="J417">
        <v>2018</v>
      </c>
      <c r="K417" s="4" t="str">
        <f>HYPERLINK("http://legacy.baseballprospectus.com/fantasy/dc/index.php?tm=KCA","KCA")</f>
        <v>KCA</v>
      </c>
      <c r="L417" t="s">
        <v>95</v>
      </c>
      <c r="M417" t="s">
        <v>34</v>
      </c>
      <c r="N417">
        <v>21</v>
      </c>
      <c r="O417">
        <v>250</v>
      </c>
      <c r="P417" t="s">
        <v>1680</v>
      </c>
      <c r="Q417">
        <v>214</v>
      </c>
      <c r="R417">
        <v>27</v>
      </c>
      <c r="S417">
        <v>22</v>
      </c>
      <c r="T417">
        <v>9</v>
      </c>
      <c r="U417">
        <v>1</v>
      </c>
      <c r="V417">
        <v>9</v>
      </c>
      <c r="W417">
        <v>41</v>
      </c>
      <c r="X417">
        <v>79</v>
      </c>
      <c r="Y417">
        <v>31</v>
      </c>
      <c r="Z417">
        <v>29</v>
      </c>
      <c r="AA417">
        <v>1</v>
      </c>
      <c r="AB417">
        <v>5</v>
      </c>
      <c r="AC417">
        <v>99</v>
      </c>
      <c r="AD417">
        <v>1</v>
      </c>
      <c r="AE417">
        <v>2</v>
      </c>
      <c r="AF417">
        <v>5</v>
      </c>
      <c r="AG417">
        <v>0</v>
      </c>
      <c r="AH417">
        <v>0</v>
      </c>
      <c r="AI417" s="5">
        <v>0.193</v>
      </c>
      <c r="AJ417" s="5">
        <v>0.30099999999999999</v>
      </c>
      <c r="AK417" s="5">
        <v>0.371</v>
      </c>
      <c r="AL417" s="5">
        <v>0.23</v>
      </c>
      <c r="AM417" s="5">
        <v>0.29499999999999998</v>
      </c>
      <c r="AN417">
        <v>-0.4</v>
      </c>
      <c r="AO417">
        <v>4.75</v>
      </c>
      <c r="AP417">
        <v>7</v>
      </c>
      <c r="AQ417">
        <v>-7.9</v>
      </c>
      <c r="AR417">
        <v>-0.9</v>
      </c>
      <c r="AS417" t="s">
        <v>60</v>
      </c>
      <c r="AT417">
        <v>0.3</v>
      </c>
      <c r="AU417">
        <v>3.4</v>
      </c>
      <c r="AV417">
        <v>5</v>
      </c>
      <c r="AW417">
        <v>11</v>
      </c>
      <c r="AX417">
        <v>4</v>
      </c>
      <c r="AY417">
        <v>5</v>
      </c>
      <c r="AZ417" t="s">
        <v>4097</v>
      </c>
      <c r="BA417">
        <v>18</v>
      </c>
      <c r="BB417" t="s">
        <v>36</v>
      </c>
      <c r="BC417" t="s">
        <v>35</v>
      </c>
      <c r="BD417" s="4">
        <f>HYPERLINK("http://mlb.mlb.com/team/player.jsp?player_id=657072",657072)</f>
        <v>657072</v>
      </c>
      <c r="BE417">
        <v>395</v>
      </c>
      <c r="BF417">
        <v>1395</v>
      </c>
      <c r="BG417">
        <v>0</v>
      </c>
      <c r="BH417">
        <v>0</v>
      </c>
    </row>
    <row r="418" spans="1:60" x14ac:dyDescent="0.3">
      <c r="A418" s="4">
        <f>HYPERLINK("http://legacy.baseballprospectus.com/p/105248",105248)</f>
        <v>105248</v>
      </c>
      <c r="B418" t="s">
        <v>990</v>
      </c>
      <c r="C418" t="s">
        <v>1714</v>
      </c>
      <c r="D418" s="10">
        <v>33883</v>
      </c>
      <c r="E418" t="s">
        <v>58</v>
      </c>
      <c r="F418" t="s">
        <v>33</v>
      </c>
      <c r="G418" t="s">
        <v>33</v>
      </c>
      <c r="H418">
        <v>72</v>
      </c>
      <c r="I418">
        <v>170</v>
      </c>
      <c r="J418">
        <v>2018</v>
      </c>
      <c r="K418" s="4" t="str">
        <f>HYPERLINK("http://legacy.baseballprospectus.com/fantasy/dc/index.php?tm=CHN","CHN")</f>
        <v>CHN</v>
      </c>
      <c r="L418" t="s">
        <v>100</v>
      </c>
      <c r="M418" t="s">
        <v>34</v>
      </c>
      <c r="N418">
        <v>25</v>
      </c>
      <c r="O418">
        <v>250</v>
      </c>
      <c r="P418" t="s">
        <v>1680</v>
      </c>
      <c r="Q418">
        <v>224</v>
      </c>
      <c r="R418">
        <v>30</v>
      </c>
      <c r="S418">
        <v>43</v>
      </c>
      <c r="T418">
        <v>11</v>
      </c>
      <c r="U418">
        <v>1</v>
      </c>
      <c r="V418">
        <v>5</v>
      </c>
      <c r="W418">
        <v>60</v>
      </c>
      <c r="X418">
        <v>88</v>
      </c>
      <c r="Y418">
        <v>23</v>
      </c>
      <c r="Z418">
        <v>22</v>
      </c>
      <c r="AA418">
        <v>1</v>
      </c>
      <c r="AB418">
        <v>2</v>
      </c>
      <c r="AC418">
        <v>43</v>
      </c>
      <c r="AD418">
        <v>1</v>
      </c>
      <c r="AE418">
        <v>1</v>
      </c>
      <c r="AF418">
        <v>7</v>
      </c>
      <c r="AG418">
        <v>4</v>
      </c>
      <c r="AH418">
        <v>3</v>
      </c>
      <c r="AI418" s="5">
        <v>0.26400000000000001</v>
      </c>
      <c r="AJ418" s="5">
        <v>0.33200000000000002</v>
      </c>
      <c r="AK418" s="5">
        <v>0.38100000000000001</v>
      </c>
      <c r="AL418" s="5">
        <v>0.23899999999999999</v>
      </c>
      <c r="AM418" s="5">
        <v>0.30499999999999999</v>
      </c>
      <c r="AN418">
        <v>-0.6</v>
      </c>
      <c r="AO418">
        <v>2.62</v>
      </c>
      <c r="AP418">
        <v>7</v>
      </c>
      <c r="AQ418">
        <v>-5.44</v>
      </c>
      <c r="AR418">
        <v>-1</v>
      </c>
      <c r="AS418" t="s">
        <v>1813</v>
      </c>
      <c r="AT418">
        <v>0.3</v>
      </c>
      <c r="AU418">
        <v>3.6</v>
      </c>
      <c r="AV418">
        <v>3</v>
      </c>
      <c r="AW418">
        <v>6</v>
      </c>
      <c r="AX418">
        <v>23</v>
      </c>
      <c r="AY418">
        <v>33</v>
      </c>
      <c r="AZ418" t="s">
        <v>4098</v>
      </c>
      <c r="BA418">
        <v>42</v>
      </c>
      <c r="BB418" t="s">
        <v>36</v>
      </c>
      <c r="BC418" t="s">
        <v>35</v>
      </c>
      <c r="BD418" s="4">
        <f>HYPERLINK("http://mlb.mlb.com/team/player.jsp?player_id=657811",657811)</f>
        <v>657811</v>
      </c>
      <c r="BE418">
        <v>0</v>
      </c>
      <c r="BF418">
        <v>0</v>
      </c>
      <c r="BG418">
        <v>0</v>
      </c>
      <c r="BH418">
        <v>0</v>
      </c>
    </row>
    <row r="419" spans="1:60" x14ac:dyDescent="0.3">
      <c r="A419" s="4">
        <f>HYPERLINK("http://legacy.baseballprospectus.com/p/105591",105591)</f>
        <v>105591</v>
      </c>
      <c r="B419" t="s">
        <v>1752</v>
      </c>
      <c r="C419" t="s">
        <v>1313</v>
      </c>
      <c r="D419" s="10">
        <v>34203</v>
      </c>
      <c r="E419" t="s">
        <v>65</v>
      </c>
      <c r="F419" t="s">
        <v>33</v>
      </c>
      <c r="G419" t="s">
        <v>33</v>
      </c>
      <c r="H419">
        <v>73</v>
      </c>
      <c r="I419">
        <v>190</v>
      </c>
      <c r="J419">
        <v>2018</v>
      </c>
      <c r="K419" s="4" t="str">
        <f>HYPERLINK("http://legacy.baseballprospectus.com/fantasy/dc/index.php?tm=SEA","SEA")</f>
        <v>SEA</v>
      </c>
      <c r="L419" t="s">
        <v>95</v>
      </c>
      <c r="M419" t="s">
        <v>34</v>
      </c>
      <c r="N419">
        <v>24</v>
      </c>
      <c r="O419">
        <v>250</v>
      </c>
      <c r="P419" t="s">
        <v>1680</v>
      </c>
      <c r="Q419">
        <v>222</v>
      </c>
      <c r="R419">
        <v>29</v>
      </c>
      <c r="S419">
        <v>39</v>
      </c>
      <c r="T419">
        <v>10</v>
      </c>
      <c r="U419">
        <v>1</v>
      </c>
      <c r="V419">
        <v>5</v>
      </c>
      <c r="W419">
        <v>55</v>
      </c>
      <c r="X419">
        <v>82</v>
      </c>
      <c r="Y419">
        <v>22</v>
      </c>
      <c r="Z419">
        <v>19</v>
      </c>
      <c r="AA419">
        <v>1</v>
      </c>
      <c r="AB419">
        <v>4</v>
      </c>
      <c r="AC419">
        <v>54</v>
      </c>
      <c r="AD419">
        <v>4</v>
      </c>
      <c r="AE419">
        <v>1</v>
      </c>
      <c r="AF419">
        <v>7</v>
      </c>
      <c r="AG419">
        <v>3</v>
      </c>
      <c r="AH419">
        <v>1</v>
      </c>
      <c r="AI419" s="5">
        <v>0.247</v>
      </c>
      <c r="AJ419" s="5">
        <v>0.316</v>
      </c>
      <c r="AK419" s="5">
        <v>0.36399999999999999</v>
      </c>
      <c r="AL419" s="5">
        <v>0.23599999999999999</v>
      </c>
      <c r="AM419" s="5">
        <v>0.29799999999999999</v>
      </c>
      <c r="AN419">
        <v>0</v>
      </c>
      <c r="AO419">
        <v>2.77</v>
      </c>
      <c r="AP419">
        <v>7</v>
      </c>
      <c r="AQ419">
        <v>-6.35</v>
      </c>
      <c r="AR419">
        <v>-0.2</v>
      </c>
      <c r="AS419" t="s">
        <v>1699</v>
      </c>
      <c r="AT419">
        <v>0.3</v>
      </c>
      <c r="AU419">
        <v>3.4</v>
      </c>
      <c r="AV419">
        <v>8</v>
      </c>
      <c r="AW419">
        <v>18</v>
      </c>
      <c r="AX419">
        <v>6</v>
      </c>
      <c r="AY419">
        <v>20</v>
      </c>
      <c r="AZ419" t="s">
        <v>4028</v>
      </c>
      <c r="BA419">
        <v>45</v>
      </c>
      <c r="BB419" t="s">
        <v>36</v>
      </c>
      <c r="BC419" t="s">
        <v>35</v>
      </c>
      <c r="BD419" s="4">
        <f>HYPERLINK("http://mlb.mlb.com/team/player.jsp?player_id=623323",623323)</f>
        <v>623323</v>
      </c>
      <c r="BE419">
        <v>670</v>
      </c>
      <c r="BF419">
        <v>1670</v>
      </c>
      <c r="BG419">
        <v>0</v>
      </c>
      <c r="BH419">
        <v>0</v>
      </c>
    </row>
    <row r="420" spans="1:60" x14ac:dyDescent="0.3">
      <c r="A420" s="4">
        <f>HYPERLINK("http://legacy.baseballprospectus.com/p/106844",106844)</f>
        <v>106844</v>
      </c>
      <c r="B420" t="s">
        <v>616</v>
      </c>
      <c r="C420" t="s">
        <v>337</v>
      </c>
      <c r="D420" s="10">
        <v>35710</v>
      </c>
      <c r="E420" t="s">
        <v>59</v>
      </c>
      <c r="F420" t="s">
        <v>9</v>
      </c>
      <c r="G420" t="s">
        <v>33</v>
      </c>
      <c r="H420">
        <v>75</v>
      </c>
      <c r="I420">
        <v>210</v>
      </c>
      <c r="J420">
        <v>2018</v>
      </c>
      <c r="K420" s="4" t="str">
        <f>HYPERLINK("http://legacy.baseballprospectus.com/fantasy/dc/index.php?tm=TBA","TBA")</f>
        <v>TBA</v>
      </c>
      <c r="L420" t="s">
        <v>95</v>
      </c>
      <c r="M420" t="s">
        <v>34</v>
      </c>
      <c r="N420">
        <v>20</v>
      </c>
      <c r="O420">
        <v>250</v>
      </c>
      <c r="P420" t="s">
        <v>1680</v>
      </c>
      <c r="Q420">
        <v>237</v>
      </c>
      <c r="R420">
        <v>24</v>
      </c>
      <c r="S420">
        <v>36</v>
      </c>
      <c r="T420">
        <v>10</v>
      </c>
      <c r="U420">
        <v>1</v>
      </c>
      <c r="V420">
        <v>8</v>
      </c>
      <c r="W420">
        <v>55</v>
      </c>
      <c r="X420">
        <v>91</v>
      </c>
      <c r="Y420">
        <v>31</v>
      </c>
      <c r="Z420">
        <v>10</v>
      </c>
      <c r="AA420">
        <v>2</v>
      </c>
      <c r="AB420">
        <v>1</v>
      </c>
      <c r="AC420">
        <v>68</v>
      </c>
      <c r="AD420">
        <v>1</v>
      </c>
      <c r="AE420">
        <v>2</v>
      </c>
      <c r="AF420">
        <v>6</v>
      </c>
      <c r="AG420">
        <v>0</v>
      </c>
      <c r="AH420">
        <v>0</v>
      </c>
      <c r="AI420" s="5">
        <v>0.23699999999999999</v>
      </c>
      <c r="AJ420" s="5">
        <v>0.26900000000000002</v>
      </c>
      <c r="AK420" s="5">
        <v>0.39500000000000002</v>
      </c>
      <c r="AL420" s="5">
        <v>0.22800000000000001</v>
      </c>
      <c r="AM420" s="5">
        <v>0.29499999999999998</v>
      </c>
      <c r="AN420">
        <v>-0.3</v>
      </c>
      <c r="AO420">
        <v>0.97</v>
      </c>
      <c r="AP420">
        <v>7</v>
      </c>
      <c r="AQ420">
        <v>-8.42</v>
      </c>
      <c r="AR420">
        <v>3.2</v>
      </c>
      <c r="AS420" t="s">
        <v>4842</v>
      </c>
      <c r="AT420">
        <v>0.3</v>
      </c>
      <c r="AU420">
        <v>-0.7</v>
      </c>
      <c r="AV420">
        <v>5</v>
      </c>
      <c r="AW420">
        <v>14</v>
      </c>
      <c r="AX420">
        <v>0</v>
      </c>
      <c r="AY420">
        <v>6</v>
      </c>
      <c r="AZ420" t="s">
        <v>4099</v>
      </c>
      <c r="BA420">
        <v>16</v>
      </c>
      <c r="BB420" t="s">
        <v>36</v>
      </c>
      <c r="BC420" t="s">
        <v>35</v>
      </c>
      <c r="BD420" s="4">
        <f>HYPERLINK("http://mlb.mlb.com/team/player.jsp?player_id=660821",660821)</f>
        <v>660821</v>
      </c>
      <c r="BE420">
        <v>678</v>
      </c>
      <c r="BF420">
        <v>1678</v>
      </c>
      <c r="BG420">
        <v>0</v>
      </c>
      <c r="BH420">
        <v>0</v>
      </c>
    </row>
    <row r="421" spans="1:60" x14ac:dyDescent="0.3">
      <c r="A421" s="4">
        <f>HYPERLINK("http://legacy.baseballprospectus.com/p/106962",106962)</f>
        <v>106962</v>
      </c>
      <c r="B421" t="s">
        <v>652</v>
      </c>
      <c r="C421" t="s">
        <v>1753</v>
      </c>
      <c r="D421" s="10">
        <v>34313</v>
      </c>
      <c r="E421" t="s">
        <v>59</v>
      </c>
      <c r="F421" t="s">
        <v>9</v>
      </c>
      <c r="G421" t="s">
        <v>33</v>
      </c>
      <c r="H421">
        <v>72</v>
      </c>
      <c r="I421">
        <v>205</v>
      </c>
      <c r="J421">
        <v>2018</v>
      </c>
      <c r="K421" s="4" t="str">
        <f>HYPERLINK("http://legacy.baseballprospectus.com/fantasy/dc/index.php?tm=DET","DET")</f>
        <v>DET</v>
      </c>
      <c r="L421" t="s">
        <v>95</v>
      </c>
      <c r="M421" t="s">
        <v>34</v>
      </c>
      <c r="N421">
        <v>24</v>
      </c>
      <c r="O421">
        <v>250</v>
      </c>
      <c r="P421" t="s">
        <v>1680</v>
      </c>
      <c r="Q421">
        <v>218</v>
      </c>
      <c r="R421">
        <v>32</v>
      </c>
      <c r="S421">
        <v>27</v>
      </c>
      <c r="T421">
        <v>10</v>
      </c>
      <c r="U421">
        <v>1</v>
      </c>
      <c r="V421">
        <v>13</v>
      </c>
      <c r="W421">
        <v>51</v>
      </c>
      <c r="X421">
        <v>102</v>
      </c>
      <c r="Y421">
        <v>38</v>
      </c>
      <c r="Z421">
        <v>26</v>
      </c>
      <c r="AA421">
        <v>1</v>
      </c>
      <c r="AB421">
        <v>4</v>
      </c>
      <c r="AC421">
        <v>73</v>
      </c>
      <c r="AD421">
        <v>0</v>
      </c>
      <c r="AE421">
        <v>2</v>
      </c>
      <c r="AF421">
        <v>4</v>
      </c>
      <c r="AG421">
        <v>0</v>
      </c>
      <c r="AH421">
        <v>0</v>
      </c>
      <c r="AI421" s="5">
        <v>0.23599999999999999</v>
      </c>
      <c r="AJ421" s="5">
        <v>0.32500000000000001</v>
      </c>
      <c r="AK421" s="5">
        <v>0.47399999999999998</v>
      </c>
      <c r="AL421" s="5">
        <v>0.26100000000000001</v>
      </c>
      <c r="AM421" s="5">
        <v>0.28699999999999998</v>
      </c>
      <c r="AN421">
        <v>-0.3</v>
      </c>
      <c r="AO421">
        <v>1.29</v>
      </c>
      <c r="AP421">
        <v>7</v>
      </c>
      <c r="AQ421">
        <v>0.25</v>
      </c>
      <c r="AR421">
        <v>-5.0999999999999996</v>
      </c>
      <c r="AS421" t="s">
        <v>1827</v>
      </c>
      <c r="AT421">
        <v>0.3</v>
      </c>
      <c r="AU421">
        <v>8.3000000000000007</v>
      </c>
      <c r="AV421">
        <v>6</v>
      </c>
      <c r="AW421">
        <v>24</v>
      </c>
      <c r="AX421">
        <v>15</v>
      </c>
      <c r="AY421">
        <v>23</v>
      </c>
      <c r="AZ421" t="s">
        <v>4033</v>
      </c>
      <c r="BA421">
        <v>50</v>
      </c>
      <c r="BB421" t="s">
        <v>36</v>
      </c>
      <c r="BC421" t="s">
        <v>35</v>
      </c>
      <c r="BD421" s="4">
        <f>HYPERLINK("http://mlb.mlb.com/team/player.jsp?player_id=621514",621514)</f>
        <v>621514</v>
      </c>
      <c r="BE421">
        <v>652</v>
      </c>
      <c r="BF421">
        <v>1652</v>
      </c>
      <c r="BG421">
        <v>0</v>
      </c>
      <c r="BH421">
        <v>0</v>
      </c>
    </row>
    <row r="422" spans="1:60" x14ac:dyDescent="0.3">
      <c r="A422" s="4">
        <f>HYPERLINK("http://legacy.baseballprospectus.com/p/107047",107047)</f>
        <v>107047</v>
      </c>
      <c r="B422" t="s">
        <v>155</v>
      </c>
      <c r="C422" t="s">
        <v>182</v>
      </c>
      <c r="D422" s="10">
        <v>35447</v>
      </c>
      <c r="E422" t="s">
        <v>65</v>
      </c>
      <c r="F422" t="s">
        <v>9</v>
      </c>
      <c r="G422" t="s">
        <v>33</v>
      </c>
      <c r="H422">
        <v>76</v>
      </c>
      <c r="I422">
        <v>190</v>
      </c>
      <c r="J422">
        <v>2018</v>
      </c>
      <c r="K422" s="4" t="str">
        <f>HYPERLINK("http://legacy.baseballprospectus.com/fantasy/dc/index.php?tm=HOU","HOU")</f>
        <v>HOU</v>
      </c>
      <c r="L422" t="s">
        <v>95</v>
      </c>
      <c r="M422" t="s">
        <v>34</v>
      </c>
      <c r="N422">
        <v>21</v>
      </c>
      <c r="O422">
        <v>250</v>
      </c>
      <c r="P422" t="s">
        <v>1680</v>
      </c>
      <c r="Q422">
        <v>226</v>
      </c>
      <c r="R422">
        <v>32</v>
      </c>
      <c r="S422">
        <v>30</v>
      </c>
      <c r="T422">
        <v>12</v>
      </c>
      <c r="U422">
        <v>1</v>
      </c>
      <c r="V422">
        <v>10</v>
      </c>
      <c r="W422">
        <v>53</v>
      </c>
      <c r="X422">
        <v>97</v>
      </c>
      <c r="Y422">
        <v>33</v>
      </c>
      <c r="Z422">
        <v>19</v>
      </c>
      <c r="AA422">
        <v>2</v>
      </c>
      <c r="AB422">
        <v>3</v>
      </c>
      <c r="AC422">
        <v>63</v>
      </c>
      <c r="AD422">
        <v>1</v>
      </c>
      <c r="AE422">
        <v>1</v>
      </c>
      <c r="AF422">
        <v>6</v>
      </c>
      <c r="AG422">
        <v>7</v>
      </c>
      <c r="AH422">
        <v>3</v>
      </c>
      <c r="AI422" s="5">
        <v>0.23899999999999999</v>
      </c>
      <c r="AJ422" s="5">
        <v>0.30399999999999999</v>
      </c>
      <c r="AK422" s="5">
        <v>0.441</v>
      </c>
      <c r="AL422" s="5">
        <v>0.25</v>
      </c>
      <c r="AM422" s="5">
        <v>0.28199999999999997</v>
      </c>
      <c r="AN422">
        <v>0.2</v>
      </c>
      <c r="AO422">
        <v>1.82</v>
      </c>
      <c r="AP422">
        <v>7</v>
      </c>
      <c r="AQ422">
        <v>-2.73</v>
      </c>
      <c r="AR422">
        <v>-3.2</v>
      </c>
      <c r="AS422" t="s">
        <v>4678</v>
      </c>
      <c r="AT422">
        <v>0.3</v>
      </c>
      <c r="AU422">
        <v>6.3</v>
      </c>
      <c r="AV422">
        <v>9</v>
      </c>
      <c r="AW422">
        <v>19</v>
      </c>
      <c r="AX422">
        <v>4</v>
      </c>
      <c r="AY422">
        <v>14</v>
      </c>
      <c r="AZ422" t="s">
        <v>4034</v>
      </c>
      <c r="BA422">
        <v>31</v>
      </c>
      <c r="BB422" t="s">
        <v>36</v>
      </c>
      <c r="BC422" t="s">
        <v>35</v>
      </c>
      <c r="BD422" s="4">
        <f>HYPERLINK("http://mlb.mlb.com/team/player.jsp?player_id=663656",663656)</f>
        <v>663656</v>
      </c>
      <c r="BE422">
        <v>675</v>
      </c>
      <c r="BF422">
        <v>1675</v>
      </c>
      <c r="BG422">
        <v>0</v>
      </c>
      <c r="BH422">
        <v>0</v>
      </c>
    </row>
    <row r="423" spans="1:60" x14ac:dyDescent="0.3">
      <c r="A423" s="4">
        <f>HYPERLINK("http://legacy.baseballprospectus.com/p/107799",107799)</f>
        <v>107799</v>
      </c>
      <c r="B423" t="s">
        <v>4100</v>
      </c>
      <c r="C423" t="s">
        <v>247</v>
      </c>
      <c r="D423" s="10">
        <v>33791</v>
      </c>
      <c r="E423" t="s">
        <v>57</v>
      </c>
      <c r="F423" t="s">
        <v>9</v>
      </c>
      <c r="G423" t="s">
        <v>33</v>
      </c>
      <c r="H423">
        <v>72</v>
      </c>
      <c r="I423">
        <v>189</v>
      </c>
      <c r="J423">
        <v>2018</v>
      </c>
      <c r="K423" s="4" t="str">
        <f>HYPERLINK("http://legacy.baseballprospectus.com/fantasy/dc/index.php?tm=SEA","SEA")</f>
        <v>SEA</v>
      </c>
      <c r="L423" t="s">
        <v>95</v>
      </c>
      <c r="M423" t="s">
        <v>34</v>
      </c>
      <c r="N423">
        <v>25</v>
      </c>
      <c r="O423">
        <v>250</v>
      </c>
      <c r="P423" t="s">
        <v>1680</v>
      </c>
      <c r="Q423">
        <v>221</v>
      </c>
      <c r="R423">
        <v>27</v>
      </c>
      <c r="S423">
        <v>40</v>
      </c>
      <c r="T423">
        <v>11</v>
      </c>
      <c r="U423">
        <v>1</v>
      </c>
      <c r="V423">
        <v>6</v>
      </c>
      <c r="W423">
        <v>58</v>
      </c>
      <c r="X423">
        <v>89</v>
      </c>
      <c r="Y423">
        <v>28</v>
      </c>
      <c r="Z423">
        <v>25</v>
      </c>
      <c r="AA423">
        <v>2</v>
      </c>
      <c r="AB423">
        <v>2</v>
      </c>
      <c r="AC423">
        <v>36</v>
      </c>
      <c r="AD423">
        <v>1</v>
      </c>
      <c r="AE423">
        <v>1</v>
      </c>
      <c r="AF423">
        <v>7</v>
      </c>
      <c r="AG423">
        <v>1</v>
      </c>
      <c r="AH423">
        <v>0</v>
      </c>
      <c r="AI423" s="5">
        <v>0.26200000000000001</v>
      </c>
      <c r="AJ423" s="5">
        <v>0.34200000000000003</v>
      </c>
      <c r="AK423" s="5">
        <v>0.39600000000000002</v>
      </c>
      <c r="AL423" s="5">
        <v>0.254</v>
      </c>
      <c r="AM423" s="5">
        <v>0.28899999999999998</v>
      </c>
      <c r="AN423">
        <v>-0.4</v>
      </c>
      <c r="AO423">
        <v>-0.39</v>
      </c>
      <c r="AP423">
        <v>7</v>
      </c>
      <c r="AQ423">
        <v>-1.53</v>
      </c>
      <c r="AR423">
        <v>-1.6</v>
      </c>
      <c r="AS423" t="s">
        <v>4614</v>
      </c>
      <c r="AT423">
        <v>0.3</v>
      </c>
      <c r="AU423">
        <v>4.7</v>
      </c>
      <c r="AV423">
        <v>5</v>
      </c>
      <c r="AW423">
        <v>11</v>
      </c>
      <c r="AX423">
        <v>9</v>
      </c>
      <c r="AY423">
        <v>22</v>
      </c>
      <c r="AZ423" t="s">
        <v>4101</v>
      </c>
      <c r="BA423">
        <v>34</v>
      </c>
      <c r="BB423" t="s">
        <v>36</v>
      </c>
      <c r="BC423" t="s">
        <v>35</v>
      </c>
      <c r="BD423" s="4">
        <f>HYPERLINK("http://mlb.mlb.com/team/player.jsp?player_id=596107",596107)</f>
        <v>596107</v>
      </c>
      <c r="BE423">
        <v>0</v>
      </c>
      <c r="BF423">
        <v>0</v>
      </c>
      <c r="BG423">
        <v>0</v>
      </c>
      <c r="BH423">
        <v>0</v>
      </c>
    </row>
    <row r="424" spans="1:60" x14ac:dyDescent="0.3">
      <c r="A424" s="4">
        <f>HYPERLINK("http://legacy.baseballprospectus.com/p/108278",108278)</f>
        <v>108278</v>
      </c>
      <c r="B424" t="s">
        <v>532</v>
      </c>
      <c r="C424" t="s">
        <v>208</v>
      </c>
      <c r="D424" s="10">
        <v>34617</v>
      </c>
      <c r="E424" t="s">
        <v>54</v>
      </c>
      <c r="F424" t="s">
        <v>33</v>
      </c>
      <c r="G424" t="s">
        <v>33</v>
      </c>
      <c r="H424">
        <v>75</v>
      </c>
      <c r="I424">
        <v>215</v>
      </c>
      <c r="J424">
        <v>2018</v>
      </c>
      <c r="K424" s="4" t="str">
        <f>HYPERLINK("http://legacy.baseballprospectus.com/fantasy/dc/index.php?tm=OAK","OAK")</f>
        <v>OAK</v>
      </c>
      <c r="L424" t="s">
        <v>95</v>
      </c>
      <c r="M424" t="s">
        <v>34</v>
      </c>
      <c r="N424">
        <v>23</v>
      </c>
      <c r="O424">
        <v>250</v>
      </c>
      <c r="P424" t="s">
        <v>1680</v>
      </c>
      <c r="Q424">
        <v>227</v>
      </c>
      <c r="R424">
        <v>27</v>
      </c>
      <c r="S424">
        <v>32</v>
      </c>
      <c r="T424">
        <v>11</v>
      </c>
      <c r="U424">
        <v>1</v>
      </c>
      <c r="V424">
        <v>10</v>
      </c>
      <c r="W424">
        <v>54</v>
      </c>
      <c r="X424">
        <v>97</v>
      </c>
      <c r="Y424">
        <v>33</v>
      </c>
      <c r="Z424">
        <v>19</v>
      </c>
      <c r="AA424">
        <v>1</v>
      </c>
      <c r="AB424">
        <v>1</v>
      </c>
      <c r="AC424">
        <v>55</v>
      </c>
      <c r="AD424">
        <v>1</v>
      </c>
      <c r="AE424">
        <v>2</v>
      </c>
      <c r="AF424">
        <v>8</v>
      </c>
      <c r="AG424">
        <v>0</v>
      </c>
      <c r="AH424">
        <v>0</v>
      </c>
      <c r="AI424" s="5">
        <v>0.23300000000000001</v>
      </c>
      <c r="AJ424" s="5">
        <v>0.29599999999999999</v>
      </c>
      <c r="AK424" s="5">
        <v>0.41299999999999998</v>
      </c>
      <c r="AL424" s="5">
        <v>0.23599999999999999</v>
      </c>
      <c r="AM424" s="5">
        <v>0.26400000000000001</v>
      </c>
      <c r="AN424">
        <v>-0.4</v>
      </c>
      <c r="AO424">
        <v>5.35</v>
      </c>
      <c r="AP424">
        <v>7</v>
      </c>
      <c r="AQ424">
        <v>-6.27</v>
      </c>
      <c r="AR424">
        <v>-2.9</v>
      </c>
      <c r="AS424" t="s">
        <v>1746</v>
      </c>
      <c r="AT424">
        <v>0.3</v>
      </c>
      <c r="AU424">
        <v>5.7</v>
      </c>
      <c r="AV424">
        <v>4</v>
      </c>
      <c r="AW424">
        <v>25</v>
      </c>
      <c r="AX424">
        <v>4</v>
      </c>
      <c r="AY424">
        <v>23</v>
      </c>
      <c r="AZ424" t="s">
        <v>4102</v>
      </c>
      <c r="BA424">
        <v>37</v>
      </c>
      <c r="BB424" t="s">
        <v>36</v>
      </c>
      <c r="BC424" t="s">
        <v>35</v>
      </c>
      <c r="BD424" s="4">
        <f>HYPERLINK("http://mlb.mlb.com/team/player.jsp?player_id=669221",669221)</f>
        <v>669221</v>
      </c>
      <c r="BE424">
        <v>0</v>
      </c>
      <c r="BF424">
        <v>0</v>
      </c>
      <c r="BG424">
        <v>0</v>
      </c>
      <c r="BH424">
        <v>0</v>
      </c>
    </row>
    <row r="425" spans="1:60" x14ac:dyDescent="0.3">
      <c r="A425" s="4">
        <f>HYPERLINK("http://legacy.baseballprospectus.com/p/108343",108343)</f>
        <v>108343</v>
      </c>
      <c r="B425" t="s">
        <v>4038</v>
      </c>
      <c r="C425" t="s">
        <v>4039</v>
      </c>
      <c r="D425" s="10">
        <v>36118</v>
      </c>
      <c r="E425" t="s">
        <v>65</v>
      </c>
      <c r="F425" t="s">
        <v>33</v>
      </c>
      <c r="G425" t="s">
        <v>33</v>
      </c>
      <c r="H425">
        <v>74</v>
      </c>
      <c r="I425">
        <v>185</v>
      </c>
      <c r="J425">
        <v>2018</v>
      </c>
      <c r="K425" s="4" t="str">
        <f>HYPERLINK("http://legacy.baseballprospectus.com/fantasy/dc/index.php?tm=ATL","ATL")</f>
        <v>ATL</v>
      </c>
      <c r="L425" t="s">
        <v>100</v>
      </c>
      <c r="M425" t="s">
        <v>34</v>
      </c>
      <c r="N425">
        <v>19</v>
      </c>
      <c r="O425">
        <v>250</v>
      </c>
      <c r="P425" t="s">
        <v>1680</v>
      </c>
      <c r="Q425">
        <v>232</v>
      </c>
      <c r="R425">
        <v>25</v>
      </c>
      <c r="S425">
        <v>38</v>
      </c>
      <c r="T425">
        <v>8</v>
      </c>
      <c r="U425">
        <v>2</v>
      </c>
      <c r="V425">
        <v>4</v>
      </c>
      <c r="W425">
        <v>52</v>
      </c>
      <c r="X425">
        <v>76</v>
      </c>
      <c r="Y425">
        <v>23</v>
      </c>
      <c r="Z425">
        <v>15</v>
      </c>
      <c r="AA425">
        <v>1</v>
      </c>
      <c r="AB425">
        <v>1</v>
      </c>
      <c r="AC425">
        <v>69</v>
      </c>
      <c r="AD425">
        <v>1</v>
      </c>
      <c r="AE425">
        <v>1</v>
      </c>
      <c r="AF425">
        <v>5</v>
      </c>
      <c r="AG425">
        <v>7</v>
      </c>
      <c r="AH425">
        <v>3</v>
      </c>
      <c r="AI425" s="5">
        <v>0.22700000000000001</v>
      </c>
      <c r="AJ425" s="5">
        <v>0.27600000000000002</v>
      </c>
      <c r="AK425" s="5">
        <v>0.33600000000000002</v>
      </c>
      <c r="AL425" s="5">
        <v>0.20899999999999999</v>
      </c>
      <c r="AM425" s="5">
        <v>0.3</v>
      </c>
      <c r="AN425">
        <v>0.3</v>
      </c>
      <c r="AO425">
        <v>3.2</v>
      </c>
      <c r="AP425">
        <v>7</v>
      </c>
      <c r="AQ425">
        <v>-13.36</v>
      </c>
      <c r="AR425">
        <v>5.8</v>
      </c>
      <c r="AS425" t="s">
        <v>1854</v>
      </c>
      <c r="AT425">
        <v>0.3</v>
      </c>
      <c r="AU425">
        <v>-2.8</v>
      </c>
      <c r="AV425">
        <v>0</v>
      </c>
      <c r="AW425">
        <v>9</v>
      </c>
      <c r="AX425">
        <v>2</v>
      </c>
      <c r="AY425">
        <v>6</v>
      </c>
      <c r="AZ425" t="s">
        <v>4040</v>
      </c>
      <c r="BA425">
        <v>15</v>
      </c>
      <c r="BB425" t="s">
        <v>36</v>
      </c>
      <c r="BC425" t="s">
        <v>35</v>
      </c>
      <c r="BD425" s="4">
        <f>HYPERLINK("http://mlb.mlb.com/team/player.jsp?player_id=665506",665506)</f>
        <v>665506</v>
      </c>
      <c r="BE425">
        <v>0</v>
      </c>
      <c r="BF425">
        <v>0</v>
      </c>
      <c r="BG425">
        <v>0</v>
      </c>
      <c r="BH425">
        <v>0</v>
      </c>
    </row>
    <row r="426" spans="1:60" x14ac:dyDescent="0.3">
      <c r="A426" s="4">
        <f>HYPERLINK("http://legacy.baseballprospectus.com/p/108445",108445)</f>
        <v>108445</v>
      </c>
      <c r="B426" t="s">
        <v>588</v>
      </c>
      <c r="C426" t="s">
        <v>258</v>
      </c>
      <c r="D426" s="10">
        <v>34751</v>
      </c>
      <c r="E426" t="s">
        <v>59</v>
      </c>
      <c r="F426" t="s">
        <v>9</v>
      </c>
      <c r="G426" t="s">
        <v>9</v>
      </c>
      <c r="H426">
        <v>69</v>
      </c>
      <c r="I426">
        <v>185</v>
      </c>
      <c r="J426">
        <v>2018</v>
      </c>
      <c r="K426" s="4" t="str">
        <f>HYPERLINK("http://legacy.baseballprospectus.com/fantasy/dc/index.php?tm=OAK","OAK")</f>
        <v>OAK</v>
      </c>
      <c r="L426" t="s">
        <v>95</v>
      </c>
      <c r="M426" t="s">
        <v>34</v>
      </c>
      <c r="N426">
        <v>23</v>
      </c>
      <c r="O426">
        <v>250</v>
      </c>
      <c r="P426" t="s">
        <v>1680</v>
      </c>
      <c r="Q426">
        <v>219</v>
      </c>
      <c r="R426">
        <v>26</v>
      </c>
      <c r="S426">
        <v>33</v>
      </c>
      <c r="T426">
        <v>10</v>
      </c>
      <c r="U426">
        <v>1</v>
      </c>
      <c r="V426">
        <v>7</v>
      </c>
      <c r="W426">
        <v>51</v>
      </c>
      <c r="X426">
        <v>84</v>
      </c>
      <c r="Y426">
        <v>29</v>
      </c>
      <c r="Z426">
        <v>27</v>
      </c>
      <c r="AA426">
        <v>1</v>
      </c>
      <c r="AB426">
        <v>2</v>
      </c>
      <c r="AC426">
        <v>70</v>
      </c>
      <c r="AD426">
        <v>1</v>
      </c>
      <c r="AE426">
        <v>2</v>
      </c>
      <c r="AF426">
        <v>5</v>
      </c>
      <c r="AG426">
        <v>1</v>
      </c>
      <c r="AH426">
        <v>0</v>
      </c>
      <c r="AI426" s="5">
        <v>0.23499999999999999</v>
      </c>
      <c r="AJ426" s="5">
        <v>0.32400000000000001</v>
      </c>
      <c r="AK426" s="5">
        <v>0.38400000000000001</v>
      </c>
      <c r="AL426" s="5">
        <v>0.24199999999999999</v>
      </c>
      <c r="AM426" s="5">
        <v>0.31</v>
      </c>
      <c r="AN426">
        <v>-0.3</v>
      </c>
      <c r="AO426">
        <v>1.42</v>
      </c>
      <c r="AP426">
        <v>7</v>
      </c>
      <c r="AQ426">
        <v>-4.6900000000000004</v>
      </c>
      <c r="AR426">
        <v>-0.5</v>
      </c>
      <c r="AS426" t="s">
        <v>4042</v>
      </c>
      <c r="AT426">
        <v>0.3</v>
      </c>
      <c r="AU426">
        <v>3.4</v>
      </c>
      <c r="AV426">
        <v>0</v>
      </c>
      <c r="AW426">
        <v>9</v>
      </c>
      <c r="AX426">
        <v>4</v>
      </c>
      <c r="AY426">
        <v>8</v>
      </c>
      <c r="AZ426" t="s">
        <v>4043</v>
      </c>
      <c r="BA426">
        <v>19</v>
      </c>
      <c r="BB426" t="s">
        <v>36</v>
      </c>
      <c r="BC426" t="s">
        <v>35</v>
      </c>
      <c r="BD426" s="4">
        <f>HYPERLINK("http://mlb.mlb.com/team/player.jsp?player_id=669262",669262)</f>
        <v>669262</v>
      </c>
      <c r="BE426">
        <v>0</v>
      </c>
      <c r="BF426">
        <v>0</v>
      </c>
      <c r="BG426">
        <v>0</v>
      </c>
      <c r="BH426">
        <v>0</v>
      </c>
    </row>
    <row r="427" spans="1:60" x14ac:dyDescent="0.3">
      <c r="A427" s="4">
        <f>HYPERLINK("http://legacy.baseballprospectus.com/p/110363",110363)</f>
        <v>110363</v>
      </c>
      <c r="B427" t="s">
        <v>516</v>
      </c>
      <c r="C427" t="s">
        <v>173</v>
      </c>
      <c r="D427" s="10">
        <v>34931</v>
      </c>
      <c r="E427" t="s">
        <v>65</v>
      </c>
      <c r="F427" t="s">
        <v>9</v>
      </c>
      <c r="G427" t="s">
        <v>33</v>
      </c>
      <c r="H427">
        <v>73</v>
      </c>
      <c r="I427">
        <v>186</v>
      </c>
      <c r="J427">
        <v>2018</v>
      </c>
      <c r="K427" s="4" t="str">
        <f>HYPERLINK("http://legacy.baseballprospectus.com/fantasy/dc/index.php?tm=MIA","MIA")</f>
        <v>MIA</v>
      </c>
      <c r="L427" t="s">
        <v>100</v>
      </c>
      <c r="M427" t="s">
        <v>34</v>
      </c>
      <c r="N427">
        <v>22</v>
      </c>
      <c r="O427">
        <v>250</v>
      </c>
      <c r="P427" t="s">
        <v>1680</v>
      </c>
      <c r="Q427">
        <v>227</v>
      </c>
      <c r="R427">
        <v>31</v>
      </c>
      <c r="S427">
        <v>38</v>
      </c>
      <c r="T427">
        <v>11</v>
      </c>
      <c r="U427">
        <v>1</v>
      </c>
      <c r="V427">
        <v>5</v>
      </c>
      <c r="W427">
        <v>55</v>
      </c>
      <c r="X427">
        <v>83</v>
      </c>
      <c r="Y427">
        <v>21</v>
      </c>
      <c r="Z427">
        <v>20</v>
      </c>
      <c r="AA427">
        <v>1</v>
      </c>
      <c r="AB427">
        <v>1</v>
      </c>
      <c r="AC427">
        <v>55</v>
      </c>
      <c r="AD427">
        <v>1</v>
      </c>
      <c r="AE427">
        <v>1</v>
      </c>
      <c r="AF427">
        <v>6</v>
      </c>
      <c r="AG427">
        <v>10</v>
      </c>
      <c r="AH427">
        <v>3</v>
      </c>
      <c r="AI427" s="5">
        <v>0.23899999999999999</v>
      </c>
      <c r="AJ427" s="5">
        <v>0.30199999999999999</v>
      </c>
      <c r="AK427" s="5">
        <v>0.35399999999999998</v>
      </c>
      <c r="AL427" s="5">
        <v>0.22500000000000001</v>
      </c>
      <c r="AM427" s="5">
        <v>0.29399999999999998</v>
      </c>
      <c r="AN427">
        <v>0.6</v>
      </c>
      <c r="AO427">
        <v>2.1800000000000002</v>
      </c>
      <c r="AP427">
        <v>7</v>
      </c>
      <c r="AQ427">
        <v>-9.3000000000000007</v>
      </c>
      <c r="AR427">
        <v>2.1</v>
      </c>
      <c r="AS427" t="s">
        <v>1862</v>
      </c>
      <c r="AT427">
        <v>0.3</v>
      </c>
      <c r="AU427">
        <v>0.5</v>
      </c>
      <c r="AV427">
        <v>1</v>
      </c>
      <c r="AW427">
        <v>13</v>
      </c>
      <c r="AX427">
        <v>4</v>
      </c>
      <c r="AY427">
        <v>13</v>
      </c>
      <c r="AZ427" t="s">
        <v>4106</v>
      </c>
      <c r="BA427">
        <v>23</v>
      </c>
      <c r="BB427" t="s">
        <v>36</v>
      </c>
      <c r="BC427" t="s">
        <v>35</v>
      </c>
      <c r="BD427" s="4">
        <f>HYPERLINK("http://mlb.mlb.com/team/player.jsp?player_id=675649",675649)</f>
        <v>675649</v>
      </c>
      <c r="BE427">
        <v>1690</v>
      </c>
      <c r="BF427">
        <v>690</v>
      </c>
      <c r="BG427">
        <v>0</v>
      </c>
      <c r="BH427">
        <v>0</v>
      </c>
    </row>
    <row r="428" spans="1:60" x14ac:dyDescent="0.3">
      <c r="A428" s="4">
        <f>HYPERLINK("http://legacy.baseballprospectus.com/p/58420",58420)</f>
        <v>58420</v>
      </c>
      <c r="B428" t="s">
        <v>497</v>
      </c>
      <c r="C428" t="s">
        <v>1079</v>
      </c>
      <c r="D428" s="10">
        <v>33410</v>
      </c>
      <c r="E428" t="s">
        <v>50</v>
      </c>
      <c r="F428" t="s">
        <v>33</v>
      </c>
      <c r="G428" t="s">
        <v>33</v>
      </c>
      <c r="H428">
        <v>73</v>
      </c>
      <c r="I428">
        <v>220</v>
      </c>
      <c r="J428">
        <v>2018</v>
      </c>
      <c r="K428" s="4" t="str">
        <f>HYPERLINK("http://legacy.baseballprospectus.com/fantasy/dc/index.php?tm=ANA","ANA")</f>
        <v>ANA</v>
      </c>
      <c r="L428" t="s">
        <v>95</v>
      </c>
      <c r="M428" t="s">
        <v>34</v>
      </c>
      <c r="N428">
        <v>27</v>
      </c>
      <c r="O428">
        <v>200</v>
      </c>
      <c r="P428">
        <v>59</v>
      </c>
      <c r="Q428">
        <v>180</v>
      </c>
      <c r="R428">
        <v>24</v>
      </c>
      <c r="S428">
        <v>25</v>
      </c>
      <c r="T428">
        <v>9</v>
      </c>
      <c r="U428">
        <v>0</v>
      </c>
      <c r="V428">
        <v>8</v>
      </c>
      <c r="W428">
        <v>42</v>
      </c>
      <c r="X428">
        <v>75</v>
      </c>
      <c r="Y428">
        <v>26</v>
      </c>
      <c r="Z428">
        <v>15</v>
      </c>
      <c r="AA428">
        <v>1</v>
      </c>
      <c r="AB428">
        <v>3</v>
      </c>
      <c r="AC428">
        <v>42</v>
      </c>
      <c r="AD428">
        <v>0</v>
      </c>
      <c r="AE428">
        <v>1</v>
      </c>
      <c r="AF428">
        <v>5</v>
      </c>
      <c r="AG428">
        <v>2</v>
      </c>
      <c r="AH428">
        <v>1</v>
      </c>
      <c r="AI428" s="5">
        <v>0.23300000000000001</v>
      </c>
      <c r="AJ428" s="5">
        <v>0.30199999999999999</v>
      </c>
      <c r="AK428" s="5">
        <v>0.41699999999999998</v>
      </c>
      <c r="AL428" s="5">
        <v>0.25900000000000001</v>
      </c>
      <c r="AM428" s="5">
        <v>0.26400000000000001</v>
      </c>
      <c r="AN428">
        <v>-0.3</v>
      </c>
      <c r="AO428">
        <v>-1.78</v>
      </c>
      <c r="AP428">
        <v>5.37</v>
      </c>
      <c r="AQ428">
        <v>-0.14000000000000001</v>
      </c>
      <c r="AR428">
        <v>0.1</v>
      </c>
      <c r="AS428" t="s">
        <v>5032</v>
      </c>
      <c r="AT428">
        <v>0.3</v>
      </c>
      <c r="AU428">
        <v>3.2</v>
      </c>
      <c r="AV428">
        <v>3</v>
      </c>
      <c r="AW428">
        <v>33</v>
      </c>
      <c r="AX428">
        <v>12</v>
      </c>
      <c r="AY428">
        <v>21</v>
      </c>
      <c r="AZ428" t="s">
        <v>3938</v>
      </c>
      <c r="BA428">
        <v>76</v>
      </c>
      <c r="BB428" t="s">
        <v>35</v>
      </c>
      <c r="BC428" t="s">
        <v>36</v>
      </c>
      <c r="BD428" s="4">
        <f>HYPERLINK("http://mlb.mlb.com/team/player.jsp?player_id=527043",527043)</f>
        <v>527043</v>
      </c>
      <c r="BE428">
        <v>419</v>
      </c>
      <c r="BF428">
        <v>1419</v>
      </c>
      <c r="BG428">
        <v>145</v>
      </c>
      <c r="BH428">
        <v>127</v>
      </c>
    </row>
    <row r="429" spans="1:60" x14ac:dyDescent="0.3">
      <c r="A429" s="4">
        <f>HYPERLINK("http://legacy.baseballprospectus.com/p/60633",60633)</f>
        <v>60633</v>
      </c>
      <c r="B429" t="s">
        <v>532</v>
      </c>
      <c r="C429" t="s">
        <v>3924</v>
      </c>
      <c r="D429" s="10">
        <v>33371</v>
      </c>
      <c r="E429" t="s">
        <v>54</v>
      </c>
      <c r="F429" t="s">
        <v>33</v>
      </c>
      <c r="G429" t="s">
        <v>33</v>
      </c>
      <c r="H429">
        <v>71</v>
      </c>
      <c r="I429">
        <v>205</v>
      </c>
      <c r="J429">
        <v>2018</v>
      </c>
      <c r="K429" s="4" t="str">
        <f>HYPERLINK("http://legacy.baseballprospectus.com/fantasy/dc/index.php?tm=ARI","ARI")</f>
        <v>ARI</v>
      </c>
      <c r="L429" t="s">
        <v>100</v>
      </c>
      <c r="M429" t="s">
        <v>34</v>
      </c>
      <c r="N429">
        <v>27</v>
      </c>
      <c r="O429">
        <v>93</v>
      </c>
      <c r="P429">
        <v>32</v>
      </c>
      <c r="Q429">
        <v>85</v>
      </c>
      <c r="R429">
        <v>9</v>
      </c>
      <c r="S429">
        <v>13</v>
      </c>
      <c r="T429">
        <v>5</v>
      </c>
      <c r="U429">
        <v>0</v>
      </c>
      <c r="V429">
        <v>2</v>
      </c>
      <c r="W429">
        <v>20</v>
      </c>
      <c r="X429">
        <v>31</v>
      </c>
      <c r="Y429">
        <v>9</v>
      </c>
      <c r="Z429">
        <v>7</v>
      </c>
      <c r="AA429">
        <v>0</v>
      </c>
      <c r="AB429">
        <v>0</v>
      </c>
      <c r="AC429">
        <v>20</v>
      </c>
      <c r="AD429">
        <v>0</v>
      </c>
      <c r="AE429">
        <v>1</v>
      </c>
      <c r="AF429">
        <v>2</v>
      </c>
      <c r="AG429">
        <v>0</v>
      </c>
      <c r="AH429">
        <v>0</v>
      </c>
      <c r="AI429" s="5">
        <v>0.23499999999999999</v>
      </c>
      <c r="AJ429" s="5">
        <v>0.28999999999999998</v>
      </c>
      <c r="AK429" s="5">
        <v>0.36499999999999999</v>
      </c>
      <c r="AL429" s="5">
        <v>0.23200000000000001</v>
      </c>
      <c r="AM429" s="5">
        <v>0.28499999999999998</v>
      </c>
      <c r="AN429">
        <v>-0.2</v>
      </c>
      <c r="AO429">
        <v>0.71</v>
      </c>
      <c r="AP429">
        <v>2.5</v>
      </c>
      <c r="AQ429">
        <v>-2.76</v>
      </c>
      <c r="AR429">
        <v>2.4</v>
      </c>
      <c r="AS429" t="s">
        <v>1017</v>
      </c>
      <c r="AT429">
        <v>0.3</v>
      </c>
      <c r="AU429">
        <v>0.2</v>
      </c>
      <c r="AV429">
        <v>9</v>
      </c>
      <c r="AW429">
        <v>24</v>
      </c>
      <c r="AX429">
        <v>23</v>
      </c>
      <c r="AY429">
        <v>42</v>
      </c>
      <c r="AZ429" t="s">
        <v>3925</v>
      </c>
      <c r="BA429">
        <v>69</v>
      </c>
      <c r="BB429" t="s">
        <v>35</v>
      </c>
      <c r="BC429" t="s">
        <v>36</v>
      </c>
      <c r="BD429" s="4">
        <f>HYPERLINK("http://mlb.mlb.com/team/player.jsp?player_id=571974",571974)</f>
        <v>571974</v>
      </c>
      <c r="BE429">
        <v>1411</v>
      </c>
      <c r="BF429">
        <v>411</v>
      </c>
      <c r="BG429">
        <v>7</v>
      </c>
      <c r="BH429">
        <v>7</v>
      </c>
    </row>
    <row r="430" spans="1:60" x14ac:dyDescent="0.3">
      <c r="A430" s="4">
        <f>HYPERLINK("http://legacy.baseballprospectus.com/p/100182",100182)</f>
        <v>100182</v>
      </c>
      <c r="B430" t="s">
        <v>1736</v>
      </c>
      <c r="C430" t="s">
        <v>212</v>
      </c>
      <c r="D430" s="10">
        <v>33379</v>
      </c>
      <c r="E430" t="s">
        <v>59</v>
      </c>
      <c r="F430" t="s">
        <v>33</v>
      </c>
      <c r="G430" t="s">
        <v>9</v>
      </c>
      <c r="H430">
        <v>73</v>
      </c>
      <c r="I430">
        <v>185</v>
      </c>
      <c r="J430">
        <v>2018</v>
      </c>
      <c r="K430" s="4" t="str">
        <f>HYPERLINK("http://legacy.baseballprospectus.com/fantasy/dc/index.php?tm=BAL","BAL")</f>
        <v>BAL</v>
      </c>
      <c r="L430" t="s">
        <v>95</v>
      </c>
      <c r="M430" t="s">
        <v>34</v>
      </c>
      <c r="N430">
        <v>27</v>
      </c>
      <c r="O430">
        <v>198</v>
      </c>
      <c r="P430">
        <v>64</v>
      </c>
      <c r="Q430">
        <v>178</v>
      </c>
      <c r="R430">
        <v>22</v>
      </c>
      <c r="S430">
        <v>32</v>
      </c>
      <c r="T430">
        <v>9</v>
      </c>
      <c r="U430">
        <v>1</v>
      </c>
      <c r="V430">
        <v>3</v>
      </c>
      <c r="W430">
        <v>45</v>
      </c>
      <c r="X430">
        <v>65</v>
      </c>
      <c r="Y430">
        <v>19</v>
      </c>
      <c r="Z430">
        <v>16</v>
      </c>
      <c r="AA430">
        <v>1</v>
      </c>
      <c r="AB430">
        <v>2</v>
      </c>
      <c r="AC430">
        <v>40</v>
      </c>
      <c r="AD430">
        <v>1</v>
      </c>
      <c r="AE430">
        <v>1</v>
      </c>
      <c r="AF430">
        <v>4</v>
      </c>
      <c r="AG430">
        <v>5</v>
      </c>
      <c r="AH430">
        <v>1</v>
      </c>
      <c r="AI430" s="5">
        <v>0.253</v>
      </c>
      <c r="AJ430" s="5">
        <v>0.32</v>
      </c>
      <c r="AK430" s="5">
        <v>0.36499999999999999</v>
      </c>
      <c r="AL430" s="5">
        <v>0.247</v>
      </c>
      <c r="AM430" s="5">
        <v>0.314</v>
      </c>
      <c r="AN430">
        <v>0.4</v>
      </c>
      <c r="AO430">
        <v>-0.48</v>
      </c>
      <c r="AP430">
        <v>5.32</v>
      </c>
      <c r="AQ430">
        <v>-2.62</v>
      </c>
      <c r="AR430">
        <v>0.4</v>
      </c>
      <c r="AS430" t="s">
        <v>4991</v>
      </c>
      <c r="AT430">
        <v>0.3</v>
      </c>
      <c r="AU430">
        <v>2.6</v>
      </c>
      <c r="AV430">
        <v>3</v>
      </c>
      <c r="AW430">
        <v>32</v>
      </c>
      <c r="AX430">
        <v>8</v>
      </c>
      <c r="AY430">
        <v>15</v>
      </c>
      <c r="AZ430" t="s">
        <v>3840</v>
      </c>
      <c r="BA430">
        <v>75</v>
      </c>
      <c r="BB430" t="s">
        <v>35</v>
      </c>
      <c r="BC430" t="s">
        <v>36</v>
      </c>
      <c r="BD430" s="4">
        <f>HYPERLINK("http://mlb.mlb.com/team/player.jsp?player_id=572073",572073)</f>
        <v>572073</v>
      </c>
      <c r="BE430">
        <v>601</v>
      </c>
      <c r="BF430">
        <v>1601</v>
      </c>
      <c r="BG430">
        <v>277</v>
      </c>
      <c r="BH430">
        <v>261</v>
      </c>
    </row>
    <row r="431" spans="1:60" x14ac:dyDescent="0.3">
      <c r="A431" s="4">
        <f>HYPERLINK("http://legacy.baseballprospectus.com/p/50147",50147)</f>
        <v>50147</v>
      </c>
      <c r="B431" t="s">
        <v>677</v>
      </c>
      <c r="C431" t="s">
        <v>329</v>
      </c>
      <c r="D431" s="10">
        <v>30944</v>
      </c>
      <c r="E431" t="s">
        <v>50</v>
      </c>
      <c r="F431" t="s">
        <v>33</v>
      </c>
      <c r="G431" t="s">
        <v>33</v>
      </c>
      <c r="H431">
        <v>74</v>
      </c>
      <c r="I431">
        <v>210</v>
      </c>
      <c r="J431">
        <v>2018</v>
      </c>
      <c r="K431" s="4" t="str">
        <f>HYPERLINK("http://legacy.baseballprospectus.com/fantasy/dc/index.php?tm=BAL","BAL")</f>
        <v>BAL</v>
      </c>
      <c r="L431" t="s">
        <v>95</v>
      </c>
      <c r="M431" t="s">
        <v>34</v>
      </c>
      <c r="N431">
        <v>33</v>
      </c>
      <c r="O431">
        <v>130</v>
      </c>
      <c r="P431">
        <v>34</v>
      </c>
      <c r="Q431">
        <v>119</v>
      </c>
      <c r="R431">
        <v>15</v>
      </c>
      <c r="S431">
        <v>21</v>
      </c>
      <c r="T431">
        <v>6</v>
      </c>
      <c r="U431">
        <v>0</v>
      </c>
      <c r="V431">
        <v>5</v>
      </c>
      <c r="W431">
        <v>32</v>
      </c>
      <c r="X431">
        <v>53</v>
      </c>
      <c r="Y431">
        <v>17</v>
      </c>
      <c r="Z431">
        <v>9</v>
      </c>
      <c r="AA431">
        <v>0</v>
      </c>
      <c r="AB431">
        <v>1</v>
      </c>
      <c r="AC431">
        <v>29</v>
      </c>
      <c r="AD431">
        <v>0</v>
      </c>
      <c r="AE431">
        <v>1</v>
      </c>
      <c r="AF431">
        <v>4</v>
      </c>
      <c r="AG431">
        <v>1</v>
      </c>
      <c r="AH431">
        <v>0</v>
      </c>
      <c r="AI431" s="5">
        <v>0.26900000000000002</v>
      </c>
      <c r="AJ431" s="5">
        <v>0.32300000000000001</v>
      </c>
      <c r="AK431" s="5">
        <v>0.44500000000000001</v>
      </c>
      <c r="AL431" s="5">
        <v>0.26300000000000001</v>
      </c>
      <c r="AM431" s="5">
        <v>0.316</v>
      </c>
      <c r="AN431">
        <v>-0.3</v>
      </c>
      <c r="AO431">
        <v>-1.38</v>
      </c>
      <c r="AP431">
        <v>3.49</v>
      </c>
      <c r="AQ431">
        <v>0.4</v>
      </c>
      <c r="AR431">
        <v>1.1000000000000001</v>
      </c>
      <c r="AS431" t="s">
        <v>77</v>
      </c>
      <c r="AT431">
        <v>0.3</v>
      </c>
      <c r="AU431">
        <v>2.2000000000000002</v>
      </c>
      <c r="AV431">
        <v>2</v>
      </c>
      <c r="AW431">
        <v>33</v>
      </c>
      <c r="AX431">
        <v>10</v>
      </c>
      <c r="AY431">
        <v>14</v>
      </c>
      <c r="AZ431" t="s">
        <v>3651</v>
      </c>
      <c r="BA431">
        <v>93</v>
      </c>
      <c r="BB431" t="s">
        <v>35</v>
      </c>
      <c r="BC431" t="s">
        <v>36</v>
      </c>
      <c r="BD431" s="4">
        <f>HYPERLINK("http://mlb.mlb.com/team/player.jsp?player_id=502143",502143)</f>
        <v>502143</v>
      </c>
      <c r="BE431">
        <v>0</v>
      </c>
      <c r="BF431">
        <v>0</v>
      </c>
      <c r="BG431">
        <v>500</v>
      </c>
      <c r="BH431">
        <v>450</v>
      </c>
    </row>
    <row r="432" spans="1:60" x14ac:dyDescent="0.3">
      <c r="A432" s="4">
        <f>HYPERLINK("http://legacy.baseballprospectus.com/p/58012",58012)</f>
        <v>58012</v>
      </c>
      <c r="B432" t="s">
        <v>116</v>
      </c>
      <c r="C432" t="s">
        <v>117</v>
      </c>
      <c r="D432" s="10">
        <v>31875</v>
      </c>
      <c r="E432" t="s">
        <v>50</v>
      </c>
      <c r="F432" t="s">
        <v>9</v>
      </c>
      <c r="G432" t="s">
        <v>33</v>
      </c>
      <c r="H432">
        <v>73</v>
      </c>
      <c r="I432">
        <v>230</v>
      </c>
      <c r="J432">
        <v>2018</v>
      </c>
      <c r="K432" s="4" t="str">
        <f>HYPERLINK("http://legacy.baseballprospectus.com/fantasy/dc/index.php?tm=CLE","CLE")</f>
        <v>CLE</v>
      </c>
      <c r="L432" t="s">
        <v>95</v>
      </c>
      <c r="M432" t="s">
        <v>34</v>
      </c>
      <c r="N432">
        <v>31</v>
      </c>
      <c r="O432">
        <v>446</v>
      </c>
      <c r="P432">
        <v>119</v>
      </c>
      <c r="Q432">
        <v>398</v>
      </c>
      <c r="R432">
        <v>50</v>
      </c>
      <c r="S432">
        <v>71</v>
      </c>
      <c r="T432">
        <v>23</v>
      </c>
      <c r="U432">
        <v>0</v>
      </c>
      <c r="V432">
        <v>11</v>
      </c>
      <c r="W432">
        <v>105</v>
      </c>
      <c r="X432">
        <v>161</v>
      </c>
      <c r="Y432">
        <v>51</v>
      </c>
      <c r="Z432">
        <v>43</v>
      </c>
      <c r="AA432">
        <v>3</v>
      </c>
      <c r="AB432">
        <v>2</v>
      </c>
      <c r="AC432">
        <v>71</v>
      </c>
      <c r="AD432">
        <v>0</v>
      </c>
      <c r="AE432">
        <v>3</v>
      </c>
      <c r="AF432">
        <v>14</v>
      </c>
      <c r="AG432">
        <v>3</v>
      </c>
      <c r="AH432">
        <v>1</v>
      </c>
      <c r="AI432" s="5">
        <v>0.26400000000000001</v>
      </c>
      <c r="AJ432" s="5">
        <v>0.33600000000000002</v>
      </c>
      <c r="AK432" s="5">
        <v>0.40500000000000003</v>
      </c>
      <c r="AL432" s="5">
        <v>0.25700000000000001</v>
      </c>
      <c r="AM432" s="5">
        <v>0.29399999999999998</v>
      </c>
      <c r="AN432">
        <v>-0.9</v>
      </c>
      <c r="AO432">
        <v>-5.1100000000000003</v>
      </c>
      <c r="AP432">
        <v>11.97</v>
      </c>
      <c r="AQ432">
        <v>-1.18</v>
      </c>
      <c r="AR432">
        <v>-1.8</v>
      </c>
      <c r="AS432" t="s">
        <v>1023</v>
      </c>
      <c r="AT432">
        <v>0.3</v>
      </c>
      <c r="AU432">
        <v>4.7</v>
      </c>
      <c r="AV432">
        <v>2</v>
      </c>
      <c r="AW432">
        <v>38</v>
      </c>
      <c r="AX432">
        <v>3</v>
      </c>
      <c r="AY432">
        <v>12</v>
      </c>
      <c r="AZ432" t="s">
        <v>4278</v>
      </c>
      <c r="BA432">
        <v>85</v>
      </c>
      <c r="BB432" t="s">
        <v>35</v>
      </c>
      <c r="BC432" t="s">
        <v>36</v>
      </c>
      <c r="BD432" s="4">
        <f>HYPERLINK("http://mlb.mlb.com/team/player.jsp?player_id=475174",475174)</f>
        <v>475174</v>
      </c>
      <c r="BE432">
        <v>412</v>
      </c>
      <c r="BF432">
        <v>1412</v>
      </c>
      <c r="BG432">
        <v>521</v>
      </c>
      <c r="BH432">
        <v>451</v>
      </c>
    </row>
    <row r="433" spans="1:60" x14ac:dyDescent="0.3">
      <c r="A433" s="4">
        <f>HYPERLINK("http://legacy.baseballprospectus.com/p/70362",70362)</f>
        <v>70362</v>
      </c>
      <c r="B433" t="s">
        <v>1116</v>
      </c>
      <c r="C433" t="s">
        <v>258</v>
      </c>
      <c r="D433" s="10">
        <v>33352</v>
      </c>
      <c r="E433" t="s">
        <v>59</v>
      </c>
      <c r="F433" t="s">
        <v>9</v>
      </c>
      <c r="G433" t="s">
        <v>33</v>
      </c>
      <c r="H433">
        <v>74</v>
      </c>
      <c r="I433">
        <v>195</v>
      </c>
      <c r="J433">
        <v>2018</v>
      </c>
      <c r="K433" s="4" t="str">
        <f>HYPERLINK("http://legacy.baseballprospectus.com/fantasy/dc/index.php?tm=CLE","CLE")</f>
        <v>CLE</v>
      </c>
      <c r="L433" t="s">
        <v>95</v>
      </c>
      <c r="M433" t="s">
        <v>34</v>
      </c>
      <c r="N433">
        <v>27</v>
      </c>
      <c r="O433">
        <v>132</v>
      </c>
      <c r="P433">
        <v>41</v>
      </c>
      <c r="Q433">
        <v>118</v>
      </c>
      <c r="R433">
        <v>16</v>
      </c>
      <c r="S433">
        <v>20</v>
      </c>
      <c r="T433">
        <v>6</v>
      </c>
      <c r="U433">
        <v>1</v>
      </c>
      <c r="V433">
        <v>4</v>
      </c>
      <c r="W433">
        <v>31</v>
      </c>
      <c r="X433">
        <v>51</v>
      </c>
      <c r="Y433">
        <v>16</v>
      </c>
      <c r="Z433">
        <v>12</v>
      </c>
      <c r="AA433">
        <v>1</v>
      </c>
      <c r="AB433">
        <v>1</v>
      </c>
      <c r="AC433">
        <v>35</v>
      </c>
      <c r="AD433">
        <v>1</v>
      </c>
      <c r="AE433">
        <v>1</v>
      </c>
      <c r="AF433">
        <v>3</v>
      </c>
      <c r="AG433">
        <v>2</v>
      </c>
      <c r="AH433">
        <v>1</v>
      </c>
      <c r="AI433" s="5">
        <v>0.26300000000000001</v>
      </c>
      <c r="AJ433" s="5">
        <v>0.33300000000000002</v>
      </c>
      <c r="AK433" s="5">
        <v>0.432</v>
      </c>
      <c r="AL433" s="5">
        <v>0.26200000000000001</v>
      </c>
      <c r="AM433" s="5">
        <v>0.33700000000000002</v>
      </c>
      <c r="AN433">
        <v>-0.1</v>
      </c>
      <c r="AO433">
        <v>-0.04</v>
      </c>
      <c r="AP433">
        <v>3.54</v>
      </c>
      <c r="AQ433">
        <v>0.3</v>
      </c>
      <c r="AR433">
        <v>-0.6</v>
      </c>
      <c r="AS433" t="s">
        <v>4295</v>
      </c>
      <c r="AT433">
        <v>0.3</v>
      </c>
      <c r="AU433">
        <v>3.7</v>
      </c>
      <c r="AV433">
        <v>5</v>
      </c>
      <c r="AW433">
        <v>42</v>
      </c>
      <c r="AX433">
        <v>9</v>
      </c>
      <c r="AY433">
        <v>19</v>
      </c>
      <c r="AZ433" t="s">
        <v>4199</v>
      </c>
      <c r="BA433">
        <v>83</v>
      </c>
      <c r="BB433" t="s">
        <v>35</v>
      </c>
      <c r="BC433" t="s">
        <v>36</v>
      </c>
      <c r="BD433" s="4">
        <f>HYPERLINK("http://mlb.mlb.com/team/player.jsp?player_id=571980",571980)</f>
        <v>571980</v>
      </c>
      <c r="BE433">
        <v>623</v>
      </c>
      <c r="BF433">
        <v>1623</v>
      </c>
      <c r="BG433">
        <v>40</v>
      </c>
      <c r="BH433">
        <v>37</v>
      </c>
    </row>
    <row r="434" spans="1:60" x14ac:dyDescent="0.3">
      <c r="A434" s="4">
        <f>HYPERLINK("http://legacy.baseballprospectus.com/p/69615",69615)</f>
        <v>69615</v>
      </c>
      <c r="B434" t="s">
        <v>1177</v>
      </c>
      <c r="C434" t="s">
        <v>1423</v>
      </c>
      <c r="D434" s="10">
        <v>34369</v>
      </c>
      <c r="E434" t="s">
        <v>59</v>
      </c>
      <c r="F434" t="s">
        <v>9</v>
      </c>
      <c r="G434" t="s">
        <v>9</v>
      </c>
      <c r="H434">
        <v>74</v>
      </c>
      <c r="I434">
        <v>160</v>
      </c>
      <c r="J434">
        <v>2018</v>
      </c>
      <c r="K434" s="4" t="str">
        <f>HYPERLINK("http://legacy.baseballprospectus.com/fantasy/dc/index.php?tm=COL","COL")</f>
        <v>COL</v>
      </c>
      <c r="L434" t="s">
        <v>100</v>
      </c>
      <c r="M434" t="s">
        <v>34</v>
      </c>
      <c r="N434">
        <v>24</v>
      </c>
      <c r="O434">
        <v>234</v>
      </c>
      <c r="P434">
        <v>91</v>
      </c>
      <c r="Q434">
        <v>220</v>
      </c>
      <c r="R434">
        <v>26</v>
      </c>
      <c r="S434">
        <v>43</v>
      </c>
      <c r="T434">
        <v>12</v>
      </c>
      <c r="U434">
        <v>3</v>
      </c>
      <c r="V434">
        <v>5</v>
      </c>
      <c r="W434">
        <v>63</v>
      </c>
      <c r="X434">
        <v>96</v>
      </c>
      <c r="Y434">
        <v>26</v>
      </c>
      <c r="Z434">
        <v>10</v>
      </c>
      <c r="AA434">
        <v>1</v>
      </c>
      <c r="AB434">
        <v>1</v>
      </c>
      <c r="AC434">
        <v>44</v>
      </c>
      <c r="AD434">
        <v>1</v>
      </c>
      <c r="AE434">
        <v>2</v>
      </c>
      <c r="AF434">
        <v>5</v>
      </c>
      <c r="AG434">
        <v>7</v>
      </c>
      <c r="AH434">
        <v>3</v>
      </c>
      <c r="AI434" s="5">
        <v>0.28599999999999998</v>
      </c>
      <c r="AJ434" s="5">
        <v>0.318</v>
      </c>
      <c r="AK434" s="5">
        <v>0.436</v>
      </c>
      <c r="AL434" s="5">
        <v>0.246</v>
      </c>
      <c r="AM434" s="5">
        <v>0.33400000000000002</v>
      </c>
      <c r="AN434">
        <v>0.5</v>
      </c>
      <c r="AO434">
        <v>-0.59</v>
      </c>
      <c r="AP434">
        <v>6.28</v>
      </c>
      <c r="AQ434">
        <v>-3.47</v>
      </c>
      <c r="AR434">
        <v>-0.2</v>
      </c>
      <c r="AS434" t="s">
        <v>4830</v>
      </c>
      <c r="AT434">
        <v>0.3</v>
      </c>
      <c r="AU434">
        <v>2.7</v>
      </c>
      <c r="AV434">
        <v>8</v>
      </c>
      <c r="AW434">
        <v>31</v>
      </c>
      <c r="AX434">
        <v>9</v>
      </c>
      <c r="AY434">
        <v>20</v>
      </c>
      <c r="AZ434" t="s">
        <v>3948</v>
      </c>
      <c r="BA434">
        <v>58</v>
      </c>
      <c r="BB434" t="s">
        <v>35</v>
      </c>
      <c r="BC434" t="s">
        <v>36</v>
      </c>
      <c r="BD434" s="4">
        <f>HYPERLINK("http://mlb.mlb.com/team/player.jsp?player_id=606132",606132)</f>
        <v>606132</v>
      </c>
      <c r="BE434">
        <v>1622</v>
      </c>
      <c r="BF434">
        <v>622</v>
      </c>
      <c r="BG434">
        <v>171</v>
      </c>
      <c r="BH434">
        <v>160</v>
      </c>
    </row>
    <row r="435" spans="1:60" x14ac:dyDescent="0.3">
      <c r="A435" s="4">
        <f>HYPERLINK("http://legacy.baseballprospectus.com/p/60831",60831)</f>
        <v>60831</v>
      </c>
      <c r="B435" t="s">
        <v>732</v>
      </c>
      <c r="C435" t="s">
        <v>1083</v>
      </c>
      <c r="D435" s="10">
        <v>33000</v>
      </c>
      <c r="E435" t="s">
        <v>65</v>
      </c>
      <c r="F435" t="s">
        <v>33</v>
      </c>
      <c r="G435" t="s">
        <v>33</v>
      </c>
      <c r="H435">
        <v>75</v>
      </c>
      <c r="I435">
        <v>195</v>
      </c>
      <c r="J435">
        <v>2018</v>
      </c>
      <c r="K435" s="4" t="str">
        <f>HYPERLINK("http://legacy.baseballprospectus.com/fantasy/dc/index.php?tm=MIL","MIL")</f>
        <v>MIL</v>
      </c>
      <c r="L435" t="s">
        <v>100</v>
      </c>
      <c r="M435" t="s">
        <v>34</v>
      </c>
      <c r="N435">
        <v>28</v>
      </c>
      <c r="O435">
        <v>163</v>
      </c>
      <c r="P435">
        <v>68</v>
      </c>
      <c r="Q435">
        <v>143</v>
      </c>
      <c r="R435">
        <v>23</v>
      </c>
      <c r="S435">
        <v>19</v>
      </c>
      <c r="T435">
        <v>6</v>
      </c>
      <c r="U435">
        <v>2</v>
      </c>
      <c r="V435">
        <v>6</v>
      </c>
      <c r="W435">
        <v>33</v>
      </c>
      <c r="X435">
        <v>61</v>
      </c>
      <c r="Y435">
        <v>19</v>
      </c>
      <c r="Z435">
        <v>17</v>
      </c>
      <c r="AA435">
        <v>0</v>
      </c>
      <c r="AB435">
        <v>1</v>
      </c>
      <c r="AC435">
        <v>57</v>
      </c>
      <c r="AD435">
        <v>0</v>
      </c>
      <c r="AE435">
        <v>1</v>
      </c>
      <c r="AF435">
        <v>3</v>
      </c>
      <c r="AG435">
        <v>10</v>
      </c>
      <c r="AH435">
        <v>3</v>
      </c>
      <c r="AI435" s="5">
        <v>0.23100000000000001</v>
      </c>
      <c r="AJ435" s="5">
        <v>0.315</v>
      </c>
      <c r="AK435" s="5">
        <v>0.42699999999999999</v>
      </c>
      <c r="AL435" s="5">
        <v>0.25</v>
      </c>
      <c r="AM435" s="5">
        <v>0.32400000000000001</v>
      </c>
      <c r="AN435">
        <v>1.2</v>
      </c>
      <c r="AO435">
        <v>-0.6</v>
      </c>
      <c r="AP435">
        <v>4.38</v>
      </c>
      <c r="AQ435">
        <v>-1.64</v>
      </c>
      <c r="AR435">
        <v>-0.3</v>
      </c>
      <c r="AS435" t="s">
        <v>82</v>
      </c>
      <c r="AT435">
        <v>0.3</v>
      </c>
      <c r="AU435">
        <v>3.3</v>
      </c>
      <c r="AV435">
        <v>3</v>
      </c>
      <c r="AW435">
        <v>35</v>
      </c>
      <c r="AX435">
        <v>14</v>
      </c>
      <c r="AY435">
        <v>20</v>
      </c>
      <c r="AZ435" t="s">
        <v>4203</v>
      </c>
      <c r="BA435">
        <v>78</v>
      </c>
      <c r="BB435" t="s">
        <v>35</v>
      </c>
      <c r="BC435" t="s">
        <v>36</v>
      </c>
      <c r="BD435" s="4">
        <f>HYPERLINK("http://mlb.mlb.com/team/player.jsp?player_id=542979",542979)</f>
        <v>542979</v>
      </c>
      <c r="BE435">
        <v>1597</v>
      </c>
      <c r="BF435">
        <v>597</v>
      </c>
      <c r="BG435">
        <v>463</v>
      </c>
      <c r="BH435">
        <v>414</v>
      </c>
    </row>
    <row r="436" spans="1:60" x14ac:dyDescent="0.3">
      <c r="A436" s="4">
        <f>HYPERLINK("http://legacy.baseballprospectus.com/p/57552",57552)</f>
        <v>57552</v>
      </c>
      <c r="B436" t="s">
        <v>640</v>
      </c>
      <c r="C436" t="s">
        <v>247</v>
      </c>
      <c r="D436" s="10">
        <v>31554</v>
      </c>
      <c r="E436" t="s">
        <v>58</v>
      </c>
      <c r="F436" t="s">
        <v>9</v>
      </c>
      <c r="G436" t="s">
        <v>33</v>
      </c>
      <c r="H436">
        <v>69</v>
      </c>
      <c r="I436">
        <v>180</v>
      </c>
      <c r="J436">
        <v>2018</v>
      </c>
      <c r="K436" s="4" t="str">
        <f>HYPERLINK("http://legacy.baseballprospectus.com/fantasy/dc/index.php?tm=MIL","MIL")</f>
        <v>MIL</v>
      </c>
      <c r="L436" t="s">
        <v>100</v>
      </c>
      <c r="M436" t="s">
        <v>34</v>
      </c>
      <c r="N436">
        <v>32</v>
      </c>
      <c r="O436">
        <v>221</v>
      </c>
      <c r="P436">
        <v>67</v>
      </c>
      <c r="Q436">
        <v>197</v>
      </c>
      <c r="R436">
        <v>25</v>
      </c>
      <c r="S436">
        <v>37</v>
      </c>
      <c r="T436">
        <v>10</v>
      </c>
      <c r="U436">
        <v>1</v>
      </c>
      <c r="V436">
        <v>2</v>
      </c>
      <c r="W436">
        <v>50</v>
      </c>
      <c r="X436">
        <v>68</v>
      </c>
      <c r="Y436">
        <v>17</v>
      </c>
      <c r="Z436">
        <v>20</v>
      </c>
      <c r="AA436">
        <v>1</v>
      </c>
      <c r="AB436">
        <v>2</v>
      </c>
      <c r="AC436">
        <v>30</v>
      </c>
      <c r="AD436">
        <v>2</v>
      </c>
      <c r="AE436">
        <v>1</v>
      </c>
      <c r="AF436">
        <v>5</v>
      </c>
      <c r="AG436">
        <v>4</v>
      </c>
      <c r="AH436">
        <v>1</v>
      </c>
      <c r="AI436" s="5">
        <v>0.254</v>
      </c>
      <c r="AJ436" s="5">
        <v>0.32700000000000001</v>
      </c>
      <c r="AK436" s="5">
        <v>0.34499999999999997</v>
      </c>
      <c r="AL436" s="5">
        <v>0.23799999999999999</v>
      </c>
      <c r="AM436" s="5">
        <v>0.28399999999999997</v>
      </c>
      <c r="AN436">
        <v>-0.1</v>
      </c>
      <c r="AO436">
        <v>1.2</v>
      </c>
      <c r="AP436">
        <v>5.93</v>
      </c>
      <c r="AQ436">
        <v>-5.04</v>
      </c>
      <c r="AR436">
        <v>1</v>
      </c>
      <c r="AS436" t="s">
        <v>1846</v>
      </c>
      <c r="AT436">
        <v>0.3</v>
      </c>
      <c r="AU436">
        <v>2</v>
      </c>
      <c r="AV436">
        <v>2</v>
      </c>
      <c r="AW436">
        <v>31</v>
      </c>
      <c r="AX436">
        <v>7</v>
      </c>
      <c r="AY436">
        <v>14</v>
      </c>
      <c r="AZ436" t="s">
        <v>4050</v>
      </c>
      <c r="BA436">
        <v>90</v>
      </c>
      <c r="BB436" t="s">
        <v>35</v>
      </c>
      <c r="BC436" t="s">
        <v>36</v>
      </c>
      <c r="BD436" s="4">
        <f>HYPERLINK("http://mlb.mlb.com/team/player.jsp?player_id=519299",519299)</f>
        <v>519299</v>
      </c>
      <c r="BE436">
        <v>1463</v>
      </c>
      <c r="BF436">
        <v>463</v>
      </c>
      <c r="BG436">
        <v>299</v>
      </c>
      <c r="BH436">
        <v>249</v>
      </c>
    </row>
    <row r="437" spans="1:60" x14ac:dyDescent="0.3">
      <c r="A437" s="4">
        <f>HYPERLINK("http://legacy.baseballprospectus.com/p/66927",66927)</f>
        <v>66927</v>
      </c>
      <c r="B437" t="s">
        <v>136</v>
      </c>
      <c r="C437" t="s">
        <v>258</v>
      </c>
      <c r="D437" s="10">
        <v>33487</v>
      </c>
      <c r="E437" t="s">
        <v>50</v>
      </c>
      <c r="F437" t="s">
        <v>33</v>
      </c>
      <c r="G437" t="s">
        <v>33</v>
      </c>
      <c r="H437">
        <v>74</v>
      </c>
      <c r="I437">
        <v>220</v>
      </c>
      <c r="J437">
        <v>2018</v>
      </c>
      <c r="K437" s="4" t="str">
        <f>HYPERLINK("http://legacy.baseballprospectus.com/fantasy/dc/index.php?tm=NYA","NYA")</f>
        <v>NYA</v>
      </c>
      <c r="L437" t="s">
        <v>95</v>
      </c>
      <c r="M437" t="s">
        <v>34</v>
      </c>
      <c r="N437">
        <v>26</v>
      </c>
      <c r="O437">
        <v>168</v>
      </c>
      <c r="P437">
        <v>52</v>
      </c>
      <c r="Q437">
        <v>149</v>
      </c>
      <c r="R437">
        <v>21</v>
      </c>
      <c r="S437">
        <v>20</v>
      </c>
      <c r="T437">
        <v>8</v>
      </c>
      <c r="U437">
        <v>1</v>
      </c>
      <c r="V437">
        <v>7</v>
      </c>
      <c r="W437">
        <v>36</v>
      </c>
      <c r="X437">
        <v>67</v>
      </c>
      <c r="Y437">
        <v>23</v>
      </c>
      <c r="Z437">
        <v>17</v>
      </c>
      <c r="AA437">
        <v>1</v>
      </c>
      <c r="AB437">
        <v>1</v>
      </c>
      <c r="AC437">
        <v>51</v>
      </c>
      <c r="AD437">
        <v>0</v>
      </c>
      <c r="AE437">
        <v>1</v>
      </c>
      <c r="AF437">
        <v>5</v>
      </c>
      <c r="AG437">
        <v>1</v>
      </c>
      <c r="AH437">
        <v>0</v>
      </c>
      <c r="AI437" s="5">
        <v>0.24199999999999999</v>
      </c>
      <c r="AJ437" s="5">
        <v>0.32100000000000001</v>
      </c>
      <c r="AK437" s="5">
        <v>0.45</v>
      </c>
      <c r="AL437" s="5">
        <v>0.26200000000000001</v>
      </c>
      <c r="AM437" s="5">
        <v>0.309</v>
      </c>
      <c r="AN437">
        <v>-0.1</v>
      </c>
      <c r="AO437">
        <v>-1.87</v>
      </c>
      <c r="AP437">
        <v>4.51</v>
      </c>
      <c r="AQ437">
        <v>0.4</v>
      </c>
      <c r="AR437">
        <v>-0.1</v>
      </c>
      <c r="AS437" t="s">
        <v>1004</v>
      </c>
      <c r="AT437">
        <v>0.3</v>
      </c>
      <c r="AU437">
        <v>2.9</v>
      </c>
      <c r="AV437">
        <v>3</v>
      </c>
      <c r="AW437">
        <v>21</v>
      </c>
      <c r="AX437">
        <v>13</v>
      </c>
      <c r="AY437">
        <v>35</v>
      </c>
      <c r="AZ437" t="s">
        <v>4208</v>
      </c>
      <c r="BA437">
        <v>64</v>
      </c>
      <c r="BB437" t="s">
        <v>35</v>
      </c>
      <c r="BC437" t="s">
        <v>35</v>
      </c>
      <c r="BD437" s="4">
        <f>HYPERLINK("http://mlb.mlb.com/team/player.jsp?player_id=592122",592122)</f>
        <v>592122</v>
      </c>
      <c r="BE437">
        <v>422</v>
      </c>
      <c r="BF437">
        <v>1422</v>
      </c>
      <c r="BG437">
        <v>46</v>
      </c>
      <c r="BH437">
        <v>40</v>
      </c>
    </row>
    <row r="438" spans="1:60" x14ac:dyDescent="0.3">
      <c r="A438" s="4">
        <f>HYPERLINK("http://legacy.baseballprospectus.com/p/66883",66883)</f>
        <v>66883</v>
      </c>
      <c r="B438" t="s">
        <v>1388</v>
      </c>
      <c r="C438" t="s">
        <v>714</v>
      </c>
      <c r="D438" s="10">
        <v>33849</v>
      </c>
      <c r="E438" t="s">
        <v>51</v>
      </c>
      <c r="F438" t="s">
        <v>33</v>
      </c>
      <c r="G438" t="s">
        <v>33</v>
      </c>
      <c r="H438">
        <v>68</v>
      </c>
      <c r="I438">
        <v>151</v>
      </c>
      <c r="J438">
        <v>2018</v>
      </c>
      <c r="K438" s="4" t="str">
        <f>HYPERLINK("http://legacy.baseballprospectus.com/fantasy/dc/index.php?tm=NYA","NYA")</f>
        <v>NYA</v>
      </c>
      <c r="L438" t="s">
        <v>95</v>
      </c>
      <c r="M438" t="s">
        <v>34</v>
      </c>
      <c r="N438">
        <v>25</v>
      </c>
      <c r="O438">
        <v>152</v>
      </c>
      <c r="P438">
        <v>51</v>
      </c>
      <c r="Q438">
        <v>141</v>
      </c>
      <c r="R438">
        <v>15</v>
      </c>
      <c r="S438">
        <v>27</v>
      </c>
      <c r="T438">
        <v>7</v>
      </c>
      <c r="U438">
        <v>1</v>
      </c>
      <c r="V438">
        <v>2</v>
      </c>
      <c r="W438">
        <v>37</v>
      </c>
      <c r="X438">
        <v>52</v>
      </c>
      <c r="Y438">
        <v>14</v>
      </c>
      <c r="Z438">
        <v>8</v>
      </c>
      <c r="AA438">
        <v>0</v>
      </c>
      <c r="AB438">
        <v>1</v>
      </c>
      <c r="AC438">
        <v>20</v>
      </c>
      <c r="AD438">
        <v>2</v>
      </c>
      <c r="AE438">
        <v>1</v>
      </c>
      <c r="AF438">
        <v>4</v>
      </c>
      <c r="AG438">
        <v>1</v>
      </c>
      <c r="AH438">
        <v>0</v>
      </c>
      <c r="AI438" s="5">
        <v>0.26200000000000001</v>
      </c>
      <c r="AJ438" s="5">
        <v>0.30499999999999999</v>
      </c>
      <c r="AK438" s="5">
        <v>0.36899999999999999</v>
      </c>
      <c r="AL438" s="5">
        <v>0.24</v>
      </c>
      <c r="AM438" s="5">
        <v>0.28899999999999998</v>
      </c>
      <c r="AN438">
        <v>-0.1</v>
      </c>
      <c r="AO438">
        <v>0.57999999999999996</v>
      </c>
      <c r="AP438">
        <v>4.08</v>
      </c>
      <c r="AQ438">
        <v>-3.17</v>
      </c>
      <c r="AR438">
        <v>1.1000000000000001</v>
      </c>
      <c r="AS438" t="s">
        <v>5002</v>
      </c>
      <c r="AT438">
        <v>0.3</v>
      </c>
      <c r="AU438">
        <v>1.4</v>
      </c>
      <c r="AV438">
        <v>5</v>
      </c>
      <c r="AW438">
        <v>50</v>
      </c>
      <c r="AX438">
        <v>9</v>
      </c>
      <c r="AY438">
        <v>26</v>
      </c>
      <c r="AZ438" t="s">
        <v>3847</v>
      </c>
      <c r="BA438">
        <v>94</v>
      </c>
      <c r="BB438" t="s">
        <v>35</v>
      </c>
      <c r="BC438" t="s">
        <v>36</v>
      </c>
      <c r="BD438" s="4">
        <f>HYPERLINK("http://mlb.mlb.com/team/player.jsp?player_id=591720",591720)</f>
        <v>591720</v>
      </c>
      <c r="BE438">
        <v>511</v>
      </c>
      <c r="BF438">
        <v>1511</v>
      </c>
      <c r="BG438">
        <v>336</v>
      </c>
      <c r="BH438">
        <v>315</v>
      </c>
    </row>
    <row r="439" spans="1:60" x14ac:dyDescent="0.3">
      <c r="A439" s="4">
        <f>HYPERLINK("http://legacy.baseballprospectus.com/p/66950",66950)</f>
        <v>66950</v>
      </c>
      <c r="B439" t="s">
        <v>1361</v>
      </c>
      <c r="C439" t="s">
        <v>227</v>
      </c>
      <c r="D439" s="10">
        <v>32554</v>
      </c>
      <c r="E439" t="s">
        <v>50</v>
      </c>
      <c r="F439" t="s">
        <v>33</v>
      </c>
      <c r="G439" t="s">
        <v>33</v>
      </c>
      <c r="H439">
        <v>74</v>
      </c>
      <c r="I439">
        <v>210</v>
      </c>
      <c r="J439">
        <v>2018</v>
      </c>
      <c r="K439" s="4" t="str">
        <f>HYPERLINK("http://legacy.baseballprospectus.com/fantasy/dc/index.php?tm=OAK","OAK")</f>
        <v>OAK</v>
      </c>
      <c r="L439" t="s">
        <v>95</v>
      </c>
      <c r="M439" t="s">
        <v>34</v>
      </c>
      <c r="N439">
        <v>29</v>
      </c>
      <c r="O439">
        <v>171</v>
      </c>
      <c r="P439">
        <v>46</v>
      </c>
      <c r="Q439">
        <v>154</v>
      </c>
      <c r="R439">
        <v>20</v>
      </c>
      <c r="S439">
        <v>21</v>
      </c>
      <c r="T439">
        <v>9</v>
      </c>
      <c r="U439">
        <v>1</v>
      </c>
      <c r="V439">
        <v>6</v>
      </c>
      <c r="W439">
        <v>37</v>
      </c>
      <c r="X439">
        <v>66</v>
      </c>
      <c r="Y439">
        <v>22</v>
      </c>
      <c r="Z439">
        <v>12</v>
      </c>
      <c r="AA439">
        <v>0</v>
      </c>
      <c r="AB439">
        <v>3</v>
      </c>
      <c r="AC439">
        <v>41</v>
      </c>
      <c r="AD439">
        <v>0</v>
      </c>
      <c r="AE439">
        <v>1</v>
      </c>
      <c r="AF439">
        <v>4</v>
      </c>
      <c r="AG439">
        <v>2</v>
      </c>
      <c r="AH439">
        <v>0</v>
      </c>
      <c r="AI439" s="5">
        <v>0.24</v>
      </c>
      <c r="AJ439" s="5">
        <v>0.30599999999999999</v>
      </c>
      <c r="AK439" s="5">
        <v>0.42899999999999999</v>
      </c>
      <c r="AL439" s="5">
        <v>0.25600000000000001</v>
      </c>
      <c r="AM439" s="5">
        <v>0.28499999999999998</v>
      </c>
      <c r="AN439">
        <v>0</v>
      </c>
      <c r="AO439">
        <v>-1.52</v>
      </c>
      <c r="AP439">
        <v>4.59</v>
      </c>
      <c r="AQ439">
        <v>-0.75</v>
      </c>
      <c r="AR439">
        <v>0.6</v>
      </c>
      <c r="AS439" t="s">
        <v>4236</v>
      </c>
      <c r="AT439">
        <v>0.3</v>
      </c>
      <c r="AU439">
        <v>2.2999999999999998</v>
      </c>
      <c r="AV439">
        <v>4</v>
      </c>
      <c r="AW439">
        <v>35</v>
      </c>
      <c r="AX439">
        <v>6</v>
      </c>
      <c r="AY439">
        <v>11</v>
      </c>
      <c r="AZ439" t="s">
        <v>4211</v>
      </c>
      <c r="BA439">
        <v>83</v>
      </c>
      <c r="BB439" t="s">
        <v>35</v>
      </c>
      <c r="BC439" t="s">
        <v>36</v>
      </c>
      <c r="BD439" s="4">
        <f>HYPERLINK("http://mlb.mlb.com/team/player.jsp?player_id=592192",592192)</f>
        <v>592192</v>
      </c>
      <c r="BE439">
        <v>607</v>
      </c>
      <c r="BF439">
        <v>1607</v>
      </c>
      <c r="BG439">
        <v>187</v>
      </c>
      <c r="BH439">
        <v>173</v>
      </c>
    </row>
    <row r="440" spans="1:60" x14ac:dyDescent="0.3">
      <c r="A440" s="4">
        <f>HYPERLINK("http://legacy.baseballprospectus.com/p/51110",51110)</f>
        <v>51110</v>
      </c>
      <c r="B440" t="s">
        <v>352</v>
      </c>
      <c r="C440" t="s">
        <v>103</v>
      </c>
      <c r="D440" s="10">
        <v>30434</v>
      </c>
      <c r="E440" t="s">
        <v>51</v>
      </c>
      <c r="F440" t="s">
        <v>33</v>
      </c>
      <c r="G440" t="s">
        <v>33</v>
      </c>
      <c r="H440">
        <v>74</v>
      </c>
      <c r="I440">
        <v>220</v>
      </c>
      <c r="J440">
        <v>2018</v>
      </c>
      <c r="K440" s="4" t="str">
        <f>HYPERLINK("http://legacy.baseballprospectus.com/fantasy/dc/index.php?tm=PIT","PIT")</f>
        <v>PIT</v>
      </c>
      <c r="L440" t="s">
        <v>100</v>
      </c>
      <c r="M440" t="s">
        <v>34</v>
      </c>
      <c r="N440">
        <v>35</v>
      </c>
      <c r="O440">
        <v>229</v>
      </c>
      <c r="P440">
        <v>100</v>
      </c>
      <c r="Q440">
        <v>204</v>
      </c>
      <c r="R440">
        <v>24</v>
      </c>
      <c r="S440">
        <v>36</v>
      </c>
      <c r="T440">
        <v>10</v>
      </c>
      <c r="U440">
        <v>0</v>
      </c>
      <c r="V440">
        <v>5</v>
      </c>
      <c r="W440">
        <v>51</v>
      </c>
      <c r="X440">
        <v>76</v>
      </c>
      <c r="Y440">
        <v>24</v>
      </c>
      <c r="Z440">
        <v>20</v>
      </c>
      <c r="AA440">
        <v>0</v>
      </c>
      <c r="AB440">
        <v>4</v>
      </c>
      <c r="AC440">
        <v>55</v>
      </c>
      <c r="AD440">
        <v>0</v>
      </c>
      <c r="AE440">
        <v>1</v>
      </c>
      <c r="AF440">
        <v>8</v>
      </c>
      <c r="AG440">
        <v>0</v>
      </c>
      <c r="AH440">
        <v>0</v>
      </c>
      <c r="AI440" s="5">
        <v>0.25</v>
      </c>
      <c r="AJ440" s="5">
        <v>0.32800000000000001</v>
      </c>
      <c r="AK440" s="5">
        <v>0.373</v>
      </c>
      <c r="AL440" s="5">
        <v>0.251</v>
      </c>
      <c r="AM440" s="5">
        <v>0.316</v>
      </c>
      <c r="AN440">
        <v>-0.6</v>
      </c>
      <c r="AO440">
        <v>-0.75</v>
      </c>
      <c r="AP440">
        <v>6.15</v>
      </c>
      <c r="AQ440">
        <v>-2.2799999999999998</v>
      </c>
      <c r="AR440">
        <v>0.8</v>
      </c>
      <c r="AS440" t="s">
        <v>52</v>
      </c>
      <c r="AT440">
        <v>0.3</v>
      </c>
      <c r="AU440">
        <v>2.5</v>
      </c>
      <c r="AV440">
        <v>0</v>
      </c>
      <c r="AW440">
        <v>22</v>
      </c>
      <c r="AX440">
        <v>16</v>
      </c>
      <c r="AY440">
        <v>21</v>
      </c>
      <c r="AZ440" t="s">
        <v>3835</v>
      </c>
      <c r="BA440">
        <v>78</v>
      </c>
      <c r="BB440" t="s">
        <v>35</v>
      </c>
      <c r="BC440" t="s">
        <v>36</v>
      </c>
      <c r="BD440" s="4">
        <f>HYPERLINK("http://mlb.mlb.com/team/player.jsp?player_id=501896",501896)</f>
        <v>501896</v>
      </c>
      <c r="BE440">
        <v>1494</v>
      </c>
      <c r="BF440">
        <v>494</v>
      </c>
      <c r="BG440">
        <v>503</v>
      </c>
      <c r="BH440">
        <v>426</v>
      </c>
    </row>
    <row r="441" spans="1:60" x14ac:dyDescent="0.3">
      <c r="A441" s="4">
        <f>HYPERLINK("http://legacy.baseballprospectus.com/p/65961",65961)</f>
        <v>65961</v>
      </c>
      <c r="B441" t="s">
        <v>299</v>
      </c>
      <c r="C441" t="s">
        <v>141</v>
      </c>
      <c r="D441" s="10">
        <v>33019</v>
      </c>
      <c r="E441" t="s">
        <v>50</v>
      </c>
      <c r="F441" t="s">
        <v>9</v>
      </c>
      <c r="G441" t="s">
        <v>9</v>
      </c>
      <c r="H441">
        <v>75</v>
      </c>
      <c r="I441">
        <v>235</v>
      </c>
      <c r="J441">
        <v>2018</v>
      </c>
      <c r="K441" s="4" t="str">
        <f>HYPERLINK("http://legacy.baseballprospectus.com/fantasy/dc/index.php?tm=SDN","SDN")</f>
        <v>SDN</v>
      </c>
      <c r="L441" t="s">
        <v>100</v>
      </c>
      <c r="M441" t="s">
        <v>34</v>
      </c>
      <c r="N441">
        <v>28</v>
      </c>
      <c r="O441">
        <v>138</v>
      </c>
      <c r="P441">
        <v>88</v>
      </c>
      <c r="Q441">
        <v>125</v>
      </c>
      <c r="R441">
        <v>17</v>
      </c>
      <c r="S441">
        <v>20</v>
      </c>
      <c r="T441">
        <v>7</v>
      </c>
      <c r="U441">
        <v>1</v>
      </c>
      <c r="V441">
        <v>4</v>
      </c>
      <c r="W441">
        <v>32</v>
      </c>
      <c r="X441">
        <v>53</v>
      </c>
      <c r="Y441">
        <v>16</v>
      </c>
      <c r="Z441">
        <v>11</v>
      </c>
      <c r="AA441">
        <v>1</v>
      </c>
      <c r="AB441">
        <v>2</v>
      </c>
      <c r="AC441">
        <v>28</v>
      </c>
      <c r="AD441">
        <v>0</v>
      </c>
      <c r="AE441">
        <v>1</v>
      </c>
      <c r="AF441">
        <v>4</v>
      </c>
      <c r="AG441">
        <v>1</v>
      </c>
      <c r="AH441">
        <v>0</v>
      </c>
      <c r="AI441" s="5">
        <v>0.25600000000000001</v>
      </c>
      <c r="AJ441" s="5">
        <v>0.32400000000000001</v>
      </c>
      <c r="AK441" s="5">
        <v>0.42399999999999999</v>
      </c>
      <c r="AL441" s="5">
        <v>0.27</v>
      </c>
      <c r="AM441" s="5">
        <v>0.29899999999999999</v>
      </c>
      <c r="AN441">
        <v>0</v>
      </c>
      <c r="AO441">
        <v>-1.59</v>
      </c>
      <c r="AP441">
        <v>3.7</v>
      </c>
      <c r="AQ441">
        <v>1.43</v>
      </c>
      <c r="AR441">
        <v>-0.6</v>
      </c>
      <c r="AS441" t="s">
        <v>1848</v>
      </c>
      <c r="AT441">
        <v>0.3</v>
      </c>
      <c r="AU441">
        <v>3.5</v>
      </c>
      <c r="AV441">
        <v>7</v>
      </c>
      <c r="AW441">
        <v>28</v>
      </c>
      <c r="AX441">
        <v>15</v>
      </c>
      <c r="AY441">
        <v>31</v>
      </c>
      <c r="AZ441" t="s">
        <v>3929</v>
      </c>
      <c r="BA441">
        <v>64</v>
      </c>
      <c r="BB441" t="s">
        <v>35</v>
      </c>
      <c r="BC441" t="s">
        <v>36</v>
      </c>
      <c r="BD441" s="4">
        <f>HYPERLINK("http://mlb.mlb.com/team/player.jsp?player_id=543105",543105)</f>
        <v>543105</v>
      </c>
      <c r="BE441">
        <v>1647</v>
      </c>
      <c r="BF441">
        <v>647</v>
      </c>
      <c r="BG441">
        <v>0</v>
      </c>
      <c r="BH441">
        <v>0</v>
      </c>
    </row>
    <row r="442" spans="1:60" x14ac:dyDescent="0.3">
      <c r="A442" s="4">
        <f>HYPERLINK("http://legacy.baseballprospectus.com/p/69580",69580)</f>
        <v>69580</v>
      </c>
      <c r="B442" t="s">
        <v>1711</v>
      </c>
      <c r="C442" t="s">
        <v>1712</v>
      </c>
      <c r="D442" s="10">
        <v>33040</v>
      </c>
      <c r="E442" t="s">
        <v>58</v>
      </c>
      <c r="F442" t="s">
        <v>33</v>
      </c>
      <c r="G442" t="s">
        <v>33</v>
      </c>
      <c r="H442">
        <v>75</v>
      </c>
      <c r="I442">
        <v>180</v>
      </c>
      <c r="J442">
        <v>2018</v>
      </c>
      <c r="K442" s="4" t="str">
        <f>HYPERLINK("http://legacy.baseballprospectus.com/fantasy/dc/index.php?tm=SFN","SFN")</f>
        <v>SFN</v>
      </c>
      <c r="L442" t="s">
        <v>100</v>
      </c>
      <c r="M442" t="s">
        <v>34</v>
      </c>
      <c r="N442">
        <v>28</v>
      </c>
      <c r="O442">
        <v>209</v>
      </c>
      <c r="P442">
        <v>112</v>
      </c>
      <c r="Q442">
        <v>188</v>
      </c>
      <c r="R442">
        <v>23</v>
      </c>
      <c r="S442">
        <v>39</v>
      </c>
      <c r="T442">
        <v>8</v>
      </c>
      <c r="U442">
        <v>1</v>
      </c>
      <c r="V442">
        <v>2</v>
      </c>
      <c r="W442">
        <v>50</v>
      </c>
      <c r="X442">
        <v>66</v>
      </c>
      <c r="Y442">
        <v>17</v>
      </c>
      <c r="Z442">
        <v>17</v>
      </c>
      <c r="AA442">
        <v>1</v>
      </c>
      <c r="AB442">
        <v>2</v>
      </c>
      <c r="AC442">
        <v>39</v>
      </c>
      <c r="AD442">
        <v>2</v>
      </c>
      <c r="AE442">
        <v>1</v>
      </c>
      <c r="AF442">
        <v>5</v>
      </c>
      <c r="AG442">
        <v>8</v>
      </c>
      <c r="AH442">
        <v>2</v>
      </c>
      <c r="AI442" s="5">
        <v>0.26600000000000001</v>
      </c>
      <c r="AJ442" s="5">
        <v>0.33200000000000002</v>
      </c>
      <c r="AK442" s="5">
        <v>0.35099999999999998</v>
      </c>
      <c r="AL442" s="5">
        <v>0.249</v>
      </c>
      <c r="AM442" s="5">
        <v>0.32100000000000001</v>
      </c>
      <c r="AN442">
        <v>0.7</v>
      </c>
      <c r="AO442">
        <v>-0.31</v>
      </c>
      <c r="AP442">
        <v>5.61</v>
      </c>
      <c r="AQ442">
        <v>-2.31</v>
      </c>
      <c r="AR442">
        <v>-0.5</v>
      </c>
      <c r="AS442" t="s">
        <v>4182</v>
      </c>
      <c r="AT442">
        <v>0.3</v>
      </c>
      <c r="AU442">
        <v>3.7</v>
      </c>
      <c r="AV442">
        <v>2</v>
      </c>
      <c r="AW442">
        <v>24</v>
      </c>
      <c r="AX442">
        <v>18</v>
      </c>
      <c r="AY442">
        <v>27</v>
      </c>
      <c r="AZ442" t="s">
        <v>3851</v>
      </c>
      <c r="BA442">
        <v>80</v>
      </c>
      <c r="BB442" t="s">
        <v>35</v>
      </c>
      <c r="BC442" t="s">
        <v>36</v>
      </c>
      <c r="BD442" s="4">
        <f>HYPERLINK("http://mlb.mlb.com/team/player.jsp?player_id=605509",605509)</f>
        <v>605509</v>
      </c>
      <c r="BE442">
        <v>1466</v>
      </c>
      <c r="BF442">
        <v>466</v>
      </c>
      <c r="BG442">
        <v>222</v>
      </c>
      <c r="BH442">
        <v>194</v>
      </c>
    </row>
    <row r="443" spans="1:60" x14ac:dyDescent="0.3">
      <c r="A443" s="4">
        <f>HYPERLINK("http://legacy.baseballprospectus.com/p/70851",70851)</f>
        <v>70851</v>
      </c>
      <c r="B443" t="s">
        <v>637</v>
      </c>
      <c r="C443" t="s">
        <v>1376</v>
      </c>
      <c r="D443" s="10">
        <v>34095</v>
      </c>
      <c r="E443" t="s">
        <v>59</v>
      </c>
      <c r="F443" t="s">
        <v>9</v>
      </c>
      <c r="G443" t="s">
        <v>33</v>
      </c>
      <c r="H443">
        <v>70</v>
      </c>
      <c r="I443">
        <v>180</v>
      </c>
      <c r="J443">
        <v>2018</v>
      </c>
      <c r="K443" s="4" t="str">
        <f>HYPERLINK("http://legacy.baseballprospectus.com/fantasy/dc/index.php?tm=TBA","TBA")</f>
        <v>TBA</v>
      </c>
      <c r="L443" t="s">
        <v>95</v>
      </c>
      <c r="M443" t="s">
        <v>34</v>
      </c>
      <c r="N443">
        <v>25</v>
      </c>
      <c r="O443">
        <v>254</v>
      </c>
      <c r="P443">
        <v>73</v>
      </c>
      <c r="Q443">
        <v>228</v>
      </c>
      <c r="R443">
        <v>33</v>
      </c>
      <c r="S443">
        <v>43</v>
      </c>
      <c r="T443">
        <v>9</v>
      </c>
      <c r="U443">
        <v>3</v>
      </c>
      <c r="V443">
        <v>4</v>
      </c>
      <c r="W443">
        <v>59</v>
      </c>
      <c r="X443">
        <v>86</v>
      </c>
      <c r="Y443">
        <v>22</v>
      </c>
      <c r="Z443">
        <v>21</v>
      </c>
      <c r="AA443">
        <v>1</v>
      </c>
      <c r="AB443">
        <v>1</v>
      </c>
      <c r="AC443">
        <v>56</v>
      </c>
      <c r="AD443">
        <v>3</v>
      </c>
      <c r="AE443">
        <v>1</v>
      </c>
      <c r="AF443">
        <v>4</v>
      </c>
      <c r="AG443">
        <v>18</v>
      </c>
      <c r="AH443">
        <v>6</v>
      </c>
      <c r="AI443" s="5">
        <v>0.25900000000000001</v>
      </c>
      <c r="AJ443" s="5">
        <v>0.32300000000000001</v>
      </c>
      <c r="AK443" s="5">
        <v>0.377</v>
      </c>
      <c r="AL443" s="5">
        <v>0.255</v>
      </c>
      <c r="AM443" s="5">
        <v>0.32200000000000001</v>
      </c>
      <c r="AN443">
        <v>1.9</v>
      </c>
      <c r="AO443">
        <v>-0.36</v>
      </c>
      <c r="AP443">
        <v>6.82</v>
      </c>
      <c r="AQ443">
        <v>-1.26</v>
      </c>
      <c r="AR443">
        <v>-3.9</v>
      </c>
      <c r="AS443" t="s">
        <v>4058</v>
      </c>
      <c r="AT443">
        <v>0.3</v>
      </c>
      <c r="AU443">
        <v>7.1</v>
      </c>
      <c r="AV443">
        <v>5</v>
      </c>
      <c r="AW443">
        <v>60</v>
      </c>
      <c r="AX443">
        <v>4</v>
      </c>
      <c r="AY443">
        <v>33</v>
      </c>
      <c r="AZ443" t="s">
        <v>4059</v>
      </c>
      <c r="BA443">
        <v>94</v>
      </c>
      <c r="BB443" t="s">
        <v>35</v>
      </c>
      <c r="BC443" t="s">
        <v>36</v>
      </c>
      <c r="BD443" s="4">
        <f>HYPERLINK("http://mlb.mlb.com/team/player.jsp?player_id=605480",605480)</f>
        <v>605480</v>
      </c>
      <c r="BE443">
        <v>600</v>
      </c>
      <c r="BF443">
        <v>1600</v>
      </c>
      <c r="BG443">
        <v>282</v>
      </c>
      <c r="BH443">
        <v>256</v>
      </c>
    </row>
    <row r="444" spans="1:60" x14ac:dyDescent="0.3">
      <c r="A444" s="4">
        <f>HYPERLINK("http://legacy.baseballprospectus.com/p/68066",68066)</f>
        <v>68066</v>
      </c>
      <c r="B444" t="s">
        <v>582</v>
      </c>
      <c r="C444" t="s">
        <v>583</v>
      </c>
      <c r="D444" s="10">
        <v>34020</v>
      </c>
      <c r="E444" t="s">
        <v>59</v>
      </c>
      <c r="F444" t="s">
        <v>37</v>
      </c>
      <c r="G444" t="s">
        <v>33</v>
      </c>
      <c r="H444">
        <v>72</v>
      </c>
      <c r="I444">
        <v>190</v>
      </c>
      <c r="J444">
        <v>2018</v>
      </c>
      <c r="K444" s="4" t="str">
        <f>HYPERLINK("http://legacy.baseballprospectus.com/fantasy/dc/index.php?tm=TEX","TEX")</f>
        <v>TEX</v>
      </c>
      <c r="L444" t="s">
        <v>95</v>
      </c>
      <c r="M444" t="s">
        <v>34</v>
      </c>
      <c r="N444">
        <v>25</v>
      </c>
      <c r="O444">
        <v>193</v>
      </c>
      <c r="P444">
        <v>53</v>
      </c>
      <c r="Q444">
        <v>168</v>
      </c>
      <c r="R444">
        <v>22</v>
      </c>
      <c r="S444">
        <v>30</v>
      </c>
      <c r="T444">
        <v>8</v>
      </c>
      <c r="U444">
        <v>1</v>
      </c>
      <c r="V444">
        <v>4</v>
      </c>
      <c r="W444">
        <v>43</v>
      </c>
      <c r="X444">
        <v>65</v>
      </c>
      <c r="Y444">
        <v>20</v>
      </c>
      <c r="Z444">
        <v>19</v>
      </c>
      <c r="AA444">
        <v>0</v>
      </c>
      <c r="AB444">
        <v>3</v>
      </c>
      <c r="AC444">
        <v>32</v>
      </c>
      <c r="AD444">
        <v>2</v>
      </c>
      <c r="AE444">
        <v>1</v>
      </c>
      <c r="AF444">
        <v>5</v>
      </c>
      <c r="AG444">
        <v>2</v>
      </c>
      <c r="AH444">
        <v>1</v>
      </c>
      <c r="AI444" s="5">
        <v>0.25600000000000001</v>
      </c>
      <c r="AJ444" s="5">
        <v>0.34</v>
      </c>
      <c r="AK444" s="5">
        <v>0.38700000000000001</v>
      </c>
      <c r="AL444" s="5">
        <v>0.251</v>
      </c>
      <c r="AM444" s="5">
        <v>0.28499999999999998</v>
      </c>
      <c r="AN444">
        <v>-0.2</v>
      </c>
      <c r="AO444">
        <v>-0.02</v>
      </c>
      <c r="AP444">
        <v>5.18</v>
      </c>
      <c r="AQ444">
        <v>-1.86</v>
      </c>
      <c r="AR444">
        <v>-0.3</v>
      </c>
      <c r="AS444" t="s">
        <v>4858</v>
      </c>
      <c r="AT444">
        <v>0.3</v>
      </c>
      <c r="AU444">
        <v>3.1</v>
      </c>
      <c r="AV444">
        <v>2</v>
      </c>
      <c r="AW444">
        <v>48</v>
      </c>
      <c r="AX444">
        <v>9</v>
      </c>
      <c r="AY444">
        <v>21</v>
      </c>
      <c r="AZ444" t="s">
        <v>4120</v>
      </c>
      <c r="BA444">
        <v>98</v>
      </c>
      <c r="BB444" t="s">
        <v>35</v>
      </c>
      <c r="BC444" t="s">
        <v>36</v>
      </c>
      <c r="BD444" s="4">
        <f>HYPERLINK("http://mlb.mlb.com/team/player.jsp?player_id=595777",595777)</f>
        <v>595777</v>
      </c>
      <c r="BE444">
        <v>523</v>
      </c>
      <c r="BF444">
        <v>1523</v>
      </c>
      <c r="BG444">
        <v>70</v>
      </c>
      <c r="BH444">
        <v>58</v>
      </c>
    </row>
    <row r="445" spans="1:60" x14ac:dyDescent="0.3">
      <c r="A445" s="4">
        <f>HYPERLINK("http://legacy.baseballprospectus.com/p/67094",67094)</f>
        <v>67094</v>
      </c>
      <c r="B445" t="s">
        <v>226</v>
      </c>
      <c r="C445" t="s">
        <v>210</v>
      </c>
      <c r="D445" s="10">
        <v>33714</v>
      </c>
      <c r="E445" t="s">
        <v>65</v>
      </c>
      <c r="F445" t="s">
        <v>9</v>
      </c>
      <c r="G445" t="s">
        <v>33</v>
      </c>
      <c r="H445">
        <v>73</v>
      </c>
      <c r="I445">
        <v>200</v>
      </c>
      <c r="J445">
        <v>2018</v>
      </c>
      <c r="K445" s="4" t="str">
        <f>HYPERLINK("http://legacy.baseballprospectus.com/fantasy/dc/index.php?tm=TEX","TEX")</f>
        <v>TEX</v>
      </c>
      <c r="L445" t="s">
        <v>95</v>
      </c>
      <c r="M445" t="s">
        <v>34</v>
      </c>
      <c r="N445">
        <v>26</v>
      </c>
      <c r="O445">
        <v>126</v>
      </c>
      <c r="P445">
        <v>39</v>
      </c>
      <c r="Q445">
        <v>109</v>
      </c>
      <c r="R445">
        <v>17</v>
      </c>
      <c r="S445">
        <v>14</v>
      </c>
      <c r="T445">
        <v>5</v>
      </c>
      <c r="U445">
        <v>1</v>
      </c>
      <c r="V445">
        <v>5</v>
      </c>
      <c r="W445">
        <v>25</v>
      </c>
      <c r="X445">
        <v>47</v>
      </c>
      <c r="Y445">
        <v>16</v>
      </c>
      <c r="Z445">
        <v>16</v>
      </c>
      <c r="AA445">
        <v>1</v>
      </c>
      <c r="AB445">
        <v>1</v>
      </c>
      <c r="AC445">
        <v>37</v>
      </c>
      <c r="AD445">
        <v>0</v>
      </c>
      <c r="AE445">
        <v>0</v>
      </c>
      <c r="AF445">
        <v>2</v>
      </c>
      <c r="AG445">
        <v>2</v>
      </c>
      <c r="AH445">
        <v>1</v>
      </c>
      <c r="AI445" s="5">
        <v>0.22900000000000001</v>
      </c>
      <c r="AJ445" s="5">
        <v>0.33300000000000002</v>
      </c>
      <c r="AK445" s="5">
        <v>0.43099999999999999</v>
      </c>
      <c r="AL445" s="5">
        <v>0.26200000000000001</v>
      </c>
      <c r="AM445" s="5">
        <v>0.29899999999999999</v>
      </c>
      <c r="AN445">
        <v>0</v>
      </c>
      <c r="AO445">
        <v>0.2</v>
      </c>
      <c r="AP445">
        <v>3.38</v>
      </c>
      <c r="AQ445">
        <v>0.3</v>
      </c>
      <c r="AR445">
        <v>-1</v>
      </c>
      <c r="AS445" t="s">
        <v>5003</v>
      </c>
      <c r="AT445">
        <v>0.3</v>
      </c>
      <c r="AU445">
        <v>3.9</v>
      </c>
      <c r="AV445">
        <v>5</v>
      </c>
      <c r="AW445">
        <v>24</v>
      </c>
      <c r="AX445">
        <v>14</v>
      </c>
      <c r="AY445">
        <v>34</v>
      </c>
      <c r="AZ445" t="s">
        <v>4121</v>
      </c>
      <c r="BA445">
        <v>64</v>
      </c>
      <c r="BB445" t="s">
        <v>35</v>
      </c>
      <c r="BC445" t="s">
        <v>35</v>
      </c>
      <c r="BD445" s="4">
        <f>HYPERLINK("http://mlb.mlb.com/team/player.jsp?player_id=592685",592685)</f>
        <v>592685</v>
      </c>
      <c r="BE445">
        <v>482</v>
      </c>
      <c r="BF445">
        <v>1482</v>
      </c>
      <c r="BG445">
        <v>121</v>
      </c>
      <c r="BH445">
        <v>107</v>
      </c>
    </row>
    <row r="446" spans="1:60" x14ac:dyDescent="0.3">
      <c r="A446" s="4">
        <f>HYPERLINK("http://legacy.baseballprospectus.com/p/34706",34706)</f>
        <v>34706</v>
      </c>
      <c r="B446" t="s">
        <v>298</v>
      </c>
      <c r="C446" t="s">
        <v>1406</v>
      </c>
      <c r="D446" s="10">
        <v>33086</v>
      </c>
      <c r="E446" t="s">
        <v>53</v>
      </c>
      <c r="F446" t="s">
        <v>33</v>
      </c>
      <c r="G446" t="s">
        <v>33</v>
      </c>
      <c r="H446">
        <v>73</v>
      </c>
      <c r="I446">
        <v>195</v>
      </c>
      <c r="J446">
        <v>2018</v>
      </c>
      <c r="K446" s="4" t="str">
        <f>HYPERLINK("http://legacy.baseballprospectus.com/fantasy/dc/index.php?tm=TOR","TOR")</f>
        <v>TOR</v>
      </c>
      <c r="L446" t="s">
        <v>95</v>
      </c>
      <c r="M446" t="s">
        <v>34</v>
      </c>
      <c r="N446">
        <v>27</v>
      </c>
      <c r="O446">
        <v>183</v>
      </c>
      <c r="P446">
        <v>47</v>
      </c>
      <c r="Q446">
        <v>167</v>
      </c>
      <c r="R446">
        <v>22</v>
      </c>
      <c r="S446">
        <v>28</v>
      </c>
      <c r="T446">
        <v>10</v>
      </c>
      <c r="U446">
        <v>1</v>
      </c>
      <c r="V446">
        <v>6</v>
      </c>
      <c r="W446">
        <v>45</v>
      </c>
      <c r="X446">
        <v>75</v>
      </c>
      <c r="Y446">
        <v>22</v>
      </c>
      <c r="Z446">
        <v>12</v>
      </c>
      <c r="AA446">
        <v>1</v>
      </c>
      <c r="AB446">
        <v>2</v>
      </c>
      <c r="AC446">
        <v>30</v>
      </c>
      <c r="AD446">
        <v>1</v>
      </c>
      <c r="AE446">
        <v>1</v>
      </c>
      <c r="AF446">
        <v>5</v>
      </c>
      <c r="AG446">
        <v>2</v>
      </c>
      <c r="AH446">
        <v>1</v>
      </c>
      <c r="AI446" s="5">
        <v>0.26900000000000002</v>
      </c>
      <c r="AJ446" s="5">
        <v>0.32400000000000001</v>
      </c>
      <c r="AK446" s="5">
        <v>0.44900000000000001</v>
      </c>
      <c r="AL446" s="5">
        <v>0.26</v>
      </c>
      <c r="AM446" s="5">
        <v>0.28799999999999998</v>
      </c>
      <c r="AN446">
        <v>-0.3</v>
      </c>
      <c r="AO446">
        <v>1.1499999999999999</v>
      </c>
      <c r="AP446">
        <v>4.91</v>
      </c>
      <c r="AQ446">
        <v>0.03</v>
      </c>
      <c r="AR446">
        <v>-2.5</v>
      </c>
      <c r="AS446" t="s">
        <v>1745</v>
      </c>
      <c r="AT446">
        <v>0.3</v>
      </c>
      <c r="AU446">
        <v>5.8</v>
      </c>
      <c r="AV446">
        <v>3</v>
      </c>
      <c r="AW446">
        <v>42</v>
      </c>
      <c r="AX446">
        <v>6</v>
      </c>
      <c r="AY446">
        <v>14</v>
      </c>
      <c r="AZ446" t="s">
        <v>3793</v>
      </c>
      <c r="BA446">
        <v>96</v>
      </c>
      <c r="BB446" t="s">
        <v>35</v>
      </c>
      <c r="BC446" t="s">
        <v>36</v>
      </c>
      <c r="BD446" s="4">
        <f>HYPERLINK("http://mlb.mlb.com/team/player.jsp?player_id=649557",649557)</f>
        <v>649557</v>
      </c>
      <c r="BE446">
        <v>513</v>
      </c>
      <c r="BF446">
        <v>1513</v>
      </c>
      <c r="BG446">
        <v>301</v>
      </c>
      <c r="BH446">
        <v>286</v>
      </c>
    </row>
    <row r="447" spans="1:60" x14ac:dyDescent="0.3">
      <c r="A447" s="4">
        <f>HYPERLINK("http://legacy.baseballprospectus.com/p/67700",67700)</f>
        <v>67700</v>
      </c>
      <c r="B447" t="s">
        <v>1363</v>
      </c>
      <c r="C447" t="s">
        <v>336</v>
      </c>
      <c r="D447" s="10">
        <v>33696</v>
      </c>
      <c r="E447" t="s">
        <v>58</v>
      </c>
      <c r="F447" t="s">
        <v>37</v>
      </c>
      <c r="G447" t="s">
        <v>33</v>
      </c>
      <c r="H447">
        <v>71</v>
      </c>
      <c r="I447">
        <v>200</v>
      </c>
      <c r="J447">
        <v>2018</v>
      </c>
      <c r="K447" s="4" t="str">
        <f>HYPERLINK("http://legacy.baseballprospectus.com/fantasy/dc/index.php?tm=WAS","WAS")</f>
        <v>WAS</v>
      </c>
      <c r="L447" t="s">
        <v>100</v>
      </c>
      <c r="M447" t="s">
        <v>34</v>
      </c>
      <c r="N447">
        <v>26</v>
      </c>
      <c r="O447">
        <v>285</v>
      </c>
      <c r="P447">
        <v>115</v>
      </c>
      <c r="Q447">
        <v>263</v>
      </c>
      <c r="R447">
        <v>32</v>
      </c>
      <c r="S447">
        <v>48</v>
      </c>
      <c r="T447">
        <v>11</v>
      </c>
      <c r="U447">
        <v>2</v>
      </c>
      <c r="V447">
        <v>5</v>
      </c>
      <c r="W447">
        <v>66</v>
      </c>
      <c r="X447">
        <v>96</v>
      </c>
      <c r="Y447">
        <v>27</v>
      </c>
      <c r="Z447">
        <v>17</v>
      </c>
      <c r="AA447">
        <v>3</v>
      </c>
      <c r="AB447">
        <v>2</v>
      </c>
      <c r="AC447">
        <v>60</v>
      </c>
      <c r="AD447">
        <v>2</v>
      </c>
      <c r="AE447">
        <v>1</v>
      </c>
      <c r="AF447">
        <v>8</v>
      </c>
      <c r="AG447">
        <v>10</v>
      </c>
      <c r="AH447">
        <v>2</v>
      </c>
      <c r="AI447" s="5">
        <v>0.251</v>
      </c>
      <c r="AJ447" s="5">
        <v>0.3</v>
      </c>
      <c r="AK447" s="5">
        <v>0.36499999999999999</v>
      </c>
      <c r="AL447" s="5">
        <v>0.23300000000000001</v>
      </c>
      <c r="AM447" s="5">
        <v>0.30399999999999999</v>
      </c>
      <c r="AN447">
        <v>1.2</v>
      </c>
      <c r="AO447">
        <v>0.6</v>
      </c>
      <c r="AP447">
        <v>7.65</v>
      </c>
      <c r="AQ447">
        <v>-8.18</v>
      </c>
      <c r="AR447">
        <v>1.5</v>
      </c>
      <c r="AS447" t="s">
        <v>4142</v>
      </c>
      <c r="AT447">
        <v>0.3</v>
      </c>
      <c r="AU447">
        <v>1.3</v>
      </c>
      <c r="AV447">
        <v>8</v>
      </c>
      <c r="AW447">
        <v>47</v>
      </c>
      <c r="AX447">
        <v>8</v>
      </c>
      <c r="AY447">
        <v>30</v>
      </c>
      <c r="AZ447" t="s">
        <v>4122</v>
      </c>
      <c r="BA447">
        <v>84</v>
      </c>
      <c r="BB447" t="s">
        <v>35</v>
      </c>
      <c r="BC447" t="s">
        <v>36</v>
      </c>
      <c r="BD447" s="4">
        <f>HYPERLINK("http://mlb.mlb.com/team/player.jsp?player_id=594694",594694)</f>
        <v>594694</v>
      </c>
      <c r="BE447">
        <v>1533</v>
      </c>
      <c r="BF447">
        <v>533</v>
      </c>
      <c r="BG447">
        <v>365</v>
      </c>
      <c r="BH447">
        <v>332</v>
      </c>
    </row>
    <row r="448" spans="1:60" x14ac:dyDescent="0.3">
      <c r="A448" s="4">
        <f>HYPERLINK("http://legacy.baseballprospectus.com/p/70764",70764)</f>
        <v>70764</v>
      </c>
      <c r="B448" t="s">
        <v>1057</v>
      </c>
      <c r="C448" t="s">
        <v>173</v>
      </c>
      <c r="D448" s="10">
        <v>33179</v>
      </c>
      <c r="E448" t="s">
        <v>57</v>
      </c>
      <c r="F448" t="s">
        <v>9</v>
      </c>
      <c r="G448" t="s">
        <v>33</v>
      </c>
      <c r="H448">
        <v>72</v>
      </c>
      <c r="I448">
        <v>205</v>
      </c>
      <c r="J448">
        <v>2018</v>
      </c>
      <c r="K448" s="4" t="str">
        <f>HYPERLINK("http://legacy.baseballprospectus.com/fantasy/dc/index.php?tm=WAS","WAS")</f>
        <v>WAS</v>
      </c>
      <c r="L448" t="s">
        <v>100</v>
      </c>
      <c r="M448" t="s">
        <v>34</v>
      </c>
      <c r="N448">
        <v>27</v>
      </c>
      <c r="O448">
        <v>138</v>
      </c>
      <c r="P448">
        <v>39</v>
      </c>
      <c r="Q448">
        <v>125</v>
      </c>
      <c r="R448">
        <v>19</v>
      </c>
      <c r="S448">
        <v>19</v>
      </c>
      <c r="T448">
        <v>7</v>
      </c>
      <c r="U448">
        <v>0</v>
      </c>
      <c r="V448">
        <v>5</v>
      </c>
      <c r="W448">
        <v>31</v>
      </c>
      <c r="X448">
        <v>53</v>
      </c>
      <c r="Y448">
        <v>15</v>
      </c>
      <c r="Z448">
        <v>11</v>
      </c>
      <c r="AA448">
        <v>1</v>
      </c>
      <c r="AB448">
        <v>1</v>
      </c>
      <c r="AC448">
        <v>36</v>
      </c>
      <c r="AD448">
        <v>0</v>
      </c>
      <c r="AE448">
        <v>1</v>
      </c>
      <c r="AF448">
        <v>3</v>
      </c>
      <c r="AG448">
        <v>3</v>
      </c>
      <c r="AH448">
        <v>1</v>
      </c>
      <c r="AI448" s="5">
        <v>0.248</v>
      </c>
      <c r="AJ448" s="5">
        <v>0.312</v>
      </c>
      <c r="AK448" s="5">
        <v>0.42399999999999999</v>
      </c>
      <c r="AL448" s="5">
        <v>0.246</v>
      </c>
      <c r="AM448" s="5">
        <v>0.29899999999999999</v>
      </c>
      <c r="AN448">
        <v>0.2</v>
      </c>
      <c r="AO448">
        <v>-0.24</v>
      </c>
      <c r="AP448">
        <v>3.7</v>
      </c>
      <c r="AQ448">
        <v>-2.0299999999999998</v>
      </c>
      <c r="AR448">
        <v>1</v>
      </c>
      <c r="AS448" t="s">
        <v>1229</v>
      </c>
      <c r="AT448">
        <v>0.3</v>
      </c>
      <c r="AU448">
        <v>1.6</v>
      </c>
      <c r="AV448">
        <v>5</v>
      </c>
      <c r="AW448">
        <v>38</v>
      </c>
      <c r="AX448">
        <v>8</v>
      </c>
      <c r="AY448">
        <v>20</v>
      </c>
      <c r="AZ448" t="s">
        <v>4303</v>
      </c>
      <c r="BA448">
        <v>70</v>
      </c>
      <c r="BB448" t="s">
        <v>35</v>
      </c>
      <c r="BC448" t="s">
        <v>36</v>
      </c>
      <c r="BD448" s="4">
        <f>HYPERLINK("http://mlb.mlb.com/team/player.jsp?player_id=571718",571718)</f>
        <v>571718</v>
      </c>
      <c r="BE448">
        <v>1614</v>
      </c>
      <c r="BF448">
        <v>614</v>
      </c>
      <c r="BG448">
        <v>278</v>
      </c>
      <c r="BH448">
        <v>251</v>
      </c>
    </row>
    <row r="449" spans="1:60" x14ac:dyDescent="0.3">
      <c r="A449" s="4">
        <f>HYPERLINK("http://legacy.baseballprospectus.com/p/104961",104961)</f>
        <v>104961</v>
      </c>
      <c r="B449" t="s">
        <v>1420</v>
      </c>
      <c r="C449" t="s">
        <v>227</v>
      </c>
      <c r="D449" s="10">
        <v>34005</v>
      </c>
      <c r="E449" t="s">
        <v>59</v>
      </c>
      <c r="F449" t="s">
        <v>33</v>
      </c>
      <c r="G449" t="s">
        <v>33</v>
      </c>
      <c r="H449">
        <v>72</v>
      </c>
      <c r="I449">
        <v>205</v>
      </c>
      <c r="J449">
        <v>2018</v>
      </c>
      <c r="K449" s="4" t="str">
        <f>HYPERLINK("http://legacy.baseballprospectus.com/fantasy/dc/index.php?tm=CHN","CHN")</f>
        <v>CHN</v>
      </c>
      <c r="L449" t="s">
        <v>100</v>
      </c>
      <c r="M449" t="s">
        <v>34</v>
      </c>
      <c r="N449">
        <v>25</v>
      </c>
      <c r="O449">
        <v>123</v>
      </c>
      <c r="P449">
        <v>77</v>
      </c>
      <c r="Q449">
        <v>103</v>
      </c>
      <c r="R449">
        <v>16</v>
      </c>
      <c r="S449">
        <v>15</v>
      </c>
      <c r="T449">
        <v>5</v>
      </c>
      <c r="U449">
        <v>1</v>
      </c>
      <c r="V449">
        <v>4</v>
      </c>
      <c r="W449">
        <v>25</v>
      </c>
      <c r="X449">
        <v>44</v>
      </c>
      <c r="Y449">
        <v>14</v>
      </c>
      <c r="Z449">
        <v>17</v>
      </c>
      <c r="AA449">
        <v>0</v>
      </c>
      <c r="AB449">
        <v>2</v>
      </c>
      <c r="AC449">
        <v>29</v>
      </c>
      <c r="AD449">
        <v>0</v>
      </c>
      <c r="AE449">
        <v>0</v>
      </c>
      <c r="AF449">
        <v>3</v>
      </c>
      <c r="AG449">
        <v>1</v>
      </c>
      <c r="AH449">
        <v>0</v>
      </c>
      <c r="AI449" s="5">
        <v>0.24299999999999999</v>
      </c>
      <c r="AJ449" s="5">
        <v>0.36099999999999999</v>
      </c>
      <c r="AK449" s="5">
        <v>0.42699999999999999</v>
      </c>
      <c r="AL449" s="5">
        <v>0.27100000000000002</v>
      </c>
      <c r="AM449" s="5">
        <v>0.30099999999999999</v>
      </c>
      <c r="AN449">
        <v>-0.1</v>
      </c>
      <c r="AO449">
        <v>-1.1000000000000001</v>
      </c>
      <c r="AP449">
        <v>3.3</v>
      </c>
      <c r="AQ449">
        <v>1.44</v>
      </c>
      <c r="AR449">
        <v>-0.3</v>
      </c>
      <c r="AS449" t="s">
        <v>1908</v>
      </c>
      <c r="AT449">
        <v>0.3</v>
      </c>
      <c r="AU449">
        <v>3.5</v>
      </c>
      <c r="AV449">
        <v>11</v>
      </c>
      <c r="AW449">
        <v>27</v>
      </c>
      <c r="AX449">
        <v>13</v>
      </c>
      <c r="AY449">
        <v>32</v>
      </c>
      <c r="AZ449" t="s">
        <v>3931</v>
      </c>
      <c r="BA449">
        <v>61</v>
      </c>
      <c r="BB449" t="s">
        <v>35</v>
      </c>
      <c r="BC449" t="s">
        <v>35</v>
      </c>
      <c r="BD449" s="4">
        <f>HYPERLINK("http://mlb.mlb.com/team/player.jsp?player_id=657145",657145)</f>
        <v>657145</v>
      </c>
      <c r="BE449">
        <v>1645</v>
      </c>
      <c r="BF449">
        <v>645</v>
      </c>
      <c r="BG449">
        <v>18</v>
      </c>
      <c r="BH449">
        <v>14</v>
      </c>
    </row>
    <row r="450" spans="1:60" x14ac:dyDescent="0.3">
      <c r="A450" s="4">
        <f>HYPERLINK("http://legacy.baseballprospectus.com/p/100595",100595)</f>
        <v>100595</v>
      </c>
      <c r="B450" t="s">
        <v>1134</v>
      </c>
      <c r="C450" t="s">
        <v>103</v>
      </c>
      <c r="D450" s="10">
        <v>34425</v>
      </c>
      <c r="E450" t="s">
        <v>57</v>
      </c>
      <c r="F450" t="s">
        <v>9</v>
      </c>
      <c r="G450" t="s">
        <v>33</v>
      </c>
      <c r="H450">
        <v>74</v>
      </c>
      <c r="I450">
        <v>195</v>
      </c>
      <c r="J450">
        <v>2018</v>
      </c>
      <c r="K450" s="4" t="str">
        <f>HYPERLINK("http://legacy.baseballprospectus.com/fantasy/dc/index.php?tm=COL","COL")</f>
        <v>COL</v>
      </c>
      <c r="L450" t="s">
        <v>100</v>
      </c>
      <c r="M450" t="s">
        <v>34</v>
      </c>
      <c r="N450">
        <v>24</v>
      </c>
      <c r="O450">
        <v>206</v>
      </c>
      <c r="P450">
        <v>87</v>
      </c>
      <c r="Q450">
        <v>189</v>
      </c>
      <c r="R450">
        <v>26</v>
      </c>
      <c r="S450">
        <v>31</v>
      </c>
      <c r="T450">
        <v>10</v>
      </c>
      <c r="U450">
        <v>2</v>
      </c>
      <c r="V450">
        <v>7</v>
      </c>
      <c r="W450">
        <v>50</v>
      </c>
      <c r="X450">
        <v>85</v>
      </c>
      <c r="Y450">
        <v>27</v>
      </c>
      <c r="Z450">
        <v>15</v>
      </c>
      <c r="AA450">
        <v>1</v>
      </c>
      <c r="AB450">
        <v>0</v>
      </c>
      <c r="AC450">
        <v>56</v>
      </c>
      <c r="AD450">
        <v>1</v>
      </c>
      <c r="AE450">
        <v>1</v>
      </c>
      <c r="AF450">
        <v>4</v>
      </c>
      <c r="AG450">
        <v>6</v>
      </c>
      <c r="AH450">
        <v>2</v>
      </c>
      <c r="AI450" s="5">
        <v>0.26500000000000001</v>
      </c>
      <c r="AJ450" s="5">
        <v>0.317</v>
      </c>
      <c r="AK450" s="5">
        <v>0.45</v>
      </c>
      <c r="AL450" s="5">
        <v>0.25700000000000001</v>
      </c>
      <c r="AM450" s="5">
        <v>0.33700000000000002</v>
      </c>
      <c r="AN450">
        <v>0.6</v>
      </c>
      <c r="AO450">
        <v>-1.04</v>
      </c>
      <c r="AP450">
        <v>5.53</v>
      </c>
      <c r="AQ450">
        <v>-0.65</v>
      </c>
      <c r="AR450">
        <v>-1.5</v>
      </c>
      <c r="AS450" t="s">
        <v>4930</v>
      </c>
      <c r="AT450">
        <v>0.3</v>
      </c>
      <c r="AU450">
        <v>4.4000000000000004</v>
      </c>
      <c r="AV450">
        <v>6</v>
      </c>
      <c r="AW450">
        <v>32</v>
      </c>
      <c r="AX450">
        <v>20</v>
      </c>
      <c r="AY450">
        <v>33</v>
      </c>
      <c r="AZ450" t="s">
        <v>3947</v>
      </c>
      <c r="BA450">
        <v>74</v>
      </c>
      <c r="BB450" t="s">
        <v>35</v>
      </c>
      <c r="BC450" t="s">
        <v>36</v>
      </c>
      <c r="BD450" s="4">
        <f>HYPERLINK("http://mlb.mlb.com/team/player.jsp?player_id=621311",621311)</f>
        <v>621311</v>
      </c>
      <c r="BE450">
        <v>1648</v>
      </c>
      <c r="BF450">
        <v>648</v>
      </c>
      <c r="BG450">
        <v>0</v>
      </c>
      <c r="BH450">
        <v>0</v>
      </c>
    </row>
    <row r="451" spans="1:60" x14ac:dyDescent="0.3">
      <c r="A451" s="4">
        <f>HYPERLINK("http://legacy.baseballprospectus.com/p/102593",102593)</f>
        <v>102593</v>
      </c>
      <c r="B451" t="s">
        <v>1911</v>
      </c>
      <c r="C451" t="s">
        <v>491</v>
      </c>
      <c r="D451" s="10">
        <v>33253</v>
      </c>
      <c r="E451" t="s">
        <v>54</v>
      </c>
      <c r="F451" t="s">
        <v>33</v>
      </c>
      <c r="G451" t="s">
        <v>33</v>
      </c>
      <c r="H451">
        <v>73</v>
      </c>
      <c r="I451">
        <v>220</v>
      </c>
      <c r="J451">
        <v>2018</v>
      </c>
      <c r="K451" s="4" t="str">
        <f>HYPERLINK("http://legacy.baseballprospectus.com/fantasy/dc/index.php?tm=MIN","MIN")</f>
        <v>MIN</v>
      </c>
      <c r="L451" t="s">
        <v>95</v>
      </c>
      <c r="M451" t="s">
        <v>34</v>
      </c>
      <c r="N451">
        <v>27</v>
      </c>
      <c r="O451">
        <v>184</v>
      </c>
      <c r="P451">
        <v>57</v>
      </c>
      <c r="Q451">
        <v>161</v>
      </c>
      <c r="R451">
        <v>22</v>
      </c>
      <c r="S451">
        <v>23</v>
      </c>
      <c r="T451">
        <v>9</v>
      </c>
      <c r="U451">
        <v>1</v>
      </c>
      <c r="V451">
        <v>6</v>
      </c>
      <c r="W451">
        <v>39</v>
      </c>
      <c r="X451">
        <v>68</v>
      </c>
      <c r="Y451">
        <v>22</v>
      </c>
      <c r="Z451">
        <v>21</v>
      </c>
      <c r="AA451">
        <v>1</v>
      </c>
      <c r="AB451">
        <v>1</v>
      </c>
      <c r="AC451">
        <v>46</v>
      </c>
      <c r="AD451">
        <v>0</v>
      </c>
      <c r="AE451">
        <v>1</v>
      </c>
      <c r="AF451">
        <v>5</v>
      </c>
      <c r="AG451">
        <v>0</v>
      </c>
      <c r="AH451">
        <v>0</v>
      </c>
      <c r="AI451" s="5">
        <v>0.24199999999999999</v>
      </c>
      <c r="AJ451" s="5">
        <v>0.33200000000000002</v>
      </c>
      <c r="AK451" s="5">
        <v>0.42199999999999999</v>
      </c>
      <c r="AL451" s="5">
        <v>0.25800000000000001</v>
      </c>
      <c r="AM451" s="5">
        <v>0.30199999999999999</v>
      </c>
      <c r="AN451">
        <v>-0.4</v>
      </c>
      <c r="AO451">
        <v>0.16</v>
      </c>
      <c r="AP451">
        <v>4.9400000000000004</v>
      </c>
      <c r="AQ451">
        <v>-0.36</v>
      </c>
      <c r="AR451">
        <v>-1.4</v>
      </c>
      <c r="AS451" t="s">
        <v>5004</v>
      </c>
      <c r="AT451">
        <v>0.3</v>
      </c>
      <c r="AU451">
        <v>4.4000000000000004</v>
      </c>
      <c r="AV451">
        <v>6</v>
      </c>
      <c r="AW451">
        <v>16</v>
      </c>
      <c r="AX451">
        <v>11</v>
      </c>
      <c r="AY451">
        <v>24</v>
      </c>
      <c r="AZ451" t="s">
        <v>4124</v>
      </c>
      <c r="BA451">
        <v>39</v>
      </c>
      <c r="BB451" t="s">
        <v>35</v>
      </c>
      <c r="BC451" t="s">
        <v>35</v>
      </c>
      <c r="BD451" s="4">
        <f>HYPERLINK("http://mlb.mlb.com/team/player.jsp?player_id=641598",641598)</f>
        <v>641598</v>
      </c>
      <c r="BE451">
        <v>381</v>
      </c>
      <c r="BF451">
        <v>1381</v>
      </c>
      <c r="BG451">
        <v>52</v>
      </c>
      <c r="BH451">
        <v>46</v>
      </c>
    </row>
    <row r="452" spans="1:60" x14ac:dyDescent="0.3">
      <c r="A452" s="4">
        <f>HYPERLINK("http://legacy.baseballprospectus.com/p/102779",102779)</f>
        <v>102779</v>
      </c>
      <c r="B452" t="s">
        <v>363</v>
      </c>
      <c r="C452" t="s">
        <v>258</v>
      </c>
      <c r="D452" s="10">
        <v>34661</v>
      </c>
      <c r="E452" t="s">
        <v>58</v>
      </c>
      <c r="F452" t="s">
        <v>9</v>
      </c>
      <c r="G452" t="s">
        <v>33</v>
      </c>
      <c r="H452">
        <v>73</v>
      </c>
      <c r="I452">
        <v>185</v>
      </c>
      <c r="J452">
        <v>2018</v>
      </c>
      <c r="K452" s="4" t="str">
        <f>HYPERLINK("http://legacy.baseballprospectus.com/fantasy/dc/index.php?tm=NYA","NYA")</f>
        <v>NYA</v>
      </c>
      <c r="L452" t="s">
        <v>95</v>
      </c>
      <c r="M452" t="s">
        <v>34</v>
      </c>
      <c r="N452">
        <v>23</v>
      </c>
      <c r="O452">
        <v>124</v>
      </c>
      <c r="P452">
        <v>38</v>
      </c>
      <c r="Q452">
        <v>111</v>
      </c>
      <c r="R452">
        <v>15</v>
      </c>
      <c r="S452">
        <v>19</v>
      </c>
      <c r="T452">
        <v>4</v>
      </c>
      <c r="U452">
        <v>1</v>
      </c>
      <c r="V452">
        <v>3</v>
      </c>
      <c r="W452">
        <v>27</v>
      </c>
      <c r="X452">
        <v>42</v>
      </c>
      <c r="Y452">
        <v>12</v>
      </c>
      <c r="Z452">
        <v>11</v>
      </c>
      <c r="AA452">
        <v>0</v>
      </c>
      <c r="AB452">
        <v>1</v>
      </c>
      <c r="AC452">
        <v>29</v>
      </c>
      <c r="AD452">
        <v>1</v>
      </c>
      <c r="AE452">
        <v>1</v>
      </c>
      <c r="AF452">
        <v>2</v>
      </c>
      <c r="AG452">
        <v>5</v>
      </c>
      <c r="AH452">
        <v>1</v>
      </c>
      <c r="AI452" s="5">
        <v>0.24299999999999999</v>
      </c>
      <c r="AJ452" s="5">
        <v>0.315</v>
      </c>
      <c r="AK452" s="5">
        <v>0.378</v>
      </c>
      <c r="AL452" s="5">
        <v>0.24099999999999999</v>
      </c>
      <c r="AM452" s="5">
        <v>0.29599999999999999</v>
      </c>
      <c r="AN452">
        <v>0.5</v>
      </c>
      <c r="AO452">
        <v>0.38</v>
      </c>
      <c r="AP452">
        <v>3.33</v>
      </c>
      <c r="AQ452">
        <v>-2.4500000000000002</v>
      </c>
      <c r="AR452">
        <v>1.6</v>
      </c>
      <c r="AS452" t="s">
        <v>4062</v>
      </c>
      <c r="AT452">
        <v>0.3</v>
      </c>
      <c r="AU452">
        <v>1.7</v>
      </c>
      <c r="AV452">
        <v>5</v>
      </c>
      <c r="AW452">
        <v>30</v>
      </c>
      <c r="AX452">
        <v>6</v>
      </c>
      <c r="AY452">
        <v>21</v>
      </c>
      <c r="AZ452" t="s">
        <v>4063</v>
      </c>
      <c r="BA452">
        <v>49</v>
      </c>
      <c r="BB452" t="s">
        <v>35</v>
      </c>
      <c r="BC452" t="s">
        <v>35</v>
      </c>
      <c r="BD452" s="4">
        <f>HYPERLINK("http://mlb.mlb.com/team/player.jsp?player_id=642180",642180)</f>
        <v>642180</v>
      </c>
      <c r="BE452">
        <v>458</v>
      </c>
      <c r="BF452">
        <v>1458</v>
      </c>
      <c r="BG452">
        <v>63</v>
      </c>
      <c r="BH452">
        <v>58</v>
      </c>
    </row>
    <row r="453" spans="1:60" x14ac:dyDescent="0.3">
      <c r="A453" s="4">
        <f>HYPERLINK("http://legacy.baseballprospectus.com/p/100316",100316)</f>
        <v>100316</v>
      </c>
      <c r="B453" t="s">
        <v>1130</v>
      </c>
      <c r="C453" t="s">
        <v>459</v>
      </c>
      <c r="D453" s="10">
        <v>33295</v>
      </c>
      <c r="E453" t="s">
        <v>54</v>
      </c>
      <c r="F453" t="s">
        <v>33</v>
      </c>
      <c r="G453" t="s">
        <v>33</v>
      </c>
      <c r="H453">
        <v>74</v>
      </c>
      <c r="I453">
        <v>210</v>
      </c>
      <c r="J453">
        <v>2018</v>
      </c>
      <c r="K453" s="4" t="str">
        <f>HYPERLINK("http://legacy.baseballprospectus.com/fantasy/dc/index.php?tm=NYN","NYN")</f>
        <v>NYN</v>
      </c>
      <c r="L453" t="s">
        <v>100</v>
      </c>
      <c r="M453" t="s">
        <v>34</v>
      </c>
      <c r="N453">
        <v>27</v>
      </c>
      <c r="O453">
        <v>126</v>
      </c>
      <c r="P453">
        <v>56</v>
      </c>
      <c r="Q453">
        <v>114</v>
      </c>
      <c r="R453">
        <v>13</v>
      </c>
      <c r="S453">
        <v>19</v>
      </c>
      <c r="T453">
        <v>5</v>
      </c>
      <c r="U453">
        <v>0</v>
      </c>
      <c r="V453">
        <v>3</v>
      </c>
      <c r="W453">
        <v>27</v>
      </c>
      <c r="X453">
        <v>41</v>
      </c>
      <c r="Y453">
        <v>14</v>
      </c>
      <c r="Z453">
        <v>9</v>
      </c>
      <c r="AA453">
        <v>1</v>
      </c>
      <c r="AB453">
        <v>2</v>
      </c>
      <c r="AC453">
        <v>24</v>
      </c>
      <c r="AD453">
        <v>0</v>
      </c>
      <c r="AE453">
        <v>1</v>
      </c>
      <c r="AF453">
        <v>3</v>
      </c>
      <c r="AG453">
        <v>0</v>
      </c>
      <c r="AH453">
        <v>0</v>
      </c>
      <c r="AI453" s="5">
        <v>0.23699999999999999</v>
      </c>
      <c r="AJ453" s="5">
        <v>0.30199999999999999</v>
      </c>
      <c r="AK453" s="5">
        <v>0.36</v>
      </c>
      <c r="AL453" s="5">
        <v>0.248</v>
      </c>
      <c r="AM453" s="5">
        <v>0.27900000000000003</v>
      </c>
      <c r="AN453">
        <v>-0.3</v>
      </c>
      <c r="AO453">
        <v>0.31</v>
      </c>
      <c r="AP453">
        <v>3.38</v>
      </c>
      <c r="AQ453">
        <v>-1.59</v>
      </c>
      <c r="AR453">
        <v>1.4</v>
      </c>
      <c r="AS453" t="s">
        <v>62</v>
      </c>
      <c r="AT453">
        <v>0.3</v>
      </c>
      <c r="AU453">
        <v>1.8</v>
      </c>
      <c r="AV453">
        <v>2</v>
      </c>
      <c r="AW453">
        <v>37</v>
      </c>
      <c r="AX453">
        <v>11</v>
      </c>
      <c r="AY453">
        <v>24</v>
      </c>
      <c r="AZ453" t="s">
        <v>3954</v>
      </c>
      <c r="BA453">
        <v>85</v>
      </c>
      <c r="BB453" t="s">
        <v>35</v>
      </c>
      <c r="BC453" t="s">
        <v>36</v>
      </c>
      <c r="BD453" s="4">
        <f>HYPERLINK("http://mlb.mlb.com/team/player.jsp?player_id=608700",608700)</f>
        <v>608700</v>
      </c>
      <c r="BE453">
        <v>1395</v>
      </c>
      <c r="BF453">
        <v>395</v>
      </c>
      <c r="BG453">
        <v>118</v>
      </c>
      <c r="BH453">
        <v>100</v>
      </c>
    </row>
    <row r="454" spans="1:60" x14ac:dyDescent="0.3">
      <c r="A454" s="4">
        <f>HYPERLINK("http://legacy.baseballprospectus.com/p/102745",102745)</f>
        <v>102745</v>
      </c>
      <c r="B454" t="s">
        <v>637</v>
      </c>
      <c r="C454" t="s">
        <v>1271</v>
      </c>
      <c r="D454" s="10">
        <v>34865</v>
      </c>
      <c r="E454" t="s">
        <v>50</v>
      </c>
      <c r="F454" t="s">
        <v>9</v>
      </c>
      <c r="G454" t="s">
        <v>9</v>
      </c>
      <c r="H454">
        <v>72</v>
      </c>
      <c r="I454">
        <v>239</v>
      </c>
      <c r="J454">
        <v>2018</v>
      </c>
      <c r="K454" s="4" t="str">
        <f>HYPERLINK("http://legacy.baseballprospectus.com/fantasy/dc/index.php?tm=NYN","NYN")</f>
        <v>NYN</v>
      </c>
      <c r="L454" t="s">
        <v>100</v>
      </c>
      <c r="M454" t="s">
        <v>34</v>
      </c>
      <c r="N454">
        <v>23</v>
      </c>
      <c r="O454">
        <v>211</v>
      </c>
      <c r="P454">
        <v>93</v>
      </c>
      <c r="Q454">
        <v>194</v>
      </c>
      <c r="R454">
        <v>23</v>
      </c>
      <c r="S454">
        <v>33</v>
      </c>
      <c r="T454">
        <v>10</v>
      </c>
      <c r="U454">
        <v>0</v>
      </c>
      <c r="V454">
        <v>7</v>
      </c>
      <c r="W454">
        <v>50</v>
      </c>
      <c r="X454">
        <v>81</v>
      </c>
      <c r="Y454">
        <v>27</v>
      </c>
      <c r="Z454">
        <v>15</v>
      </c>
      <c r="AA454">
        <v>1</v>
      </c>
      <c r="AB454">
        <v>1</v>
      </c>
      <c r="AC454">
        <v>46</v>
      </c>
      <c r="AD454">
        <v>0</v>
      </c>
      <c r="AE454">
        <v>1</v>
      </c>
      <c r="AF454">
        <v>6</v>
      </c>
      <c r="AG454">
        <v>0</v>
      </c>
      <c r="AH454">
        <v>0</v>
      </c>
      <c r="AI454" s="5">
        <v>0.25800000000000001</v>
      </c>
      <c r="AJ454" s="5">
        <v>0.313</v>
      </c>
      <c r="AK454" s="5">
        <v>0.41799999999999998</v>
      </c>
      <c r="AL454" s="5">
        <v>0.25800000000000001</v>
      </c>
      <c r="AM454" s="5">
        <v>0.30299999999999999</v>
      </c>
      <c r="AN454">
        <v>-0.5</v>
      </c>
      <c r="AO454">
        <v>-2.62</v>
      </c>
      <c r="AP454">
        <v>5.66</v>
      </c>
      <c r="AQ454">
        <v>-0.47</v>
      </c>
      <c r="AR454">
        <v>0.6</v>
      </c>
      <c r="AS454" t="s">
        <v>77</v>
      </c>
      <c r="AT454">
        <v>0.3</v>
      </c>
      <c r="AU454">
        <v>2.1</v>
      </c>
      <c r="AV454">
        <v>6</v>
      </c>
      <c r="AW454">
        <v>21</v>
      </c>
      <c r="AX454">
        <v>5</v>
      </c>
      <c r="AY454">
        <v>21</v>
      </c>
      <c r="AZ454" t="s">
        <v>4126</v>
      </c>
      <c r="BA454">
        <v>40</v>
      </c>
      <c r="BB454" t="s">
        <v>35</v>
      </c>
      <c r="BC454" t="s">
        <v>36</v>
      </c>
      <c r="BD454" s="4">
        <f>HYPERLINK("http://mlb.mlb.com/team/player.jsp?player_id=642086",642086)</f>
        <v>642086</v>
      </c>
      <c r="BE454">
        <v>1437</v>
      </c>
      <c r="BF454">
        <v>437</v>
      </c>
      <c r="BG454">
        <v>183</v>
      </c>
      <c r="BH454">
        <v>167</v>
      </c>
    </row>
    <row r="455" spans="1:60" x14ac:dyDescent="0.3">
      <c r="A455" s="4">
        <f>HYPERLINK("http://legacy.baseballprospectus.com/p/102436",102436)</f>
        <v>102436</v>
      </c>
      <c r="B455" t="s">
        <v>1268</v>
      </c>
      <c r="C455" t="s">
        <v>713</v>
      </c>
      <c r="D455" s="10">
        <v>33692</v>
      </c>
      <c r="E455" t="s">
        <v>58</v>
      </c>
      <c r="F455" t="s">
        <v>33</v>
      </c>
      <c r="G455" t="s">
        <v>33</v>
      </c>
      <c r="H455">
        <v>74</v>
      </c>
      <c r="I455">
        <v>195</v>
      </c>
      <c r="J455">
        <v>2018</v>
      </c>
      <c r="K455" s="4" t="str">
        <f>HYPERLINK("http://legacy.baseballprospectus.com/fantasy/dc/index.php?tm=OAK","OAK")</f>
        <v>OAK</v>
      </c>
      <c r="L455" t="s">
        <v>95</v>
      </c>
      <c r="M455" t="s">
        <v>34</v>
      </c>
      <c r="N455">
        <v>26</v>
      </c>
      <c r="O455">
        <v>251</v>
      </c>
      <c r="P455">
        <v>72</v>
      </c>
      <c r="Q455">
        <v>233</v>
      </c>
      <c r="R455">
        <v>29</v>
      </c>
      <c r="S455">
        <v>35</v>
      </c>
      <c r="T455">
        <v>12</v>
      </c>
      <c r="U455">
        <v>1</v>
      </c>
      <c r="V455">
        <v>9</v>
      </c>
      <c r="W455">
        <v>57</v>
      </c>
      <c r="X455">
        <v>98</v>
      </c>
      <c r="Y455">
        <v>31</v>
      </c>
      <c r="Z455">
        <v>12</v>
      </c>
      <c r="AA455">
        <v>1</v>
      </c>
      <c r="AB455">
        <v>4</v>
      </c>
      <c r="AC455">
        <v>68</v>
      </c>
      <c r="AD455">
        <v>1</v>
      </c>
      <c r="AE455">
        <v>1</v>
      </c>
      <c r="AF455">
        <v>6</v>
      </c>
      <c r="AG455">
        <v>2</v>
      </c>
      <c r="AH455">
        <v>1</v>
      </c>
      <c r="AI455" s="5">
        <v>0.245</v>
      </c>
      <c r="AJ455" s="5">
        <v>0.29199999999999998</v>
      </c>
      <c r="AK455" s="5">
        <v>0.42099999999999999</v>
      </c>
      <c r="AL455" s="5">
        <v>0.25</v>
      </c>
      <c r="AM455" s="5">
        <v>0.30599999999999999</v>
      </c>
      <c r="AN455">
        <v>-0.3</v>
      </c>
      <c r="AO455">
        <v>0.82</v>
      </c>
      <c r="AP455">
        <v>6.74</v>
      </c>
      <c r="AQ455">
        <v>-2.75</v>
      </c>
      <c r="AR455">
        <v>-2</v>
      </c>
      <c r="AS455" t="s">
        <v>4859</v>
      </c>
      <c r="AT455">
        <v>0.3</v>
      </c>
      <c r="AU455">
        <v>4.5</v>
      </c>
      <c r="AV455">
        <v>10</v>
      </c>
      <c r="AW455">
        <v>28</v>
      </c>
      <c r="AX455">
        <v>12</v>
      </c>
      <c r="AY455">
        <v>19</v>
      </c>
      <c r="AZ455" t="s">
        <v>4314</v>
      </c>
      <c r="BA455">
        <v>56</v>
      </c>
      <c r="BB455" t="s">
        <v>35</v>
      </c>
      <c r="BC455" t="s">
        <v>36</v>
      </c>
      <c r="BD455" s="4">
        <f>HYPERLINK("http://mlb.mlb.com/team/player.jsp?player_id=640461",640461)</f>
        <v>640461</v>
      </c>
      <c r="BE455">
        <v>512</v>
      </c>
      <c r="BF455">
        <v>1512</v>
      </c>
      <c r="BG455">
        <v>309</v>
      </c>
      <c r="BH455">
        <v>282</v>
      </c>
    </row>
    <row r="456" spans="1:60" x14ac:dyDescent="0.3">
      <c r="A456" s="4">
        <f>HYPERLINK("http://legacy.baseballprospectus.com/p/105531",105531)</f>
        <v>105531</v>
      </c>
      <c r="B456" t="s">
        <v>1690</v>
      </c>
      <c r="C456" t="s">
        <v>412</v>
      </c>
      <c r="D456" s="10">
        <v>34488</v>
      </c>
      <c r="E456" t="s">
        <v>57</v>
      </c>
      <c r="F456" t="s">
        <v>33</v>
      </c>
      <c r="G456" t="s">
        <v>33</v>
      </c>
      <c r="H456">
        <v>72</v>
      </c>
      <c r="I456">
        <v>195</v>
      </c>
      <c r="J456">
        <v>2018</v>
      </c>
      <c r="K456" s="4" t="str">
        <f>HYPERLINK("http://legacy.baseballprospectus.com/fantasy/dc/index.php?tm=SLN","SLN")</f>
        <v>SLN</v>
      </c>
      <c r="L456" t="s">
        <v>100</v>
      </c>
      <c r="M456" t="s">
        <v>34</v>
      </c>
      <c r="N456">
        <v>24</v>
      </c>
      <c r="O456">
        <v>189</v>
      </c>
      <c r="P456">
        <v>97</v>
      </c>
      <c r="Q456">
        <v>172</v>
      </c>
      <c r="R456">
        <v>25</v>
      </c>
      <c r="S456">
        <v>28</v>
      </c>
      <c r="T456">
        <v>7</v>
      </c>
      <c r="U456">
        <v>1</v>
      </c>
      <c r="V456">
        <v>7</v>
      </c>
      <c r="W456">
        <v>43</v>
      </c>
      <c r="X456">
        <v>73</v>
      </c>
      <c r="Y456">
        <v>23</v>
      </c>
      <c r="Z456">
        <v>12</v>
      </c>
      <c r="AA456">
        <v>1</v>
      </c>
      <c r="AB456">
        <v>4</v>
      </c>
      <c r="AC456">
        <v>51</v>
      </c>
      <c r="AD456">
        <v>0</v>
      </c>
      <c r="AE456">
        <v>1</v>
      </c>
      <c r="AF456">
        <v>3</v>
      </c>
      <c r="AG456">
        <v>4</v>
      </c>
      <c r="AH456">
        <v>3</v>
      </c>
      <c r="AI456" s="5">
        <v>0.25</v>
      </c>
      <c r="AJ456" s="5">
        <v>0.312</v>
      </c>
      <c r="AK456" s="5">
        <v>0.42399999999999999</v>
      </c>
      <c r="AL456" s="5">
        <v>0.25600000000000001</v>
      </c>
      <c r="AM456" s="5">
        <v>0.309</v>
      </c>
      <c r="AN456">
        <v>-0.2</v>
      </c>
      <c r="AO456">
        <v>-1.17</v>
      </c>
      <c r="AP456">
        <v>5.07</v>
      </c>
      <c r="AQ456">
        <v>-0.8</v>
      </c>
      <c r="AR456">
        <v>0.4</v>
      </c>
      <c r="AS456" t="s">
        <v>1839</v>
      </c>
      <c r="AT456">
        <v>0.3</v>
      </c>
      <c r="AU456">
        <v>2.9</v>
      </c>
      <c r="AV456">
        <v>8</v>
      </c>
      <c r="AW456">
        <v>36</v>
      </c>
      <c r="AX456">
        <v>8</v>
      </c>
      <c r="AY456">
        <v>20</v>
      </c>
      <c r="AZ456" t="s">
        <v>4127</v>
      </c>
      <c r="BA456">
        <v>58</v>
      </c>
      <c r="BB456" t="s">
        <v>35</v>
      </c>
      <c r="BC456" t="s">
        <v>35</v>
      </c>
      <c r="BD456" s="4">
        <f>HYPERLINK("http://mlb.mlb.com/team/player.jsp?player_id=664056",664056)</f>
        <v>664056</v>
      </c>
      <c r="BE456">
        <v>1631</v>
      </c>
      <c r="BF456">
        <v>631</v>
      </c>
      <c r="BG456">
        <v>92</v>
      </c>
      <c r="BH456">
        <v>85</v>
      </c>
    </row>
    <row r="457" spans="1:60" x14ac:dyDescent="0.3">
      <c r="A457" s="4">
        <f>HYPERLINK("http://legacy.baseballprospectus.com/p/102704",102704)</f>
        <v>102704</v>
      </c>
      <c r="B457" t="s">
        <v>1097</v>
      </c>
      <c r="C457" t="s">
        <v>258</v>
      </c>
      <c r="D457" s="10">
        <v>34872</v>
      </c>
      <c r="E457" t="s">
        <v>59</v>
      </c>
      <c r="F457" t="s">
        <v>33</v>
      </c>
      <c r="G457" t="s">
        <v>33</v>
      </c>
      <c r="H457">
        <v>71</v>
      </c>
      <c r="I457">
        <v>210</v>
      </c>
      <c r="J457">
        <v>2018</v>
      </c>
      <c r="K457" s="4" t="str">
        <f>HYPERLINK("http://legacy.baseballprospectus.com/fantasy/dc/index.php?tm=SLN","SLN")</f>
        <v>SLN</v>
      </c>
      <c r="L457" t="s">
        <v>100</v>
      </c>
      <c r="M457" t="s">
        <v>34</v>
      </c>
      <c r="N457">
        <v>23</v>
      </c>
      <c r="O457">
        <v>130</v>
      </c>
      <c r="P457">
        <v>59</v>
      </c>
      <c r="Q457">
        <v>117</v>
      </c>
      <c r="R457">
        <v>18</v>
      </c>
      <c r="S457">
        <v>15</v>
      </c>
      <c r="T457">
        <v>5</v>
      </c>
      <c r="U457">
        <v>1</v>
      </c>
      <c r="V457">
        <v>7</v>
      </c>
      <c r="W457">
        <v>28</v>
      </c>
      <c r="X457">
        <v>56</v>
      </c>
      <c r="Y457">
        <v>20</v>
      </c>
      <c r="Z457">
        <v>11</v>
      </c>
      <c r="AA457">
        <v>1</v>
      </c>
      <c r="AB457">
        <v>1</v>
      </c>
      <c r="AC457">
        <v>40</v>
      </c>
      <c r="AD457">
        <v>0</v>
      </c>
      <c r="AE457">
        <v>1</v>
      </c>
      <c r="AF457">
        <v>2</v>
      </c>
      <c r="AG457">
        <v>2</v>
      </c>
      <c r="AH457">
        <v>0</v>
      </c>
      <c r="AI457" s="5">
        <v>0.23899999999999999</v>
      </c>
      <c r="AJ457" s="5">
        <v>0.308</v>
      </c>
      <c r="AK457" s="5">
        <v>0.47899999999999998</v>
      </c>
      <c r="AL457" s="5">
        <v>0.26500000000000001</v>
      </c>
      <c r="AM457" s="5">
        <v>0.29599999999999999</v>
      </c>
      <c r="AN457">
        <v>0.1</v>
      </c>
      <c r="AO457">
        <v>-0.71</v>
      </c>
      <c r="AP457">
        <v>3.49</v>
      </c>
      <c r="AQ457">
        <v>0.63</v>
      </c>
      <c r="AR457">
        <v>-0.6</v>
      </c>
      <c r="AS457" t="s">
        <v>1807</v>
      </c>
      <c r="AT457">
        <v>0.3</v>
      </c>
      <c r="AU457">
        <v>3.5</v>
      </c>
      <c r="AV457">
        <v>6</v>
      </c>
      <c r="AW457">
        <v>25</v>
      </c>
      <c r="AX457">
        <v>5</v>
      </c>
      <c r="AY457">
        <v>17</v>
      </c>
      <c r="AZ457" t="s">
        <v>3800</v>
      </c>
      <c r="BA457">
        <v>55</v>
      </c>
      <c r="BB457" t="s">
        <v>35</v>
      </c>
      <c r="BC457" t="s">
        <v>35</v>
      </c>
      <c r="BD457" s="4">
        <f>HYPERLINK("http://mlb.mlb.com/team/player.jsp?player_id=641933",641933)</f>
        <v>641933</v>
      </c>
      <c r="BE457">
        <v>1681</v>
      </c>
      <c r="BF457">
        <v>681</v>
      </c>
      <c r="BG457">
        <v>0</v>
      </c>
      <c r="BH457">
        <v>0</v>
      </c>
    </row>
    <row r="458" spans="1:60" x14ac:dyDescent="0.3">
      <c r="A458" s="4">
        <f>HYPERLINK("http://legacy.baseballprospectus.com/p/31369",31369)</f>
        <v>31369</v>
      </c>
      <c r="B458" t="s">
        <v>407</v>
      </c>
      <c r="C458" t="s">
        <v>408</v>
      </c>
      <c r="D458" s="10">
        <v>30182</v>
      </c>
      <c r="E458" t="s">
        <v>53</v>
      </c>
      <c r="F458" t="s">
        <v>33</v>
      </c>
      <c r="G458" t="s">
        <v>33</v>
      </c>
      <c r="H458">
        <v>73</v>
      </c>
      <c r="I458">
        <v>200</v>
      </c>
      <c r="J458">
        <v>2018</v>
      </c>
      <c r="K458" s="4" t="str">
        <f>HYPERLINK("http://legacy.baseballprospectus.com/fantasy/dc/index.php?tm=BAL","BAL")</f>
        <v>BAL</v>
      </c>
      <c r="L458" t="s">
        <v>95</v>
      </c>
      <c r="M458" t="s">
        <v>34</v>
      </c>
      <c r="N458">
        <v>35</v>
      </c>
      <c r="O458">
        <v>292</v>
      </c>
      <c r="P458" t="s">
        <v>1680</v>
      </c>
      <c r="Q458">
        <v>271</v>
      </c>
      <c r="R458">
        <v>29</v>
      </c>
      <c r="S458">
        <v>47</v>
      </c>
      <c r="T458">
        <v>13</v>
      </c>
      <c r="U458">
        <v>0</v>
      </c>
      <c r="V458">
        <v>7</v>
      </c>
      <c r="W458">
        <v>67</v>
      </c>
      <c r="X458">
        <v>101</v>
      </c>
      <c r="Y458">
        <v>31</v>
      </c>
      <c r="Z458">
        <v>17</v>
      </c>
      <c r="AA458">
        <v>1</v>
      </c>
      <c r="AB458">
        <v>1</v>
      </c>
      <c r="AC458">
        <v>51</v>
      </c>
      <c r="AD458">
        <v>1</v>
      </c>
      <c r="AE458">
        <v>2</v>
      </c>
      <c r="AF458">
        <v>8</v>
      </c>
      <c r="AG458">
        <v>0</v>
      </c>
      <c r="AH458">
        <v>0</v>
      </c>
      <c r="AI458" s="5">
        <v>0.249</v>
      </c>
      <c r="AJ458" s="5">
        <v>0.29499999999999998</v>
      </c>
      <c r="AK458" s="5">
        <v>0.378</v>
      </c>
      <c r="AL458" s="5">
        <v>0.22600000000000001</v>
      </c>
      <c r="AM458" s="5">
        <v>0.28100000000000003</v>
      </c>
      <c r="AN458">
        <v>-0.8</v>
      </c>
      <c r="AO458">
        <v>4.97</v>
      </c>
      <c r="AP458">
        <v>8.18</v>
      </c>
      <c r="AQ458">
        <v>-10.56</v>
      </c>
      <c r="AR458">
        <v>0</v>
      </c>
      <c r="AS458" t="s">
        <v>74</v>
      </c>
      <c r="AT458">
        <v>0.2</v>
      </c>
      <c r="AU458">
        <v>1.8</v>
      </c>
      <c r="AV458">
        <v>1</v>
      </c>
      <c r="AW458">
        <v>36</v>
      </c>
      <c r="AX458">
        <v>9</v>
      </c>
      <c r="AY458">
        <v>32</v>
      </c>
      <c r="AZ458" t="s">
        <v>4066</v>
      </c>
      <c r="BA458">
        <v>79</v>
      </c>
      <c r="BB458" t="s">
        <v>36</v>
      </c>
      <c r="BC458" t="s">
        <v>36</v>
      </c>
      <c r="BD458" s="4">
        <f>HYPERLINK("http://mlb.mlb.com/team/player.jsp?player_id=429666",429666)</f>
        <v>429666</v>
      </c>
      <c r="BE458">
        <v>0</v>
      </c>
      <c r="BF458">
        <v>0</v>
      </c>
      <c r="BG458">
        <v>268</v>
      </c>
      <c r="BH458">
        <v>254</v>
      </c>
    </row>
    <row r="459" spans="1:60" x14ac:dyDescent="0.3">
      <c r="A459" s="4">
        <f>HYPERLINK("http://legacy.baseballprospectus.com/p/45397",45397)</f>
        <v>45397</v>
      </c>
      <c r="B459" t="s">
        <v>214</v>
      </c>
      <c r="C459" t="s">
        <v>216</v>
      </c>
      <c r="D459" s="10">
        <v>30905</v>
      </c>
      <c r="E459" t="s">
        <v>59</v>
      </c>
      <c r="F459" t="s">
        <v>37</v>
      </c>
      <c r="G459" t="s">
        <v>9</v>
      </c>
      <c r="H459">
        <v>70</v>
      </c>
      <c r="I459">
        <v>210</v>
      </c>
      <c r="J459">
        <v>2018</v>
      </c>
      <c r="K459" s="4" t="str">
        <f>HYPERLINK("http://legacy.baseballprospectus.com/fantasy/dc/index.php?tm=KCA","KCA")</f>
        <v>KCA</v>
      </c>
      <c r="L459" t="s">
        <v>95</v>
      </c>
      <c r="M459" t="s">
        <v>34</v>
      </c>
      <c r="N459">
        <v>33</v>
      </c>
      <c r="O459">
        <v>622</v>
      </c>
      <c r="P459" t="s">
        <v>1680</v>
      </c>
      <c r="Q459">
        <v>573</v>
      </c>
      <c r="R459">
        <v>63</v>
      </c>
      <c r="S459">
        <v>115</v>
      </c>
      <c r="T459">
        <v>32</v>
      </c>
      <c r="U459">
        <v>3</v>
      </c>
      <c r="V459">
        <v>13</v>
      </c>
      <c r="W459">
        <v>163</v>
      </c>
      <c r="X459">
        <v>240</v>
      </c>
      <c r="Y459">
        <v>70</v>
      </c>
      <c r="Z459">
        <v>41</v>
      </c>
      <c r="AA459">
        <v>1</v>
      </c>
      <c r="AB459">
        <v>2</v>
      </c>
      <c r="AC459">
        <v>73</v>
      </c>
      <c r="AD459">
        <v>2</v>
      </c>
      <c r="AE459">
        <v>5</v>
      </c>
      <c r="AF459">
        <v>18</v>
      </c>
      <c r="AG459">
        <v>2</v>
      </c>
      <c r="AH459">
        <v>1</v>
      </c>
      <c r="AI459" s="5">
        <v>0.28399999999999997</v>
      </c>
      <c r="AJ459" s="5">
        <v>0.33100000000000002</v>
      </c>
      <c r="AK459" s="5">
        <v>0.41699999999999998</v>
      </c>
      <c r="AL459" s="5">
        <v>0.252</v>
      </c>
      <c r="AM459" s="5">
        <v>0.30399999999999999</v>
      </c>
      <c r="AN459">
        <v>-2.4</v>
      </c>
      <c r="AO459">
        <v>2.2200000000000002</v>
      </c>
      <c r="AP459">
        <v>17.420000000000002</v>
      </c>
      <c r="AQ459">
        <v>-5.32</v>
      </c>
      <c r="AR459">
        <v>-10</v>
      </c>
      <c r="AS459" t="s">
        <v>4910</v>
      </c>
      <c r="AT459">
        <v>0.2</v>
      </c>
      <c r="AU459">
        <v>11.9</v>
      </c>
      <c r="AV459">
        <v>4</v>
      </c>
      <c r="AW459">
        <v>35</v>
      </c>
      <c r="AX459">
        <v>6</v>
      </c>
      <c r="AY459">
        <v>15</v>
      </c>
      <c r="AZ459" t="s">
        <v>4070</v>
      </c>
      <c r="BA459">
        <v>85</v>
      </c>
      <c r="BB459" t="s">
        <v>36</v>
      </c>
      <c r="BC459" t="s">
        <v>36</v>
      </c>
      <c r="BD459" s="4">
        <f>HYPERLINK("http://mlb.mlb.com/team/player.jsp?player_id=466320",466320)</f>
        <v>466320</v>
      </c>
      <c r="BE459">
        <v>0</v>
      </c>
      <c r="BF459">
        <v>0</v>
      </c>
      <c r="BG459">
        <v>666</v>
      </c>
      <c r="BH459">
        <v>620</v>
      </c>
    </row>
    <row r="460" spans="1:60" x14ac:dyDescent="0.3">
      <c r="A460" s="4">
        <f>HYPERLINK("http://legacy.baseballprospectus.com/p/45430",45430)</f>
        <v>45430</v>
      </c>
      <c r="B460" t="s">
        <v>424</v>
      </c>
      <c r="C460" t="s">
        <v>277</v>
      </c>
      <c r="D460" s="10">
        <v>30031</v>
      </c>
      <c r="E460" t="s">
        <v>51</v>
      </c>
      <c r="F460" t="s">
        <v>33</v>
      </c>
      <c r="G460" t="s">
        <v>33</v>
      </c>
      <c r="H460">
        <v>71</v>
      </c>
      <c r="I460">
        <v>200</v>
      </c>
      <c r="J460">
        <v>2018</v>
      </c>
      <c r="K460" s="4" t="str">
        <f>HYPERLINK("http://legacy.baseballprospectus.com/fantasy/dc/index.php?tm=SFN","SFN")</f>
        <v>SFN</v>
      </c>
      <c r="L460" t="s">
        <v>100</v>
      </c>
      <c r="M460" t="s">
        <v>34</v>
      </c>
      <c r="N460">
        <v>36</v>
      </c>
      <c r="O460">
        <v>250</v>
      </c>
      <c r="P460" t="s">
        <v>1680</v>
      </c>
      <c r="Q460">
        <v>226</v>
      </c>
      <c r="R460">
        <v>24</v>
      </c>
      <c r="S460">
        <v>38</v>
      </c>
      <c r="T460">
        <v>11</v>
      </c>
      <c r="U460">
        <v>1</v>
      </c>
      <c r="V460">
        <v>5</v>
      </c>
      <c r="W460">
        <v>55</v>
      </c>
      <c r="X460">
        <v>83</v>
      </c>
      <c r="Y460">
        <v>25</v>
      </c>
      <c r="Z460">
        <v>20</v>
      </c>
      <c r="AA460">
        <v>1</v>
      </c>
      <c r="AB460">
        <v>2</v>
      </c>
      <c r="AC460">
        <v>42</v>
      </c>
      <c r="AD460">
        <v>0</v>
      </c>
      <c r="AE460">
        <v>2</v>
      </c>
      <c r="AF460">
        <v>6</v>
      </c>
      <c r="AG460">
        <v>3</v>
      </c>
      <c r="AH460">
        <v>1</v>
      </c>
      <c r="AI460" s="5">
        <v>0.23799999999999999</v>
      </c>
      <c r="AJ460" s="5">
        <v>0.30399999999999999</v>
      </c>
      <c r="AK460" s="5">
        <v>0.35399999999999998</v>
      </c>
      <c r="AL460" s="5">
        <v>0.23100000000000001</v>
      </c>
      <c r="AM460" s="5">
        <v>0.27100000000000002</v>
      </c>
      <c r="AN460">
        <v>-0.6</v>
      </c>
      <c r="AO460">
        <v>2.27</v>
      </c>
      <c r="AP460">
        <v>7</v>
      </c>
      <c r="AQ460">
        <v>-7.5</v>
      </c>
      <c r="AR460">
        <v>0.3</v>
      </c>
      <c r="AS460" t="s">
        <v>4860</v>
      </c>
      <c r="AT460">
        <v>0.2</v>
      </c>
      <c r="AU460">
        <v>1.2</v>
      </c>
      <c r="AV460">
        <v>0</v>
      </c>
      <c r="AW460">
        <v>33</v>
      </c>
      <c r="AX460">
        <v>12</v>
      </c>
      <c r="AY460">
        <v>20</v>
      </c>
      <c r="AZ460" t="s">
        <v>4132</v>
      </c>
      <c r="BA460">
        <v>78</v>
      </c>
      <c r="BB460" t="s">
        <v>36</v>
      </c>
      <c r="BC460" t="s">
        <v>36</v>
      </c>
      <c r="BD460" s="4">
        <f>HYPERLINK("http://mlb.mlb.com/team/player.jsp?player_id=431094",431094)</f>
        <v>431094</v>
      </c>
      <c r="BE460">
        <v>0</v>
      </c>
      <c r="BF460">
        <v>0</v>
      </c>
      <c r="BG460">
        <v>80</v>
      </c>
      <c r="BH460">
        <v>68</v>
      </c>
    </row>
    <row r="461" spans="1:60" x14ac:dyDescent="0.3">
      <c r="A461" s="4">
        <f>HYPERLINK("http://legacy.baseballprospectus.com/p/45794",45794)</f>
        <v>45794</v>
      </c>
      <c r="B461" t="s">
        <v>230</v>
      </c>
      <c r="C461" t="s">
        <v>231</v>
      </c>
      <c r="D461" s="10">
        <v>31939</v>
      </c>
      <c r="E461" t="s">
        <v>65</v>
      </c>
      <c r="F461" t="s">
        <v>9</v>
      </c>
      <c r="G461" t="s">
        <v>9</v>
      </c>
      <c r="H461">
        <v>71</v>
      </c>
      <c r="I461">
        <v>185</v>
      </c>
      <c r="J461">
        <v>2018</v>
      </c>
      <c r="K461" s="4" t="str">
        <f>HYPERLINK("http://legacy.baseballprospectus.com/fantasy/dc/index.php?tm=ATL","ATL")</f>
        <v>ATL</v>
      </c>
      <c r="L461" t="s">
        <v>95</v>
      </c>
      <c r="M461" t="s">
        <v>34</v>
      </c>
      <c r="N461">
        <v>31</v>
      </c>
      <c r="O461">
        <v>148</v>
      </c>
      <c r="P461" t="s">
        <v>1680</v>
      </c>
      <c r="Q461">
        <v>131</v>
      </c>
      <c r="R461">
        <v>19</v>
      </c>
      <c r="S461">
        <v>24</v>
      </c>
      <c r="T461">
        <v>5</v>
      </c>
      <c r="U461">
        <v>1</v>
      </c>
      <c r="V461">
        <v>3</v>
      </c>
      <c r="W461">
        <v>33</v>
      </c>
      <c r="X461">
        <v>49</v>
      </c>
      <c r="Y461">
        <v>13</v>
      </c>
      <c r="Z461">
        <v>13</v>
      </c>
      <c r="AA461">
        <v>0</v>
      </c>
      <c r="AB461">
        <v>1</v>
      </c>
      <c r="AC461">
        <v>33</v>
      </c>
      <c r="AD461">
        <v>3</v>
      </c>
      <c r="AE461">
        <v>1</v>
      </c>
      <c r="AF461">
        <v>3</v>
      </c>
      <c r="AG461">
        <v>5</v>
      </c>
      <c r="AH461">
        <v>1</v>
      </c>
      <c r="AI461" s="5">
        <v>0.255</v>
      </c>
      <c r="AJ461" s="5">
        <v>0.32500000000000001</v>
      </c>
      <c r="AK461" s="5">
        <v>0.371</v>
      </c>
      <c r="AL461" s="5">
        <v>0.23599999999999999</v>
      </c>
      <c r="AM461" s="5">
        <v>0.31</v>
      </c>
      <c r="AN461">
        <v>0.5</v>
      </c>
      <c r="AO461">
        <v>0.93</v>
      </c>
      <c r="AP461">
        <v>4.1399999999999997</v>
      </c>
      <c r="AQ461">
        <v>-3.66</v>
      </c>
      <c r="AR461">
        <v>-0.5</v>
      </c>
      <c r="AS461" t="s">
        <v>4971</v>
      </c>
      <c r="AT461">
        <v>0.2</v>
      </c>
      <c r="AU461">
        <v>1.9</v>
      </c>
      <c r="AV461">
        <v>2</v>
      </c>
      <c r="AW461">
        <v>23</v>
      </c>
      <c r="AX461">
        <v>15</v>
      </c>
      <c r="AY461">
        <v>25</v>
      </c>
      <c r="AZ461" t="s">
        <v>4302</v>
      </c>
      <c r="BA461">
        <v>58</v>
      </c>
      <c r="BB461" t="s">
        <v>36</v>
      </c>
      <c r="BC461" t="s">
        <v>36</v>
      </c>
      <c r="BD461" s="4">
        <f>HYPERLINK("http://mlb.mlb.com/team/player.jsp?player_id=485567",485567)</f>
        <v>485567</v>
      </c>
      <c r="BE461">
        <v>599</v>
      </c>
      <c r="BF461">
        <v>1599</v>
      </c>
      <c r="BG461">
        <v>325</v>
      </c>
      <c r="BH461">
        <v>287</v>
      </c>
    </row>
    <row r="462" spans="1:60" x14ac:dyDescent="0.3">
      <c r="A462" s="4">
        <f>HYPERLINK("http://legacy.baseballprospectus.com/p/46669",46669)</f>
        <v>46669</v>
      </c>
      <c r="B462" t="s">
        <v>611</v>
      </c>
      <c r="C462" t="s">
        <v>254</v>
      </c>
      <c r="D462" s="10">
        <v>30053</v>
      </c>
      <c r="E462" t="s">
        <v>65</v>
      </c>
      <c r="F462" t="s">
        <v>33</v>
      </c>
      <c r="G462" t="s">
        <v>33</v>
      </c>
      <c r="H462">
        <v>73</v>
      </c>
      <c r="I462">
        <v>210</v>
      </c>
      <c r="J462">
        <v>2018</v>
      </c>
      <c r="K462" s="4" t="str">
        <f>HYPERLINK("http://legacy.baseballprospectus.com/fantasy/dc/index.php?tm=SFN","SFN")</f>
        <v>SFN</v>
      </c>
      <c r="L462" t="s">
        <v>100</v>
      </c>
      <c r="M462" t="s">
        <v>34</v>
      </c>
      <c r="N462">
        <v>36</v>
      </c>
      <c r="O462">
        <v>250</v>
      </c>
      <c r="P462" t="s">
        <v>1680</v>
      </c>
      <c r="Q462">
        <v>225</v>
      </c>
      <c r="R462">
        <v>29</v>
      </c>
      <c r="S462">
        <v>32</v>
      </c>
      <c r="T462">
        <v>11</v>
      </c>
      <c r="U462">
        <v>1</v>
      </c>
      <c r="V462">
        <v>9</v>
      </c>
      <c r="W462">
        <v>53</v>
      </c>
      <c r="X462">
        <v>93</v>
      </c>
      <c r="Y462">
        <v>30</v>
      </c>
      <c r="Z462">
        <v>20</v>
      </c>
      <c r="AA462">
        <v>0</v>
      </c>
      <c r="AB462">
        <v>3</v>
      </c>
      <c r="AC462">
        <v>71</v>
      </c>
      <c r="AD462">
        <v>1</v>
      </c>
      <c r="AE462">
        <v>2</v>
      </c>
      <c r="AF462">
        <v>6</v>
      </c>
      <c r="AG462">
        <v>4</v>
      </c>
      <c r="AH462">
        <v>3</v>
      </c>
      <c r="AI462" s="5">
        <v>0.23200000000000001</v>
      </c>
      <c r="AJ462" s="5">
        <v>0.30199999999999999</v>
      </c>
      <c r="AK462" s="5">
        <v>0.40100000000000002</v>
      </c>
      <c r="AL462" s="5">
        <v>0.24399999999999999</v>
      </c>
      <c r="AM462" s="5">
        <v>0.29499999999999998</v>
      </c>
      <c r="AN462">
        <v>-0.6</v>
      </c>
      <c r="AO462">
        <v>1.65</v>
      </c>
      <c r="AP462">
        <v>7</v>
      </c>
      <c r="AQ462">
        <v>-4.17</v>
      </c>
      <c r="AR462">
        <v>-2.2999999999999998</v>
      </c>
      <c r="AS462" t="s">
        <v>4136</v>
      </c>
      <c r="AT462">
        <v>0.2</v>
      </c>
      <c r="AU462">
        <v>3.9</v>
      </c>
      <c r="AV462">
        <v>1</v>
      </c>
      <c r="AW462">
        <v>21</v>
      </c>
      <c r="AX462">
        <v>10</v>
      </c>
      <c r="AY462">
        <v>19</v>
      </c>
      <c r="AZ462" t="s">
        <v>4137</v>
      </c>
      <c r="BA462">
        <v>64</v>
      </c>
      <c r="BB462" t="s">
        <v>36</v>
      </c>
      <c r="BC462" t="s">
        <v>36</v>
      </c>
      <c r="BD462" s="4">
        <f>HYPERLINK("http://mlb.mlb.com/team/player.jsp?player_id=448605",448605)</f>
        <v>448605</v>
      </c>
      <c r="BE462">
        <v>0</v>
      </c>
      <c r="BF462">
        <v>0</v>
      </c>
      <c r="BG462">
        <v>63</v>
      </c>
      <c r="BH462">
        <v>60</v>
      </c>
    </row>
    <row r="463" spans="1:60" x14ac:dyDescent="0.3">
      <c r="A463" s="4">
        <f>HYPERLINK("http://legacy.baseballprospectus.com/p/46943",46943)</f>
        <v>46943</v>
      </c>
      <c r="B463" t="s">
        <v>4138</v>
      </c>
      <c r="C463" t="s">
        <v>664</v>
      </c>
      <c r="D463" s="10">
        <v>31182</v>
      </c>
      <c r="E463" t="s">
        <v>57</v>
      </c>
      <c r="F463" t="s">
        <v>9</v>
      </c>
      <c r="G463" t="s">
        <v>9</v>
      </c>
      <c r="H463">
        <v>74</v>
      </c>
      <c r="I463">
        <v>210</v>
      </c>
      <c r="J463">
        <v>2018</v>
      </c>
      <c r="K463" s="4" t="str">
        <f>HYPERLINK("http://legacy.baseballprospectus.com/fantasy/dc/index.php?tm=DET","DET")</f>
        <v>DET</v>
      </c>
      <c r="L463" t="s">
        <v>95</v>
      </c>
      <c r="M463" t="s">
        <v>34</v>
      </c>
      <c r="N463">
        <v>33</v>
      </c>
      <c r="O463">
        <v>250</v>
      </c>
      <c r="P463" t="s">
        <v>1680</v>
      </c>
      <c r="Q463">
        <v>223</v>
      </c>
      <c r="R463">
        <v>32</v>
      </c>
      <c r="S463">
        <v>37</v>
      </c>
      <c r="T463">
        <v>11</v>
      </c>
      <c r="U463">
        <v>1</v>
      </c>
      <c r="V463">
        <v>6</v>
      </c>
      <c r="W463">
        <v>55</v>
      </c>
      <c r="X463">
        <v>86</v>
      </c>
      <c r="Y463">
        <v>24</v>
      </c>
      <c r="Z463">
        <v>23</v>
      </c>
      <c r="AA463">
        <v>1</v>
      </c>
      <c r="AB463">
        <v>1</v>
      </c>
      <c r="AC463">
        <v>62</v>
      </c>
      <c r="AD463">
        <v>1</v>
      </c>
      <c r="AE463">
        <v>2</v>
      </c>
      <c r="AF463">
        <v>4</v>
      </c>
      <c r="AG463">
        <v>7</v>
      </c>
      <c r="AH463">
        <v>3</v>
      </c>
      <c r="AI463" s="5">
        <v>0.25</v>
      </c>
      <c r="AJ463" s="5">
        <v>0.32</v>
      </c>
      <c r="AK463" s="5">
        <v>0.39300000000000002</v>
      </c>
      <c r="AL463" s="5">
        <v>0.23599999999999999</v>
      </c>
      <c r="AM463" s="5">
        <v>0.313</v>
      </c>
      <c r="AN463">
        <v>0.2</v>
      </c>
      <c r="AO463">
        <v>0.57999999999999996</v>
      </c>
      <c r="AP463">
        <v>7</v>
      </c>
      <c r="AQ463">
        <v>-6.2</v>
      </c>
      <c r="AR463">
        <v>-0.2</v>
      </c>
      <c r="AS463" t="s">
        <v>3720</v>
      </c>
      <c r="AT463">
        <v>0.2</v>
      </c>
      <c r="AU463">
        <v>1.6</v>
      </c>
      <c r="AV463">
        <v>4</v>
      </c>
      <c r="AW463">
        <v>16</v>
      </c>
      <c r="AX463">
        <v>12</v>
      </c>
      <c r="AY463">
        <v>26</v>
      </c>
      <c r="AZ463" t="s">
        <v>4139</v>
      </c>
      <c r="BA463">
        <v>42</v>
      </c>
      <c r="BB463" t="s">
        <v>36</v>
      </c>
      <c r="BC463" t="s">
        <v>36</v>
      </c>
      <c r="BD463" s="4">
        <f>HYPERLINK("http://mlb.mlb.com/team/player.jsp?player_id=451192",451192)</f>
        <v>451192</v>
      </c>
      <c r="BE463">
        <v>0</v>
      </c>
      <c r="BF463">
        <v>0</v>
      </c>
      <c r="BG463">
        <v>93</v>
      </c>
      <c r="BH463">
        <v>83</v>
      </c>
    </row>
    <row r="464" spans="1:60" x14ac:dyDescent="0.3">
      <c r="A464" s="4">
        <f>HYPERLINK("http://legacy.baseballprospectus.com/p/50073",50073)</f>
        <v>50073</v>
      </c>
      <c r="B464" t="s">
        <v>4144</v>
      </c>
      <c r="C464" t="s">
        <v>207</v>
      </c>
      <c r="D464" s="10">
        <v>32175</v>
      </c>
      <c r="E464" t="s">
        <v>57</v>
      </c>
      <c r="F464" t="s">
        <v>9</v>
      </c>
      <c r="G464" t="s">
        <v>9</v>
      </c>
      <c r="H464">
        <v>72</v>
      </c>
      <c r="I464">
        <v>235</v>
      </c>
      <c r="J464">
        <v>2018</v>
      </c>
      <c r="K464" s="4" t="str">
        <f>HYPERLINK("http://legacy.baseballprospectus.com/fantasy/dc/index.php?tm=NYN","NYN")</f>
        <v>NYN</v>
      </c>
      <c r="L464" t="s">
        <v>100</v>
      </c>
      <c r="M464" t="s">
        <v>34</v>
      </c>
      <c r="N464">
        <v>30</v>
      </c>
      <c r="O464">
        <v>250</v>
      </c>
      <c r="P464" t="s">
        <v>1680</v>
      </c>
      <c r="Q464">
        <v>221</v>
      </c>
      <c r="R464">
        <v>26</v>
      </c>
      <c r="S464">
        <v>35</v>
      </c>
      <c r="T464">
        <v>11</v>
      </c>
      <c r="U464">
        <v>1</v>
      </c>
      <c r="V464">
        <v>6</v>
      </c>
      <c r="W464">
        <v>53</v>
      </c>
      <c r="X464">
        <v>84</v>
      </c>
      <c r="Y464">
        <v>28</v>
      </c>
      <c r="Z464">
        <v>26</v>
      </c>
      <c r="AA464">
        <v>2</v>
      </c>
      <c r="AB464">
        <v>1</v>
      </c>
      <c r="AC464">
        <v>60</v>
      </c>
      <c r="AD464">
        <v>0</v>
      </c>
      <c r="AE464">
        <v>1</v>
      </c>
      <c r="AF464">
        <v>5</v>
      </c>
      <c r="AG464">
        <v>0</v>
      </c>
      <c r="AH464">
        <v>0</v>
      </c>
      <c r="AI464" s="5">
        <v>0.23899999999999999</v>
      </c>
      <c r="AJ464" s="5">
        <v>0.32200000000000001</v>
      </c>
      <c r="AK464" s="5">
        <v>0.38</v>
      </c>
      <c r="AL464" s="5">
        <v>0.24399999999999999</v>
      </c>
      <c r="AM464" s="5">
        <v>0.29799999999999999</v>
      </c>
      <c r="AN464">
        <v>-0.7</v>
      </c>
      <c r="AO464">
        <v>0.5</v>
      </c>
      <c r="AP464">
        <v>7</v>
      </c>
      <c r="AQ464">
        <v>-4.1900000000000004</v>
      </c>
      <c r="AR464">
        <v>-0.6</v>
      </c>
      <c r="AS464" t="s">
        <v>2174</v>
      </c>
      <c r="AT464">
        <v>0.2</v>
      </c>
      <c r="AU464">
        <v>2.7</v>
      </c>
      <c r="AV464">
        <v>2</v>
      </c>
      <c r="AW464">
        <v>29</v>
      </c>
      <c r="AX464">
        <v>12</v>
      </c>
      <c r="AY464">
        <v>30</v>
      </c>
      <c r="AZ464" t="s">
        <v>4145</v>
      </c>
      <c r="BA464">
        <v>72</v>
      </c>
      <c r="BB464" t="s">
        <v>36</v>
      </c>
      <c r="BC464" t="s">
        <v>35</v>
      </c>
      <c r="BD464" s="4">
        <f>HYPERLINK("http://mlb.mlb.com/team/player.jsp?player_id=501983",501983)</f>
        <v>501983</v>
      </c>
      <c r="BE464">
        <v>0</v>
      </c>
      <c r="BF464">
        <v>0</v>
      </c>
      <c r="BG464">
        <v>0</v>
      </c>
      <c r="BH464">
        <v>0</v>
      </c>
    </row>
    <row r="465" spans="1:60" x14ac:dyDescent="0.3">
      <c r="A465" s="4">
        <f>HYPERLINK("http://legacy.baseballprospectus.com/p/52341",52341)</f>
        <v>52341</v>
      </c>
      <c r="B465" t="s">
        <v>4146</v>
      </c>
      <c r="C465" t="s">
        <v>4147</v>
      </c>
      <c r="D465" s="10">
        <v>31007</v>
      </c>
      <c r="E465" t="s">
        <v>65</v>
      </c>
      <c r="F465" t="s">
        <v>9</v>
      </c>
      <c r="G465" t="s">
        <v>9</v>
      </c>
      <c r="H465">
        <v>73</v>
      </c>
      <c r="I465">
        <v>195</v>
      </c>
      <c r="J465">
        <v>2018</v>
      </c>
      <c r="K465" s="4" t="str">
        <f>HYPERLINK("http://legacy.baseballprospectus.com/fantasy/dc/index.php?tm=MIL","MIL")</f>
        <v>MIL</v>
      </c>
      <c r="L465" t="s">
        <v>100</v>
      </c>
      <c r="M465" t="s">
        <v>34</v>
      </c>
      <c r="N465">
        <v>33</v>
      </c>
      <c r="O465">
        <v>250</v>
      </c>
      <c r="P465" t="s">
        <v>1680</v>
      </c>
      <c r="Q465">
        <v>216</v>
      </c>
      <c r="R465">
        <v>33</v>
      </c>
      <c r="S465">
        <v>35</v>
      </c>
      <c r="T465">
        <v>8</v>
      </c>
      <c r="U465">
        <v>1</v>
      </c>
      <c r="V465">
        <v>4</v>
      </c>
      <c r="W465">
        <v>48</v>
      </c>
      <c r="X465">
        <v>70</v>
      </c>
      <c r="Y465">
        <v>18</v>
      </c>
      <c r="Z465">
        <v>27</v>
      </c>
      <c r="AA465">
        <v>1</v>
      </c>
      <c r="AB465">
        <v>3</v>
      </c>
      <c r="AC465">
        <v>64</v>
      </c>
      <c r="AD465">
        <v>3</v>
      </c>
      <c r="AE465">
        <v>1</v>
      </c>
      <c r="AF465">
        <v>5</v>
      </c>
      <c r="AG465">
        <v>14</v>
      </c>
      <c r="AH465">
        <v>4</v>
      </c>
      <c r="AI465" s="5">
        <v>0.22</v>
      </c>
      <c r="AJ465" s="5">
        <v>0.313</v>
      </c>
      <c r="AK465" s="5">
        <v>0.315</v>
      </c>
      <c r="AL465" s="5">
        <v>0.218</v>
      </c>
      <c r="AM465" s="5">
        <v>0.28599999999999998</v>
      </c>
      <c r="AN465">
        <v>1.1000000000000001</v>
      </c>
      <c r="AO465">
        <v>2.93</v>
      </c>
      <c r="AP465">
        <v>7</v>
      </c>
      <c r="AQ465">
        <v>-10.92</v>
      </c>
      <c r="AR465">
        <v>1.5</v>
      </c>
      <c r="AS465" t="s">
        <v>1043</v>
      </c>
      <c r="AT465">
        <v>0.2</v>
      </c>
      <c r="AU465">
        <v>0.1</v>
      </c>
      <c r="AV465">
        <v>3</v>
      </c>
      <c r="AW465">
        <v>17</v>
      </c>
      <c r="AX465">
        <v>16</v>
      </c>
      <c r="AY465">
        <v>27</v>
      </c>
      <c r="AZ465" t="s">
        <v>4148</v>
      </c>
      <c r="BA465">
        <v>46</v>
      </c>
      <c r="BB465" t="s">
        <v>36</v>
      </c>
      <c r="BC465" t="s">
        <v>36</v>
      </c>
      <c r="BD465" s="4">
        <f>HYPERLINK("http://mlb.mlb.com/team/player.jsp?player_id=450641",450641)</f>
        <v>450641</v>
      </c>
      <c r="BE465">
        <v>0</v>
      </c>
      <c r="BF465">
        <v>0</v>
      </c>
      <c r="BG465">
        <v>3</v>
      </c>
      <c r="BH465">
        <v>3</v>
      </c>
    </row>
    <row r="466" spans="1:60" x14ac:dyDescent="0.3">
      <c r="A466" s="4">
        <f>HYPERLINK("http://legacy.baseballprospectus.com/p/56298",56298)</f>
        <v>56298</v>
      </c>
      <c r="B466" t="s">
        <v>1913</v>
      </c>
      <c r="C466" t="s">
        <v>247</v>
      </c>
      <c r="D466" s="10">
        <v>31285</v>
      </c>
      <c r="E466" t="s">
        <v>54</v>
      </c>
      <c r="F466" t="s">
        <v>33</v>
      </c>
      <c r="G466" t="s">
        <v>33</v>
      </c>
      <c r="H466">
        <v>74</v>
      </c>
      <c r="I466">
        <v>215</v>
      </c>
      <c r="J466">
        <v>2018</v>
      </c>
      <c r="K466" s="4" t="str">
        <f>HYPERLINK("http://legacy.baseballprospectus.com/fantasy/dc/index.php?tm=SLN","SLN")</f>
        <v>SLN</v>
      </c>
      <c r="L466" t="s">
        <v>100</v>
      </c>
      <c r="M466" t="s">
        <v>34</v>
      </c>
      <c r="N466">
        <v>32</v>
      </c>
      <c r="O466">
        <v>250</v>
      </c>
      <c r="P466" t="s">
        <v>1680</v>
      </c>
      <c r="Q466">
        <v>219</v>
      </c>
      <c r="R466">
        <v>26</v>
      </c>
      <c r="S466">
        <v>35</v>
      </c>
      <c r="T466">
        <v>10</v>
      </c>
      <c r="U466">
        <v>1</v>
      </c>
      <c r="V466">
        <v>5</v>
      </c>
      <c r="W466">
        <v>51</v>
      </c>
      <c r="X466">
        <v>78</v>
      </c>
      <c r="Y466">
        <v>24</v>
      </c>
      <c r="Z466">
        <v>27</v>
      </c>
      <c r="AA466">
        <v>0</v>
      </c>
      <c r="AB466">
        <v>2</v>
      </c>
      <c r="AC466">
        <v>61</v>
      </c>
      <c r="AD466">
        <v>1</v>
      </c>
      <c r="AE466">
        <v>2</v>
      </c>
      <c r="AF466">
        <v>6</v>
      </c>
      <c r="AG466">
        <v>1</v>
      </c>
      <c r="AH466">
        <v>1</v>
      </c>
      <c r="AI466" s="5">
        <v>0.23100000000000001</v>
      </c>
      <c r="AJ466" s="5">
        <v>0.318</v>
      </c>
      <c r="AK466" s="5">
        <v>0.35099999999999998</v>
      </c>
      <c r="AL466" s="5">
        <v>0.23200000000000001</v>
      </c>
      <c r="AM466" s="5">
        <v>0.29299999999999998</v>
      </c>
      <c r="AN466">
        <v>0.2</v>
      </c>
      <c r="AO466">
        <v>5.51</v>
      </c>
      <c r="AP466">
        <v>7</v>
      </c>
      <c r="AQ466">
        <v>-7.3</v>
      </c>
      <c r="AR466">
        <v>-3.1</v>
      </c>
      <c r="AS466" t="s">
        <v>1746</v>
      </c>
      <c r="AT466">
        <v>0.2</v>
      </c>
      <c r="AU466">
        <v>5.4</v>
      </c>
      <c r="AV466">
        <v>1</v>
      </c>
      <c r="AW466">
        <v>16</v>
      </c>
      <c r="AX466">
        <v>16</v>
      </c>
      <c r="AY466">
        <v>38</v>
      </c>
      <c r="AZ466" t="s">
        <v>4076</v>
      </c>
      <c r="BA466">
        <v>63</v>
      </c>
      <c r="BB466" t="s">
        <v>36</v>
      </c>
      <c r="BC466" t="s">
        <v>36</v>
      </c>
      <c r="BD466" s="4">
        <f>HYPERLINK("http://mlb.mlb.com/team/player.jsp?player_id=518700",518700)</f>
        <v>518700</v>
      </c>
      <c r="BE466">
        <v>0</v>
      </c>
      <c r="BF466">
        <v>0</v>
      </c>
      <c r="BG466">
        <v>83</v>
      </c>
      <c r="BH466">
        <v>71</v>
      </c>
    </row>
    <row r="467" spans="1:60" x14ac:dyDescent="0.3">
      <c r="A467" s="4">
        <f>HYPERLINK("http://legacy.baseballprospectus.com/p/57774",57774)</f>
        <v>57774</v>
      </c>
      <c r="B467" t="s">
        <v>281</v>
      </c>
      <c r="C467" t="s">
        <v>138</v>
      </c>
      <c r="D467" s="10">
        <v>31798</v>
      </c>
      <c r="E467" t="s">
        <v>53</v>
      </c>
      <c r="F467" t="s">
        <v>33</v>
      </c>
      <c r="G467" t="s">
        <v>33</v>
      </c>
      <c r="H467">
        <v>74</v>
      </c>
      <c r="I467">
        <v>205</v>
      </c>
      <c r="J467">
        <v>2018</v>
      </c>
      <c r="K467" s="4" t="str">
        <f>HYPERLINK("http://legacy.baseballprospectus.com/fantasy/dc/index.php?tm=SFN","SFN")</f>
        <v>SFN</v>
      </c>
      <c r="L467" t="s">
        <v>100</v>
      </c>
      <c r="M467" t="s">
        <v>34</v>
      </c>
      <c r="N467">
        <v>31</v>
      </c>
      <c r="O467">
        <v>250</v>
      </c>
      <c r="P467" t="s">
        <v>1680</v>
      </c>
      <c r="Q467">
        <v>227</v>
      </c>
      <c r="R467">
        <v>31</v>
      </c>
      <c r="S467">
        <v>37</v>
      </c>
      <c r="T467">
        <v>10</v>
      </c>
      <c r="U467">
        <v>2</v>
      </c>
      <c r="V467">
        <v>5</v>
      </c>
      <c r="W467">
        <v>54</v>
      </c>
      <c r="X467">
        <v>83</v>
      </c>
      <c r="Y467">
        <v>21</v>
      </c>
      <c r="Z467">
        <v>17</v>
      </c>
      <c r="AA467">
        <v>0</v>
      </c>
      <c r="AB467">
        <v>3</v>
      </c>
      <c r="AC467">
        <v>53</v>
      </c>
      <c r="AD467">
        <v>1</v>
      </c>
      <c r="AE467">
        <v>2</v>
      </c>
      <c r="AF467">
        <v>5</v>
      </c>
      <c r="AG467">
        <v>11</v>
      </c>
      <c r="AH467">
        <v>3</v>
      </c>
      <c r="AI467" s="5">
        <v>0.23699999999999999</v>
      </c>
      <c r="AJ467" s="5">
        <v>0.29899999999999999</v>
      </c>
      <c r="AK467" s="5">
        <v>0.36199999999999999</v>
      </c>
      <c r="AL467" s="5">
        <v>0.23200000000000001</v>
      </c>
      <c r="AM467" s="5">
        <v>0.28499999999999998</v>
      </c>
      <c r="AN467">
        <v>0.3</v>
      </c>
      <c r="AO467">
        <v>2.29</v>
      </c>
      <c r="AP467">
        <v>7</v>
      </c>
      <c r="AQ467">
        <v>-7.33</v>
      </c>
      <c r="AR467">
        <v>-0.8</v>
      </c>
      <c r="AS467" t="s">
        <v>1045</v>
      </c>
      <c r="AT467">
        <v>0.2</v>
      </c>
      <c r="AU467">
        <v>2.2999999999999998</v>
      </c>
      <c r="AV467">
        <v>1</v>
      </c>
      <c r="AW467">
        <v>13</v>
      </c>
      <c r="AX467">
        <v>18</v>
      </c>
      <c r="AY467">
        <v>30</v>
      </c>
      <c r="AZ467" t="s">
        <v>4149</v>
      </c>
      <c r="BA467">
        <v>50</v>
      </c>
      <c r="BB467" t="s">
        <v>36</v>
      </c>
      <c r="BC467" t="s">
        <v>36</v>
      </c>
      <c r="BD467" s="4">
        <f>HYPERLINK("http://mlb.mlb.com/team/player.jsp?player_id=488818",488818)</f>
        <v>488818</v>
      </c>
      <c r="BE467">
        <v>0</v>
      </c>
      <c r="BF467">
        <v>0</v>
      </c>
      <c r="BG467">
        <v>62</v>
      </c>
      <c r="BH467">
        <v>58</v>
      </c>
    </row>
    <row r="468" spans="1:60" x14ac:dyDescent="0.3">
      <c r="A468" s="4">
        <f>HYPERLINK("http://legacy.baseballprospectus.com/p/57781",57781)</f>
        <v>57781</v>
      </c>
      <c r="B468" t="s">
        <v>291</v>
      </c>
      <c r="C468" t="s">
        <v>292</v>
      </c>
      <c r="D468" s="10">
        <v>32927</v>
      </c>
      <c r="E468" t="s">
        <v>65</v>
      </c>
      <c r="F468" t="s">
        <v>9</v>
      </c>
      <c r="G468" t="s">
        <v>9</v>
      </c>
      <c r="H468">
        <v>69</v>
      </c>
      <c r="I468">
        <v>190</v>
      </c>
      <c r="J468">
        <v>2018</v>
      </c>
      <c r="K468" s="4" t="str">
        <f>HYPERLINK("http://legacy.baseballprospectus.com/fantasy/dc/index.php?tm=ATL","ATL")</f>
        <v>ATL</v>
      </c>
      <c r="L468" t="s">
        <v>95</v>
      </c>
      <c r="M468" t="s">
        <v>34</v>
      </c>
      <c r="N468">
        <v>28</v>
      </c>
      <c r="O468">
        <v>250</v>
      </c>
      <c r="P468" t="s">
        <v>1680</v>
      </c>
      <c r="Q468">
        <v>215</v>
      </c>
      <c r="R468">
        <v>33</v>
      </c>
      <c r="S468">
        <v>33</v>
      </c>
      <c r="T468">
        <v>11</v>
      </c>
      <c r="U468">
        <v>1</v>
      </c>
      <c r="V468">
        <v>7</v>
      </c>
      <c r="W468">
        <v>52</v>
      </c>
      <c r="X468">
        <v>86</v>
      </c>
      <c r="Y468">
        <v>24</v>
      </c>
      <c r="Z468">
        <v>29</v>
      </c>
      <c r="AA468">
        <v>1</v>
      </c>
      <c r="AB468">
        <v>2</v>
      </c>
      <c r="AC468">
        <v>59</v>
      </c>
      <c r="AD468">
        <v>3</v>
      </c>
      <c r="AE468">
        <v>2</v>
      </c>
      <c r="AF468">
        <v>6</v>
      </c>
      <c r="AG468">
        <v>7</v>
      </c>
      <c r="AH468">
        <v>3</v>
      </c>
      <c r="AI468" s="5">
        <v>0.23599999999999999</v>
      </c>
      <c r="AJ468" s="5">
        <v>0.33</v>
      </c>
      <c r="AK468" s="5">
        <v>0.38500000000000001</v>
      </c>
      <c r="AL468" s="5">
        <v>0.24199999999999999</v>
      </c>
      <c r="AM468" s="5">
        <v>0.28799999999999998</v>
      </c>
      <c r="AN468">
        <v>0.2</v>
      </c>
      <c r="AO468">
        <v>1.83</v>
      </c>
      <c r="AP468">
        <v>7</v>
      </c>
      <c r="AQ468">
        <v>-4.75</v>
      </c>
      <c r="AR468">
        <v>-2.4</v>
      </c>
      <c r="AS468" t="s">
        <v>1851</v>
      </c>
      <c r="AT468">
        <v>0.2</v>
      </c>
      <c r="AU468">
        <v>4.3</v>
      </c>
      <c r="AV468">
        <v>2</v>
      </c>
      <c r="AW468">
        <v>11</v>
      </c>
      <c r="AX468">
        <v>9</v>
      </c>
      <c r="AY468">
        <v>23</v>
      </c>
      <c r="AZ468" t="s">
        <v>4150</v>
      </c>
      <c r="BA468">
        <v>32</v>
      </c>
      <c r="BB468" t="s">
        <v>36</v>
      </c>
      <c r="BC468" t="s">
        <v>36</v>
      </c>
      <c r="BD468" s="4">
        <f>HYPERLINK("http://mlb.mlb.com/team/player.jsp?player_id=543094",543094)</f>
        <v>543094</v>
      </c>
      <c r="BE468">
        <v>0</v>
      </c>
      <c r="BF468">
        <v>0</v>
      </c>
      <c r="BG468">
        <v>62</v>
      </c>
      <c r="BH468">
        <v>50</v>
      </c>
    </row>
    <row r="469" spans="1:60" x14ac:dyDescent="0.3">
      <c r="A469" s="4">
        <f>HYPERLINK("http://legacy.baseballprospectus.com/p/59497",59497)</f>
        <v>59497</v>
      </c>
      <c r="B469" t="s">
        <v>1804</v>
      </c>
      <c r="C469" t="s">
        <v>1805</v>
      </c>
      <c r="D469" s="10">
        <v>32154</v>
      </c>
      <c r="E469" t="s">
        <v>59</v>
      </c>
      <c r="F469" t="s">
        <v>9</v>
      </c>
      <c r="G469" t="s">
        <v>33</v>
      </c>
      <c r="H469">
        <v>74</v>
      </c>
      <c r="I469">
        <v>210</v>
      </c>
      <c r="J469">
        <v>2018</v>
      </c>
      <c r="K469" s="4" t="str">
        <f>HYPERLINK("http://legacy.baseballprospectus.com/fantasy/dc/index.php?tm=PHI","PHI")</f>
        <v>PHI</v>
      </c>
      <c r="L469" t="s">
        <v>100</v>
      </c>
      <c r="M469" t="s">
        <v>34</v>
      </c>
      <c r="N469">
        <v>30</v>
      </c>
      <c r="O469">
        <v>250</v>
      </c>
      <c r="P469" t="s">
        <v>1680</v>
      </c>
      <c r="Q469">
        <v>221</v>
      </c>
      <c r="R469">
        <v>30</v>
      </c>
      <c r="S469">
        <v>41</v>
      </c>
      <c r="T469">
        <v>11</v>
      </c>
      <c r="U469">
        <v>1</v>
      </c>
      <c r="V469">
        <v>5</v>
      </c>
      <c r="W469">
        <v>58</v>
      </c>
      <c r="X469">
        <v>86</v>
      </c>
      <c r="Y469">
        <v>25</v>
      </c>
      <c r="Z469">
        <v>25</v>
      </c>
      <c r="AA469">
        <v>1</v>
      </c>
      <c r="AB469">
        <v>3</v>
      </c>
      <c r="AC469">
        <v>47</v>
      </c>
      <c r="AD469">
        <v>0</v>
      </c>
      <c r="AE469">
        <v>2</v>
      </c>
      <c r="AF469">
        <v>5</v>
      </c>
      <c r="AG469">
        <v>1</v>
      </c>
      <c r="AH469">
        <v>1</v>
      </c>
      <c r="AI469" s="5">
        <v>0.26200000000000001</v>
      </c>
      <c r="AJ469" s="5">
        <v>0.34100000000000003</v>
      </c>
      <c r="AK469" s="5">
        <v>0.39300000000000002</v>
      </c>
      <c r="AL469" s="5">
        <v>0.251</v>
      </c>
      <c r="AM469" s="5">
        <v>0.308</v>
      </c>
      <c r="AN469">
        <v>-0.8</v>
      </c>
      <c r="AO469">
        <v>1.1299999999999999</v>
      </c>
      <c r="AP469">
        <v>7</v>
      </c>
      <c r="AQ469">
        <v>-2.3199999999999998</v>
      </c>
      <c r="AR469">
        <v>-2.9</v>
      </c>
      <c r="AS469" t="s">
        <v>4071</v>
      </c>
      <c r="AT469">
        <v>0.2</v>
      </c>
      <c r="AU469">
        <v>5</v>
      </c>
      <c r="AV469">
        <v>0</v>
      </c>
      <c r="AW469">
        <v>45</v>
      </c>
      <c r="AX469">
        <v>11</v>
      </c>
      <c r="AY469">
        <v>21</v>
      </c>
      <c r="AZ469" t="s">
        <v>4081</v>
      </c>
      <c r="BA469">
        <v>95</v>
      </c>
      <c r="BB469" t="s">
        <v>36</v>
      </c>
      <c r="BC469" t="s">
        <v>36</v>
      </c>
      <c r="BD469" s="4">
        <f>HYPERLINK("http://mlb.mlb.com/team/player.jsp?player_id=547957",547957)</f>
        <v>547957</v>
      </c>
      <c r="BE469">
        <v>0</v>
      </c>
      <c r="BF469">
        <v>0</v>
      </c>
      <c r="BG469">
        <v>239</v>
      </c>
      <c r="BH469">
        <v>212</v>
      </c>
    </row>
    <row r="470" spans="1:60" x14ac:dyDescent="0.3">
      <c r="A470" s="4">
        <f>HYPERLINK("http://legacy.baseballprospectus.com/p/59641",59641)</f>
        <v>59641</v>
      </c>
      <c r="B470" t="s">
        <v>4273</v>
      </c>
      <c r="C470" t="s">
        <v>4274</v>
      </c>
      <c r="D470" s="10">
        <v>33281</v>
      </c>
      <c r="E470" t="s">
        <v>65</v>
      </c>
      <c r="F470" t="s">
        <v>9</v>
      </c>
      <c r="G470" t="s">
        <v>9</v>
      </c>
      <c r="H470">
        <v>72</v>
      </c>
      <c r="I470">
        <v>160</v>
      </c>
      <c r="J470">
        <v>2018</v>
      </c>
      <c r="K470" s="4" t="str">
        <f>HYPERLINK("http://legacy.baseballprospectus.com/fantasy/dc/index.php?tm=ARI","ARI")</f>
        <v>ARI</v>
      </c>
      <c r="L470" t="s">
        <v>100</v>
      </c>
      <c r="M470" t="s">
        <v>34</v>
      </c>
      <c r="N470">
        <v>27</v>
      </c>
      <c r="O470">
        <v>92</v>
      </c>
      <c r="P470" t="s">
        <v>1680</v>
      </c>
      <c r="Q470">
        <v>82</v>
      </c>
      <c r="R470">
        <v>11</v>
      </c>
      <c r="S470">
        <v>16</v>
      </c>
      <c r="T470">
        <v>4</v>
      </c>
      <c r="U470">
        <v>1</v>
      </c>
      <c r="V470">
        <v>2</v>
      </c>
      <c r="W470">
        <v>23</v>
      </c>
      <c r="X470">
        <v>35</v>
      </c>
      <c r="Y470">
        <v>9</v>
      </c>
      <c r="Z470">
        <v>7</v>
      </c>
      <c r="AA470">
        <v>0</v>
      </c>
      <c r="AB470">
        <v>1</v>
      </c>
      <c r="AC470">
        <v>22</v>
      </c>
      <c r="AD470">
        <v>1</v>
      </c>
      <c r="AE470">
        <v>1</v>
      </c>
      <c r="AF470">
        <v>2</v>
      </c>
      <c r="AG470">
        <v>4</v>
      </c>
      <c r="AH470">
        <v>1</v>
      </c>
      <c r="AI470" s="5">
        <v>0.26300000000000001</v>
      </c>
      <c r="AJ470" s="5">
        <v>0.32500000000000001</v>
      </c>
      <c r="AK470" s="5">
        <v>0.38100000000000001</v>
      </c>
      <c r="AL470" s="5">
        <v>0.23799999999999999</v>
      </c>
      <c r="AM470" s="5">
        <v>0.33</v>
      </c>
      <c r="AN470">
        <v>0.4</v>
      </c>
      <c r="AO470">
        <v>1.0900000000000001</v>
      </c>
      <c r="AP470">
        <v>2.58</v>
      </c>
      <c r="AQ470">
        <v>-2.1</v>
      </c>
      <c r="AR470">
        <v>-0.1</v>
      </c>
      <c r="AS470" t="s">
        <v>1328</v>
      </c>
      <c r="AT470">
        <v>0.2</v>
      </c>
      <c r="AU470">
        <v>1.9</v>
      </c>
      <c r="AV470">
        <v>0</v>
      </c>
      <c r="AW470">
        <v>21</v>
      </c>
      <c r="AX470">
        <v>8</v>
      </c>
      <c r="AY470">
        <v>15</v>
      </c>
      <c r="AZ470" t="s">
        <v>4275</v>
      </c>
      <c r="BA470">
        <v>45</v>
      </c>
      <c r="BB470" t="s">
        <v>36</v>
      </c>
      <c r="BC470" t="s">
        <v>36</v>
      </c>
      <c r="BD470" s="4">
        <f>HYPERLINK("http://mlb.mlb.com/team/player.jsp?player_id=571681",571681)</f>
        <v>571681</v>
      </c>
      <c r="BE470">
        <v>1623</v>
      </c>
      <c r="BF470">
        <v>623</v>
      </c>
      <c r="BG470">
        <v>145</v>
      </c>
      <c r="BH470">
        <v>136</v>
      </c>
    </row>
    <row r="471" spans="1:60" x14ac:dyDescent="0.3">
      <c r="A471" s="4">
        <f>HYPERLINK("http://legacy.baseballprospectus.com/p/61057",61057)</f>
        <v>61057</v>
      </c>
      <c r="B471" t="s">
        <v>96</v>
      </c>
      <c r="C471" t="s">
        <v>97</v>
      </c>
      <c r="D471" s="10">
        <v>32199</v>
      </c>
      <c r="E471" t="s">
        <v>50</v>
      </c>
      <c r="F471" t="s">
        <v>9</v>
      </c>
      <c r="G471" t="s">
        <v>33</v>
      </c>
      <c r="H471">
        <v>73</v>
      </c>
      <c r="I471">
        <v>205</v>
      </c>
      <c r="J471">
        <v>2018</v>
      </c>
      <c r="K471" s="4" t="str">
        <f>HYPERLINK("http://legacy.baseballprospectus.com/fantasy/dc/index.php?tm=ANA","ANA")</f>
        <v>ANA</v>
      </c>
      <c r="L471" t="s">
        <v>95</v>
      </c>
      <c r="M471" t="s">
        <v>34</v>
      </c>
      <c r="N471">
        <v>30</v>
      </c>
      <c r="O471">
        <v>250</v>
      </c>
      <c r="P471" t="s">
        <v>1680</v>
      </c>
      <c r="Q471">
        <v>224</v>
      </c>
      <c r="R471">
        <v>27</v>
      </c>
      <c r="S471">
        <v>36</v>
      </c>
      <c r="T471">
        <v>11</v>
      </c>
      <c r="U471">
        <v>1</v>
      </c>
      <c r="V471">
        <v>7</v>
      </c>
      <c r="W471">
        <v>55</v>
      </c>
      <c r="X471">
        <v>89</v>
      </c>
      <c r="Y471">
        <v>27</v>
      </c>
      <c r="Z471">
        <v>22</v>
      </c>
      <c r="AA471">
        <v>1</v>
      </c>
      <c r="AB471">
        <v>2</v>
      </c>
      <c r="AC471">
        <v>43</v>
      </c>
      <c r="AD471">
        <v>1</v>
      </c>
      <c r="AE471">
        <v>1</v>
      </c>
      <c r="AF471">
        <v>6</v>
      </c>
      <c r="AG471">
        <v>2</v>
      </c>
      <c r="AH471">
        <v>1</v>
      </c>
      <c r="AI471" s="5">
        <v>0.24399999999999999</v>
      </c>
      <c r="AJ471" s="5">
        <v>0.314</v>
      </c>
      <c r="AK471" s="5">
        <v>0.39200000000000002</v>
      </c>
      <c r="AL471" s="5">
        <v>0.24</v>
      </c>
      <c r="AM471" s="5">
        <v>0.27100000000000002</v>
      </c>
      <c r="AN471">
        <v>-0.3</v>
      </c>
      <c r="AO471">
        <v>-1.29</v>
      </c>
      <c r="AP471">
        <v>7</v>
      </c>
      <c r="AQ471">
        <v>-5.17</v>
      </c>
      <c r="AR471">
        <v>1.2</v>
      </c>
      <c r="AS471" t="s">
        <v>1791</v>
      </c>
      <c r="AT471">
        <v>0.2</v>
      </c>
      <c r="AU471">
        <v>0.2</v>
      </c>
      <c r="AV471">
        <v>1</v>
      </c>
      <c r="AW471">
        <v>42</v>
      </c>
      <c r="AX471">
        <v>12</v>
      </c>
      <c r="AY471">
        <v>16</v>
      </c>
      <c r="AZ471" t="s">
        <v>4155</v>
      </c>
      <c r="BA471">
        <v>79</v>
      </c>
      <c r="BB471" t="s">
        <v>36</v>
      </c>
      <c r="BC471" t="s">
        <v>36</v>
      </c>
      <c r="BD471" s="4">
        <f>HYPERLINK("http://mlb.mlb.com/team/player.jsp?player_id=554429",554429)</f>
        <v>554429</v>
      </c>
      <c r="BE471">
        <v>0</v>
      </c>
      <c r="BF471">
        <v>0</v>
      </c>
      <c r="BG471">
        <v>0</v>
      </c>
      <c r="BH471">
        <v>0</v>
      </c>
    </row>
    <row r="472" spans="1:60" x14ac:dyDescent="0.3">
      <c r="A472" s="4">
        <f>HYPERLINK("http://legacy.baseballprospectus.com/p/66914",66914)</f>
        <v>66914</v>
      </c>
      <c r="B472" t="s">
        <v>359</v>
      </c>
      <c r="C472" t="s">
        <v>1390</v>
      </c>
      <c r="D472" s="10">
        <v>33851</v>
      </c>
      <c r="E472" t="s">
        <v>59</v>
      </c>
      <c r="F472" t="s">
        <v>33</v>
      </c>
      <c r="G472" t="s">
        <v>33</v>
      </c>
      <c r="H472">
        <v>74</v>
      </c>
      <c r="I472">
        <v>215</v>
      </c>
      <c r="J472">
        <v>2018</v>
      </c>
      <c r="K472" s="4" t="str">
        <f>HYPERLINK("http://legacy.baseballprospectus.com/fantasy/dc/index.php?tm=CHA","CHA")</f>
        <v>CHA</v>
      </c>
      <c r="L472" t="s">
        <v>95</v>
      </c>
      <c r="M472" t="s">
        <v>34</v>
      </c>
      <c r="N472">
        <v>25</v>
      </c>
      <c r="O472">
        <v>95</v>
      </c>
      <c r="P472" t="s">
        <v>1680</v>
      </c>
      <c r="Q472">
        <v>87</v>
      </c>
      <c r="R472">
        <v>11</v>
      </c>
      <c r="S472">
        <v>13</v>
      </c>
      <c r="T472">
        <v>4</v>
      </c>
      <c r="U472">
        <v>1</v>
      </c>
      <c r="V472">
        <v>3</v>
      </c>
      <c r="W472">
        <v>21</v>
      </c>
      <c r="X472">
        <v>36</v>
      </c>
      <c r="Y472">
        <v>11</v>
      </c>
      <c r="Z472">
        <v>7</v>
      </c>
      <c r="AA472">
        <v>0</v>
      </c>
      <c r="AB472">
        <v>1</v>
      </c>
      <c r="AC472">
        <v>28</v>
      </c>
      <c r="AD472">
        <v>0</v>
      </c>
      <c r="AE472">
        <v>0</v>
      </c>
      <c r="AF472">
        <v>3</v>
      </c>
      <c r="AG472">
        <v>1</v>
      </c>
      <c r="AH472">
        <v>1</v>
      </c>
      <c r="AI472" s="5">
        <v>0.23899999999999999</v>
      </c>
      <c r="AJ472" s="5">
        <v>0.29899999999999999</v>
      </c>
      <c r="AK472" s="5">
        <v>0.41299999999999998</v>
      </c>
      <c r="AL472" s="5">
        <v>0.24099999999999999</v>
      </c>
      <c r="AM472" s="5">
        <v>0.311</v>
      </c>
      <c r="AN472">
        <v>-0.1</v>
      </c>
      <c r="AO472">
        <v>0.33</v>
      </c>
      <c r="AP472">
        <v>2.66</v>
      </c>
      <c r="AQ472">
        <v>-1.85</v>
      </c>
      <c r="AR472">
        <v>0.9</v>
      </c>
      <c r="AS472" t="s">
        <v>1543</v>
      </c>
      <c r="AT472">
        <v>0.2</v>
      </c>
      <c r="AU472">
        <v>1</v>
      </c>
      <c r="AV472">
        <v>3</v>
      </c>
      <c r="AW472">
        <v>15</v>
      </c>
      <c r="AX472">
        <v>9</v>
      </c>
      <c r="AY472">
        <v>26</v>
      </c>
      <c r="AZ472" t="s">
        <v>4276</v>
      </c>
      <c r="BA472">
        <v>45</v>
      </c>
      <c r="BB472" t="s">
        <v>36</v>
      </c>
      <c r="BC472" t="s">
        <v>35</v>
      </c>
      <c r="BD472" s="4">
        <f>HYPERLINK("http://mlb.mlb.com/team/player.jsp?player_id=591994",591994)</f>
        <v>591994</v>
      </c>
      <c r="BE472">
        <v>616</v>
      </c>
      <c r="BF472">
        <v>1616</v>
      </c>
      <c r="BG472">
        <v>119</v>
      </c>
      <c r="BH472">
        <v>105</v>
      </c>
    </row>
    <row r="473" spans="1:60" x14ac:dyDescent="0.3">
      <c r="A473" s="4">
        <f>HYPERLINK("http://legacy.baseballprospectus.com/p/69512",69512)</f>
        <v>69512</v>
      </c>
      <c r="B473" t="s">
        <v>1107</v>
      </c>
      <c r="C473" t="s">
        <v>584</v>
      </c>
      <c r="D473" s="10">
        <v>33054</v>
      </c>
      <c r="E473" t="s">
        <v>59</v>
      </c>
      <c r="F473" t="s">
        <v>9</v>
      </c>
      <c r="G473" t="s">
        <v>33</v>
      </c>
      <c r="H473">
        <v>73</v>
      </c>
      <c r="I473">
        <v>205</v>
      </c>
      <c r="J473">
        <v>2018</v>
      </c>
      <c r="K473" s="4" t="str">
        <f>HYPERLINK("http://legacy.baseballprospectus.com/fantasy/dc/index.php?tm=KCA","KCA")</f>
        <v>KCA</v>
      </c>
      <c r="L473" t="s">
        <v>95</v>
      </c>
      <c r="M473" t="s">
        <v>34</v>
      </c>
      <c r="N473">
        <v>28</v>
      </c>
      <c r="O473">
        <v>250</v>
      </c>
      <c r="P473" t="s">
        <v>1680</v>
      </c>
      <c r="Q473">
        <v>225</v>
      </c>
      <c r="R473">
        <v>28</v>
      </c>
      <c r="S473">
        <v>35</v>
      </c>
      <c r="T473">
        <v>13</v>
      </c>
      <c r="U473">
        <v>1</v>
      </c>
      <c r="V473">
        <v>8</v>
      </c>
      <c r="W473">
        <v>57</v>
      </c>
      <c r="X473">
        <v>96</v>
      </c>
      <c r="Y473">
        <v>31</v>
      </c>
      <c r="Z473">
        <v>21</v>
      </c>
      <c r="AA473">
        <v>2</v>
      </c>
      <c r="AB473">
        <v>2</v>
      </c>
      <c r="AC473">
        <v>59</v>
      </c>
      <c r="AD473">
        <v>0</v>
      </c>
      <c r="AE473">
        <v>2</v>
      </c>
      <c r="AF473">
        <v>4</v>
      </c>
      <c r="AG473">
        <v>1</v>
      </c>
      <c r="AH473">
        <v>1</v>
      </c>
      <c r="AI473" s="5">
        <v>0.25</v>
      </c>
      <c r="AJ473" s="5">
        <v>0.317</v>
      </c>
      <c r="AK473" s="5">
        <v>0.42199999999999999</v>
      </c>
      <c r="AL473" s="5">
        <v>0.247</v>
      </c>
      <c r="AM473" s="5">
        <v>0.30099999999999999</v>
      </c>
      <c r="AN473">
        <v>-0.3</v>
      </c>
      <c r="AO473">
        <v>0.02</v>
      </c>
      <c r="AP473">
        <v>7</v>
      </c>
      <c r="AQ473">
        <v>-3.38</v>
      </c>
      <c r="AR473">
        <v>-1.3</v>
      </c>
      <c r="AS473" t="s">
        <v>4156</v>
      </c>
      <c r="AT473">
        <v>0.2</v>
      </c>
      <c r="AU473">
        <v>3.3</v>
      </c>
      <c r="AV473">
        <v>6</v>
      </c>
      <c r="AW473">
        <v>41</v>
      </c>
      <c r="AX473">
        <v>9</v>
      </c>
      <c r="AY473">
        <v>26</v>
      </c>
      <c r="AZ473" t="s">
        <v>4157</v>
      </c>
      <c r="BA473">
        <v>83</v>
      </c>
      <c r="BB473" t="s">
        <v>36</v>
      </c>
      <c r="BC473" t="s">
        <v>36</v>
      </c>
      <c r="BD473" s="4">
        <f>HYPERLINK("http://mlb.mlb.com/team/player.jsp?player_id=605125",605125)</f>
        <v>605125</v>
      </c>
      <c r="BE473">
        <v>0</v>
      </c>
      <c r="BF473">
        <v>0</v>
      </c>
      <c r="BG473">
        <v>62</v>
      </c>
      <c r="BH473">
        <v>57</v>
      </c>
    </row>
    <row r="474" spans="1:60" x14ac:dyDescent="0.3">
      <c r="A474" s="4">
        <f>HYPERLINK("http://legacy.baseballprospectus.com/p/70568",70568)</f>
        <v>70568</v>
      </c>
      <c r="B474" t="s">
        <v>257</v>
      </c>
      <c r="C474" t="s">
        <v>258</v>
      </c>
      <c r="D474" s="10">
        <v>33030</v>
      </c>
      <c r="E474" t="s">
        <v>57</v>
      </c>
      <c r="F474" t="s">
        <v>9</v>
      </c>
      <c r="G474" t="s">
        <v>9</v>
      </c>
      <c r="H474">
        <v>71</v>
      </c>
      <c r="I474">
        <v>215</v>
      </c>
      <c r="J474">
        <v>2018</v>
      </c>
      <c r="K474" s="4" t="str">
        <f>HYPERLINK("http://legacy.baseballprospectus.com/fantasy/dc/index.php?tm=KCA","KCA")</f>
        <v>KCA</v>
      </c>
      <c r="L474" t="s">
        <v>95</v>
      </c>
      <c r="M474" t="s">
        <v>34</v>
      </c>
      <c r="N474">
        <v>28</v>
      </c>
      <c r="O474">
        <v>250</v>
      </c>
      <c r="P474" t="s">
        <v>1680</v>
      </c>
      <c r="Q474">
        <v>225</v>
      </c>
      <c r="R474">
        <v>29</v>
      </c>
      <c r="S474">
        <v>35</v>
      </c>
      <c r="T474">
        <v>9</v>
      </c>
      <c r="U474">
        <v>1</v>
      </c>
      <c r="V474">
        <v>8</v>
      </c>
      <c r="W474">
        <v>53</v>
      </c>
      <c r="X474">
        <v>88</v>
      </c>
      <c r="Y474">
        <v>31</v>
      </c>
      <c r="Z474">
        <v>22</v>
      </c>
      <c r="AA474">
        <v>1</v>
      </c>
      <c r="AB474">
        <v>2</v>
      </c>
      <c r="AC474">
        <v>63</v>
      </c>
      <c r="AD474">
        <v>0</v>
      </c>
      <c r="AE474">
        <v>2</v>
      </c>
      <c r="AF474">
        <v>5</v>
      </c>
      <c r="AG474">
        <v>4</v>
      </c>
      <c r="AH474">
        <v>2</v>
      </c>
      <c r="AI474" s="5">
        <v>0.24199999999999999</v>
      </c>
      <c r="AJ474" s="5">
        <v>0.312</v>
      </c>
      <c r="AK474" s="5">
        <v>0.40799999999999997</v>
      </c>
      <c r="AL474" s="5">
        <v>0.23599999999999999</v>
      </c>
      <c r="AM474" s="5">
        <v>0.29599999999999999</v>
      </c>
      <c r="AN474">
        <v>-0.1</v>
      </c>
      <c r="AO474">
        <v>1.2</v>
      </c>
      <c r="AP474">
        <v>7</v>
      </c>
      <c r="AQ474">
        <v>-6.26</v>
      </c>
      <c r="AR474">
        <v>-0.5</v>
      </c>
      <c r="AS474" t="s">
        <v>4911</v>
      </c>
      <c r="AT474">
        <v>0.2</v>
      </c>
      <c r="AU474">
        <v>1.9</v>
      </c>
      <c r="AV474">
        <v>4</v>
      </c>
      <c r="AW474">
        <v>17</v>
      </c>
      <c r="AX474">
        <v>17</v>
      </c>
      <c r="AY474">
        <v>34</v>
      </c>
      <c r="AZ474" t="s">
        <v>4158</v>
      </c>
      <c r="BA474">
        <v>57</v>
      </c>
      <c r="BB474" t="s">
        <v>36</v>
      </c>
      <c r="BC474" t="s">
        <v>36</v>
      </c>
      <c r="BD474" s="4">
        <f>HYPERLINK("http://mlb.mlb.com/team/player.jsp?player_id=607385",607385)</f>
        <v>607385</v>
      </c>
      <c r="BE474">
        <v>0</v>
      </c>
      <c r="BF474">
        <v>0</v>
      </c>
      <c r="BG474">
        <v>169</v>
      </c>
      <c r="BH474">
        <v>150</v>
      </c>
    </row>
    <row r="475" spans="1:60" x14ac:dyDescent="0.3">
      <c r="A475" s="4">
        <f>HYPERLINK("http://legacy.baseballprospectus.com/p/70576",70576)</f>
        <v>70576</v>
      </c>
      <c r="B475" t="s">
        <v>1927</v>
      </c>
      <c r="C475" t="s">
        <v>234</v>
      </c>
      <c r="D475" s="10">
        <v>34052</v>
      </c>
      <c r="E475" t="s">
        <v>59</v>
      </c>
      <c r="F475" t="s">
        <v>33</v>
      </c>
      <c r="G475" t="s">
        <v>33</v>
      </c>
      <c r="H475">
        <v>70</v>
      </c>
      <c r="I475">
        <v>190</v>
      </c>
      <c r="J475">
        <v>2018</v>
      </c>
      <c r="K475" s="4" t="str">
        <f>HYPERLINK("http://legacy.baseballprospectus.com/fantasy/dc/index.php?tm=PIT","PIT")</f>
        <v>PIT</v>
      </c>
      <c r="L475" t="s">
        <v>100</v>
      </c>
      <c r="M475" t="s">
        <v>34</v>
      </c>
      <c r="N475">
        <v>25</v>
      </c>
      <c r="O475">
        <v>250</v>
      </c>
      <c r="P475" t="s">
        <v>1680</v>
      </c>
      <c r="Q475">
        <v>226</v>
      </c>
      <c r="R475">
        <v>31</v>
      </c>
      <c r="S475">
        <v>37</v>
      </c>
      <c r="T475">
        <v>11</v>
      </c>
      <c r="U475">
        <v>2</v>
      </c>
      <c r="V475">
        <v>6</v>
      </c>
      <c r="W475">
        <v>56</v>
      </c>
      <c r="X475">
        <v>89</v>
      </c>
      <c r="Y475">
        <v>25</v>
      </c>
      <c r="Z475">
        <v>18</v>
      </c>
      <c r="AA475">
        <v>1</v>
      </c>
      <c r="AB475">
        <v>4</v>
      </c>
      <c r="AC475">
        <v>58</v>
      </c>
      <c r="AD475">
        <v>2</v>
      </c>
      <c r="AE475">
        <v>1</v>
      </c>
      <c r="AF475">
        <v>6</v>
      </c>
      <c r="AG475">
        <v>4</v>
      </c>
      <c r="AH475">
        <v>3</v>
      </c>
      <c r="AI475" s="5">
        <v>0.25</v>
      </c>
      <c r="AJ475" s="5">
        <v>0.313</v>
      </c>
      <c r="AK475" s="5">
        <v>0.40400000000000003</v>
      </c>
      <c r="AL475" s="5">
        <v>0.24299999999999999</v>
      </c>
      <c r="AM475" s="5">
        <v>0.30399999999999999</v>
      </c>
      <c r="AN475">
        <v>-0.3</v>
      </c>
      <c r="AO475">
        <v>1.74</v>
      </c>
      <c r="AP475">
        <v>7</v>
      </c>
      <c r="AQ475">
        <v>-4.47</v>
      </c>
      <c r="AR475">
        <v>-1.8</v>
      </c>
      <c r="AS475" t="s">
        <v>4159</v>
      </c>
      <c r="AT475">
        <v>0.2</v>
      </c>
      <c r="AU475">
        <v>3.9</v>
      </c>
      <c r="AV475">
        <v>5</v>
      </c>
      <c r="AW475">
        <v>18</v>
      </c>
      <c r="AX475">
        <v>8</v>
      </c>
      <c r="AY475">
        <v>19</v>
      </c>
      <c r="AZ475" t="s">
        <v>4160</v>
      </c>
      <c r="BA475">
        <v>35</v>
      </c>
      <c r="BB475" t="s">
        <v>36</v>
      </c>
      <c r="BC475" t="s">
        <v>35</v>
      </c>
      <c r="BD475" s="4">
        <f>HYPERLINK("http://mlb.mlb.com/team/player.jsp?player_id=607471",607471)</f>
        <v>607471</v>
      </c>
      <c r="BE475">
        <v>1471</v>
      </c>
      <c r="BF475">
        <v>471</v>
      </c>
      <c r="BG475">
        <v>32</v>
      </c>
      <c r="BH475">
        <v>27</v>
      </c>
    </row>
    <row r="476" spans="1:60" x14ac:dyDescent="0.3">
      <c r="A476" s="4">
        <f>HYPERLINK("http://legacy.baseballprospectus.com/p/70844",70844)</f>
        <v>70844</v>
      </c>
      <c r="B476" t="s">
        <v>4251</v>
      </c>
      <c r="C476" t="s">
        <v>148</v>
      </c>
      <c r="D476" s="10">
        <v>33871</v>
      </c>
      <c r="E476" t="s">
        <v>57</v>
      </c>
      <c r="F476" t="s">
        <v>33</v>
      </c>
      <c r="G476" t="s">
        <v>33</v>
      </c>
      <c r="H476">
        <v>73</v>
      </c>
      <c r="I476">
        <v>185</v>
      </c>
      <c r="J476">
        <v>2018</v>
      </c>
      <c r="K476" s="4" t="str">
        <f>HYPERLINK("http://legacy.baseballprospectus.com/fantasy/dc/index.php?tm=MIA","MIA")</f>
        <v>MIA</v>
      </c>
      <c r="L476" t="s">
        <v>100</v>
      </c>
      <c r="M476" t="s">
        <v>34</v>
      </c>
      <c r="N476">
        <v>25</v>
      </c>
      <c r="O476">
        <v>250</v>
      </c>
      <c r="P476" t="s">
        <v>1680</v>
      </c>
      <c r="Q476">
        <v>224</v>
      </c>
      <c r="R476">
        <v>28</v>
      </c>
      <c r="S476">
        <v>34</v>
      </c>
      <c r="T476">
        <v>9</v>
      </c>
      <c r="U476">
        <v>1</v>
      </c>
      <c r="V476">
        <v>9</v>
      </c>
      <c r="W476">
        <v>53</v>
      </c>
      <c r="X476">
        <v>91</v>
      </c>
      <c r="Y476">
        <v>31</v>
      </c>
      <c r="Z476">
        <v>22</v>
      </c>
      <c r="AA476">
        <v>1</v>
      </c>
      <c r="AB476">
        <v>2</v>
      </c>
      <c r="AC476">
        <v>72</v>
      </c>
      <c r="AD476">
        <v>1</v>
      </c>
      <c r="AE476">
        <v>1</v>
      </c>
      <c r="AF476">
        <v>6</v>
      </c>
      <c r="AG476">
        <v>2</v>
      </c>
      <c r="AH476">
        <v>2</v>
      </c>
      <c r="AI476" s="5">
        <v>0.23400000000000001</v>
      </c>
      <c r="AJ476" s="5">
        <v>0.307</v>
      </c>
      <c r="AK476" s="5">
        <v>0.40100000000000002</v>
      </c>
      <c r="AL476" s="5">
        <v>0.24099999999999999</v>
      </c>
      <c r="AM476" s="5">
        <v>0.30099999999999999</v>
      </c>
      <c r="AN476">
        <v>-0.4</v>
      </c>
      <c r="AO476">
        <v>-0.1</v>
      </c>
      <c r="AP476">
        <v>7</v>
      </c>
      <c r="AQ476">
        <v>-4.9400000000000004</v>
      </c>
      <c r="AR476">
        <v>-0.2</v>
      </c>
      <c r="AS476" t="s">
        <v>1545</v>
      </c>
      <c r="AT476">
        <v>0.2</v>
      </c>
      <c r="AU476">
        <v>1.6</v>
      </c>
      <c r="AV476">
        <v>2</v>
      </c>
      <c r="AW476">
        <v>7</v>
      </c>
      <c r="AX476">
        <v>5</v>
      </c>
      <c r="AY476">
        <v>15</v>
      </c>
      <c r="AZ476" t="s">
        <v>4252</v>
      </c>
      <c r="BA476">
        <v>20</v>
      </c>
      <c r="BB476" t="s">
        <v>36</v>
      </c>
      <c r="BC476" t="s">
        <v>35</v>
      </c>
      <c r="BD476" s="4">
        <f>HYPERLINK("http://mlb.mlb.com/team/player.jsp?player_id=607044",607044)</f>
        <v>607044</v>
      </c>
      <c r="BE476">
        <v>0</v>
      </c>
      <c r="BF476">
        <v>0</v>
      </c>
      <c r="BG476">
        <v>0</v>
      </c>
      <c r="BH476">
        <v>0</v>
      </c>
    </row>
    <row r="477" spans="1:60" x14ac:dyDescent="0.3">
      <c r="A477" s="4">
        <f>HYPERLINK("http://legacy.baseballprospectus.com/p/71328",71328)</f>
        <v>71328</v>
      </c>
      <c r="B477" t="s">
        <v>4163</v>
      </c>
      <c r="C477" t="s">
        <v>104</v>
      </c>
      <c r="D477" s="10">
        <v>34087</v>
      </c>
      <c r="E477" t="s">
        <v>50</v>
      </c>
      <c r="F477" t="s">
        <v>9</v>
      </c>
      <c r="G477" t="s">
        <v>33</v>
      </c>
      <c r="H477">
        <v>72</v>
      </c>
      <c r="I477">
        <v>210</v>
      </c>
      <c r="J477">
        <v>2018</v>
      </c>
      <c r="K477" s="4" t="str">
        <f>HYPERLINK("http://legacy.baseballprospectus.com/fantasy/dc/index.php?tm=LAN","LAN")</f>
        <v>LAN</v>
      </c>
      <c r="L477" t="s">
        <v>100</v>
      </c>
      <c r="M477" t="s">
        <v>34</v>
      </c>
      <c r="N477">
        <v>25</v>
      </c>
      <c r="O477">
        <v>250</v>
      </c>
      <c r="P477" t="s">
        <v>1680</v>
      </c>
      <c r="Q477">
        <v>230</v>
      </c>
      <c r="R477">
        <v>26</v>
      </c>
      <c r="S477">
        <v>38</v>
      </c>
      <c r="T477">
        <v>13</v>
      </c>
      <c r="U477">
        <v>0</v>
      </c>
      <c r="V477">
        <v>8</v>
      </c>
      <c r="W477">
        <v>59</v>
      </c>
      <c r="X477">
        <v>96</v>
      </c>
      <c r="Y477">
        <v>31</v>
      </c>
      <c r="Z477">
        <v>16</v>
      </c>
      <c r="AA477">
        <v>1</v>
      </c>
      <c r="AB477">
        <v>1</v>
      </c>
      <c r="AC477">
        <v>48</v>
      </c>
      <c r="AD477">
        <v>0</v>
      </c>
      <c r="AE477">
        <v>1</v>
      </c>
      <c r="AF477">
        <v>6</v>
      </c>
      <c r="AG477">
        <v>0</v>
      </c>
      <c r="AH477">
        <v>0</v>
      </c>
      <c r="AI477" s="5">
        <v>0.25700000000000001</v>
      </c>
      <c r="AJ477" s="5">
        <v>0.309</v>
      </c>
      <c r="AK477" s="5">
        <v>0.42</v>
      </c>
      <c r="AL477" s="5">
        <v>0.247</v>
      </c>
      <c r="AM477" s="5">
        <v>0.28999999999999998</v>
      </c>
      <c r="AN477">
        <v>-0.5</v>
      </c>
      <c r="AO477">
        <v>-0.42</v>
      </c>
      <c r="AP477">
        <v>7</v>
      </c>
      <c r="AQ477">
        <v>-3.31</v>
      </c>
      <c r="AR477">
        <v>-0.9</v>
      </c>
      <c r="AS477" t="s">
        <v>4912</v>
      </c>
      <c r="AT477">
        <v>0.2</v>
      </c>
      <c r="AU477">
        <v>2.7</v>
      </c>
      <c r="AV477">
        <v>2</v>
      </c>
      <c r="AW477">
        <v>7</v>
      </c>
      <c r="AX477">
        <v>1</v>
      </c>
      <c r="AY477">
        <v>7</v>
      </c>
      <c r="AZ477" t="s">
        <v>4164</v>
      </c>
      <c r="BA477">
        <v>11</v>
      </c>
      <c r="BB477" t="s">
        <v>36</v>
      </c>
      <c r="BC477" t="s">
        <v>35</v>
      </c>
      <c r="BD477" s="4">
        <f>HYPERLINK("http://mlb.mlb.com/team/player.jsp?player_id=607461",607461)</f>
        <v>607461</v>
      </c>
      <c r="BE477">
        <v>0</v>
      </c>
      <c r="BF477">
        <v>0</v>
      </c>
      <c r="BG477">
        <v>0</v>
      </c>
      <c r="BH477">
        <v>0</v>
      </c>
    </row>
    <row r="478" spans="1:60" x14ac:dyDescent="0.3">
      <c r="A478" s="4">
        <f>HYPERLINK("http://legacy.baseballprospectus.com/p/100357",100357)</f>
        <v>100357</v>
      </c>
      <c r="B478" t="s">
        <v>359</v>
      </c>
      <c r="C478" t="s">
        <v>1697</v>
      </c>
      <c r="D478" s="10">
        <v>31149</v>
      </c>
      <c r="E478" t="s">
        <v>51</v>
      </c>
      <c r="F478" t="s">
        <v>33</v>
      </c>
      <c r="G478" t="s">
        <v>33</v>
      </c>
      <c r="H478">
        <v>69</v>
      </c>
      <c r="I478">
        <v>205</v>
      </c>
      <c r="J478">
        <v>2018</v>
      </c>
      <c r="K478" s="4" t="str">
        <f>HYPERLINK("http://legacy.baseballprospectus.com/fantasy/dc/index.php?tm=ATL","ATL")</f>
        <v>ATL</v>
      </c>
      <c r="L478" t="s">
        <v>100</v>
      </c>
      <c r="M478" t="s">
        <v>34</v>
      </c>
      <c r="N478">
        <v>33</v>
      </c>
      <c r="O478">
        <v>261</v>
      </c>
      <c r="P478" t="s">
        <v>1680</v>
      </c>
      <c r="Q478">
        <v>246</v>
      </c>
      <c r="R478">
        <v>28</v>
      </c>
      <c r="S478">
        <v>44</v>
      </c>
      <c r="T478">
        <v>13</v>
      </c>
      <c r="U478">
        <v>0</v>
      </c>
      <c r="V478">
        <v>9</v>
      </c>
      <c r="W478">
        <v>66</v>
      </c>
      <c r="X478">
        <v>106</v>
      </c>
      <c r="Y478">
        <v>33</v>
      </c>
      <c r="Z478">
        <v>11</v>
      </c>
      <c r="AA478">
        <v>1</v>
      </c>
      <c r="AB478">
        <v>3</v>
      </c>
      <c r="AC478">
        <v>45</v>
      </c>
      <c r="AD478">
        <v>0</v>
      </c>
      <c r="AE478">
        <v>1</v>
      </c>
      <c r="AF478">
        <v>8</v>
      </c>
      <c r="AG478">
        <v>2</v>
      </c>
      <c r="AH478">
        <v>1</v>
      </c>
      <c r="AI478" s="5">
        <v>0.26700000000000002</v>
      </c>
      <c r="AJ478" s="5">
        <v>0.30399999999999999</v>
      </c>
      <c r="AK478" s="5">
        <v>0.42499999999999999</v>
      </c>
      <c r="AL478" s="5">
        <v>0.24399999999999999</v>
      </c>
      <c r="AM478" s="5">
        <v>0.29499999999999998</v>
      </c>
      <c r="AN478">
        <v>0.4</v>
      </c>
      <c r="AO478">
        <v>1.61</v>
      </c>
      <c r="AP478">
        <v>7.31</v>
      </c>
      <c r="AQ478">
        <v>-4.37</v>
      </c>
      <c r="AR478">
        <v>-3.2</v>
      </c>
      <c r="AS478" t="s">
        <v>4165</v>
      </c>
      <c r="AT478">
        <v>0.2</v>
      </c>
      <c r="AU478">
        <v>4.9000000000000004</v>
      </c>
      <c r="AV478">
        <v>1</v>
      </c>
      <c r="AW478">
        <v>37</v>
      </c>
      <c r="AX478">
        <v>12</v>
      </c>
      <c r="AY478">
        <v>23</v>
      </c>
      <c r="AZ478" t="s">
        <v>4166</v>
      </c>
      <c r="BA478">
        <v>79</v>
      </c>
      <c r="BB478" t="s">
        <v>36</v>
      </c>
      <c r="BC478" t="s">
        <v>36</v>
      </c>
      <c r="BD478" s="4">
        <f>HYPERLINK("http://mlb.mlb.com/team/player.jsp?player_id=611177",611177)</f>
        <v>611177</v>
      </c>
      <c r="BE478">
        <v>0</v>
      </c>
      <c r="BF478">
        <v>0</v>
      </c>
      <c r="BG478">
        <v>183</v>
      </c>
      <c r="BH478">
        <v>173</v>
      </c>
    </row>
    <row r="479" spans="1:60" x14ac:dyDescent="0.3">
      <c r="A479" s="4">
        <f>HYPERLINK("http://legacy.baseballprospectus.com/p/100406",100406)</f>
        <v>100406</v>
      </c>
      <c r="B479" t="s">
        <v>598</v>
      </c>
      <c r="C479" t="s">
        <v>4167</v>
      </c>
      <c r="D479" s="10">
        <v>34887</v>
      </c>
      <c r="E479" t="s">
        <v>57</v>
      </c>
      <c r="F479" t="s">
        <v>33</v>
      </c>
      <c r="G479" t="s">
        <v>33</v>
      </c>
      <c r="H479">
        <v>77</v>
      </c>
      <c r="I479">
        <v>240</v>
      </c>
      <c r="J479">
        <v>2018</v>
      </c>
      <c r="K479" s="4" t="str">
        <f>HYPERLINK("http://legacy.baseballprospectus.com/fantasy/dc/index.php?tm=SDN","SDN")</f>
        <v>SDN</v>
      </c>
      <c r="L479" t="s">
        <v>100</v>
      </c>
      <c r="M479" t="s">
        <v>34</v>
      </c>
      <c r="N479">
        <v>22</v>
      </c>
      <c r="O479">
        <v>250</v>
      </c>
      <c r="P479" t="s">
        <v>1680</v>
      </c>
      <c r="Q479">
        <v>228</v>
      </c>
      <c r="R479">
        <v>27</v>
      </c>
      <c r="S479">
        <v>30</v>
      </c>
      <c r="T479">
        <v>11</v>
      </c>
      <c r="U479">
        <v>1</v>
      </c>
      <c r="V479">
        <v>10</v>
      </c>
      <c r="W479">
        <v>52</v>
      </c>
      <c r="X479">
        <v>95</v>
      </c>
      <c r="Y479">
        <v>33</v>
      </c>
      <c r="Z479">
        <v>19</v>
      </c>
      <c r="AA479">
        <v>1</v>
      </c>
      <c r="AB479">
        <v>1</v>
      </c>
      <c r="AC479">
        <v>68</v>
      </c>
      <c r="AD479">
        <v>0</v>
      </c>
      <c r="AE479">
        <v>2</v>
      </c>
      <c r="AF479">
        <v>8</v>
      </c>
      <c r="AG479">
        <v>0</v>
      </c>
      <c r="AH479">
        <v>0</v>
      </c>
      <c r="AI479" s="5">
        <v>0.22700000000000001</v>
      </c>
      <c r="AJ479" s="5">
        <v>0.28799999999999998</v>
      </c>
      <c r="AK479" s="5">
        <v>0.41199999999999998</v>
      </c>
      <c r="AL479" s="5">
        <v>0.24</v>
      </c>
      <c r="AM479" s="5">
        <v>0.27600000000000002</v>
      </c>
      <c r="AN479">
        <v>-0.4</v>
      </c>
      <c r="AO479">
        <v>-0.25</v>
      </c>
      <c r="AP479">
        <v>7</v>
      </c>
      <c r="AQ479">
        <v>-5.16</v>
      </c>
      <c r="AR479">
        <v>0.6</v>
      </c>
      <c r="AS479" t="s">
        <v>1229</v>
      </c>
      <c r="AT479">
        <v>0.2</v>
      </c>
      <c r="AU479">
        <v>1.2</v>
      </c>
      <c r="AV479">
        <v>1</v>
      </c>
      <c r="AW479">
        <v>25</v>
      </c>
      <c r="AX479">
        <v>2</v>
      </c>
      <c r="AY479">
        <v>20</v>
      </c>
      <c r="AZ479" t="s">
        <v>4168</v>
      </c>
      <c r="BA479">
        <v>40</v>
      </c>
      <c r="BB479" t="s">
        <v>36</v>
      </c>
      <c r="BC479" t="s">
        <v>35</v>
      </c>
      <c r="BD479" s="4">
        <f>HYPERLINK("http://mlb.mlb.com/team/player.jsp?player_id=614177",614177)</f>
        <v>614177</v>
      </c>
      <c r="BE479">
        <v>0</v>
      </c>
      <c r="BF479">
        <v>0</v>
      </c>
      <c r="BG479">
        <v>0</v>
      </c>
      <c r="BH479">
        <v>0</v>
      </c>
    </row>
    <row r="480" spans="1:60" x14ac:dyDescent="0.3">
      <c r="A480" s="4">
        <f>HYPERLINK("http://legacy.baseballprospectus.com/p/100748",100748)</f>
        <v>100748</v>
      </c>
      <c r="B480" t="s">
        <v>1738</v>
      </c>
      <c r="C480" t="s">
        <v>1739</v>
      </c>
      <c r="D480" s="10">
        <v>34722</v>
      </c>
      <c r="E480" t="s">
        <v>53</v>
      </c>
      <c r="F480" t="s">
        <v>33</v>
      </c>
      <c r="G480" t="s">
        <v>33</v>
      </c>
      <c r="H480">
        <v>73</v>
      </c>
      <c r="I480">
        <v>165</v>
      </c>
      <c r="J480">
        <v>2018</v>
      </c>
      <c r="K480" s="4" t="str">
        <f>HYPERLINK("http://legacy.baseballprospectus.com/fantasy/dc/index.php?tm=SLN","SLN")</f>
        <v>SLN</v>
      </c>
      <c r="L480" t="s">
        <v>100</v>
      </c>
      <c r="M480" t="s">
        <v>34</v>
      </c>
      <c r="N480">
        <v>23</v>
      </c>
      <c r="O480">
        <v>250</v>
      </c>
      <c r="P480" t="s">
        <v>1680</v>
      </c>
      <c r="Q480">
        <v>234</v>
      </c>
      <c r="R480">
        <v>28</v>
      </c>
      <c r="S480">
        <v>37</v>
      </c>
      <c r="T480">
        <v>11</v>
      </c>
      <c r="U480">
        <v>1</v>
      </c>
      <c r="V480">
        <v>8</v>
      </c>
      <c r="W480">
        <v>57</v>
      </c>
      <c r="X480">
        <v>94</v>
      </c>
      <c r="Y480">
        <v>30</v>
      </c>
      <c r="Z480">
        <v>12</v>
      </c>
      <c r="AA480">
        <v>1</v>
      </c>
      <c r="AB480">
        <v>1</v>
      </c>
      <c r="AC480">
        <v>54</v>
      </c>
      <c r="AD480">
        <v>1</v>
      </c>
      <c r="AE480">
        <v>2</v>
      </c>
      <c r="AF480">
        <v>7</v>
      </c>
      <c r="AG480">
        <v>5</v>
      </c>
      <c r="AH480">
        <v>2</v>
      </c>
      <c r="AI480" s="5">
        <v>0.245</v>
      </c>
      <c r="AJ480" s="5">
        <v>0.28499999999999998</v>
      </c>
      <c r="AK480" s="5">
        <v>0.40899999999999997</v>
      </c>
      <c r="AL480" s="5">
        <v>0.22900000000000001</v>
      </c>
      <c r="AM480" s="5">
        <v>0.28100000000000003</v>
      </c>
      <c r="AN480">
        <v>0.2</v>
      </c>
      <c r="AO480">
        <v>2.81</v>
      </c>
      <c r="AP480">
        <v>7</v>
      </c>
      <c r="AQ480">
        <v>-8.07</v>
      </c>
      <c r="AR480">
        <v>-0.1</v>
      </c>
      <c r="AS480" t="s">
        <v>2168</v>
      </c>
      <c r="AT480">
        <v>0.2</v>
      </c>
      <c r="AU480">
        <v>1.9</v>
      </c>
      <c r="AV480">
        <v>14</v>
      </c>
      <c r="AW480">
        <v>30</v>
      </c>
      <c r="AX480">
        <v>11</v>
      </c>
      <c r="AY480">
        <v>31</v>
      </c>
      <c r="AZ480" t="s">
        <v>4170</v>
      </c>
      <c r="BA480">
        <v>49</v>
      </c>
      <c r="BB480" t="s">
        <v>36</v>
      </c>
      <c r="BC480" t="s">
        <v>35</v>
      </c>
      <c r="BD480" s="4">
        <f>HYPERLINK("http://mlb.mlb.com/team/player.jsp?player_id=622168",622168)</f>
        <v>622168</v>
      </c>
      <c r="BE480">
        <v>1565</v>
      </c>
      <c r="BF480">
        <v>565</v>
      </c>
      <c r="BG480">
        <v>0</v>
      </c>
      <c r="BH480">
        <v>0</v>
      </c>
    </row>
    <row r="481" spans="1:60" x14ac:dyDescent="0.3">
      <c r="A481" s="4">
        <f>HYPERLINK("http://legacy.baseballprospectus.com/p/101514",101514)</f>
        <v>101514</v>
      </c>
      <c r="B481" t="s">
        <v>588</v>
      </c>
      <c r="C481" t="s">
        <v>1103</v>
      </c>
      <c r="D481" s="10">
        <v>34583</v>
      </c>
      <c r="E481" t="s">
        <v>57</v>
      </c>
      <c r="F481" t="s">
        <v>33</v>
      </c>
      <c r="G481" t="s">
        <v>33</v>
      </c>
      <c r="H481">
        <v>70</v>
      </c>
      <c r="I481">
        <v>220</v>
      </c>
      <c r="J481">
        <v>2018</v>
      </c>
      <c r="K481" s="4" t="str">
        <f>HYPERLINK("http://legacy.baseballprospectus.com/fantasy/dc/index.php?tm=TOR","TOR")</f>
        <v>TOR</v>
      </c>
      <c r="L481" t="s">
        <v>95</v>
      </c>
      <c r="M481" t="s">
        <v>34</v>
      </c>
      <c r="N481">
        <v>23</v>
      </c>
      <c r="O481">
        <v>250</v>
      </c>
      <c r="P481" t="s">
        <v>1680</v>
      </c>
      <c r="Q481">
        <v>229</v>
      </c>
      <c r="R481">
        <v>25</v>
      </c>
      <c r="S481">
        <v>42</v>
      </c>
      <c r="T481">
        <v>11</v>
      </c>
      <c r="U481">
        <v>2</v>
      </c>
      <c r="V481">
        <v>5</v>
      </c>
      <c r="W481">
        <v>60</v>
      </c>
      <c r="X481">
        <v>90</v>
      </c>
      <c r="Y481">
        <v>27</v>
      </c>
      <c r="Z481">
        <v>14</v>
      </c>
      <c r="AA481">
        <v>1</v>
      </c>
      <c r="AB481">
        <v>4</v>
      </c>
      <c r="AC481">
        <v>52</v>
      </c>
      <c r="AD481">
        <v>1</v>
      </c>
      <c r="AE481">
        <v>1</v>
      </c>
      <c r="AF481">
        <v>7</v>
      </c>
      <c r="AG481">
        <v>2</v>
      </c>
      <c r="AH481">
        <v>2</v>
      </c>
      <c r="AI481" s="5">
        <v>0.26</v>
      </c>
      <c r="AJ481" s="5">
        <v>0.312</v>
      </c>
      <c r="AK481" s="5">
        <v>0.39400000000000002</v>
      </c>
      <c r="AL481" s="5">
        <v>0.24</v>
      </c>
      <c r="AM481" s="5">
        <v>0.311</v>
      </c>
      <c r="AN481">
        <v>-0.4</v>
      </c>
      <c r="AO481">
        <v>0.14000000000000001</v>
      </c>
      <c r="AP481">
        <v>7</v>
      </c>
      <c r="AQ481">
        <v>-5.36</v>
      </c>
      <c r="AR481">
        <v>0.6</v>
      </c>
      <c r="AS481" t="s">
        <v>1229</v>
      </c>
      <c r="AT481">
        <v>0.2</v>
      </c>
      <c r="AU481">
        <v>1.4</v>
      </c>
      <c r="AV481">
        <v>1</v>
      </c>
      <c r="AW481">
        <v>8</v>
      </c>
      <c r="AX481">
        <v>5</v>
      </c>
      <c r="AY481">
        <v>9</v>
      </c>
      <c r="AZ481" t="s">
        <v>4172</v>
      </c>
      <c r="BA481">
        <v>16</v>
      </c>
      <c r="BB481" t="s">
        <v>36</v>
      </c>
      <c r="BC481" t="s">
        <v>35</v>
      </c>
      <c r="BD481" s="4">
        <f>HYPERLINK("http://mlb.mlb.com/team/player.jsp?player_id=623912",623912)</f>
        <v>623912</v>
      </c>
      <c r="BE481">
        <v>0</v>
      </c>
      <c r="BF481">
        <v>0</v>
      </c>
      <c r="BG481">
        <v>0</v>
      </c>
      <c r="BH481">
        <v>0</v>
      </c>
    </row>
    <row r="482" spans="1:60" x14ac:dyDescent="0.3">
      <c r="A482" s="4">
        <f>HYPERLINK("http://legacy.baseballprospectus.com/p/101568",101568)</f>
        <v>101568</v>
      </c>
      <c r="B482" t="s">
        <v>1942</v>
      </c>
      <c r="C482" t="s">
        <v>384</v>
      </c>
      <c r="D482" s="10">
        <v>34626</v>
      </c>
      <c r="E482" t="s">
        <v>57</v>
      </c>
      <c r="F482" t="s">
        <v>37</v>
      </c>
      <c r="G482" t="s">
        <v>33</v>
      </c>
      <c r="H482">
        <v>74</v>
      </c>
      <c r="I482">
        <v>190</v>
      </c>
      <c r="J482">
        <v>2018</v>
      </c>
      <c r="K482" s="4" t="str">
        <f>HYPERLINK("http://legacy.baseballprospectus.com/fantasy/dc/index.php?tm=BAL","BAL")</f>
        <v>BAL</v>
      </c>
      <c r="L482" t="s">
        <v>95</v>
      </c>
      <c r="M482" t="s">
        <v>34</v>
      </c>
      <c r="N482">
        <v>23</v>
      </c>
      <c r="O482">
        <v>193</v>
      </c>
      <c r="P482" t="s">
        <v>1680</v>
      </c>
      <c r="Q482">
        <v>176</v>
      </c>
      <c r="R482">
        <v>24</v>
      </c>
      <c r="S482">
        <v>25</v>
      </c>
      <c r="T482">
        <v>10</v>
      </c>
      <c r="U482">
        <v>0</v>
      </c>
      <c r="V482">
        <v>9</v>
      </c>
      <c r="W482">
        <v>44</v>
      </c>
      <c r="X482">
        <v>81</v>
      </c>
      <c r="Y482">
        <v>27</v>
      </c>
      <c r="Z482">
        <v>13</v>
      </c>
      <c r="AA482">
        <v>1</v>
      </c>
      <c r="AB482">
        <v>3</v>
      </c>
      <c r="AC482">
        <v>50</v>
      </c>
      <c r="AD482">
        <v>0</v>
      </c>
      <c r="AE482">
        <v>1</v>
      </c>
      <c r="AF482">
        <v>4</v>
      </c>
      <c r="AG482">
        <v>1</v>
      </c>
      <c r="AH482">
        <v>0</v>
      </c>
      <c r="AI482" s="5">
        <v>0.249</v>
      </c>
      <c r="AJ482" s="5">
        <v>0.309</v>
      </c>
      <c r="AK482" s="5">
        <v>0.45400000000000001</v>
      </c>
      <c r="AL482" s="5">
        <v>0.252</v>
      </c>
      <c r="AM482" s="5">
        <v>0.29599999999999999</v>
      </c>
      <c r="AN482">
        <v>-0.4</v>
      </c>
      <c r="AO482">
        <v>-0.05</v>
      </c>
      <c r="AP482">
        <v>5.4</v>
      </c>
      <c r="AQ482">
        <v>-1.72</v>
      </c>
      <c r="AR482">
        <v>-1.8</v>
      </c>
      <c r="AS482" t="s">
        <v>4378</v>
      </c>
      <c r="AT482">
        <v>0.2</v>
      </c>
      <c r="AU482">
        <v>3.2</v>
      </c>
      <c r="AV482">
        <v>5</v>
      </c>
      <c r="AW482">
        <v>19</v>
      </c>
      <c r="AX482">
        <v>6</v>
      </c>
      <c r="AY482">
        <v>11</v>
      </c>
      <c r="AZ482" t="s">
        <v>4379</v>
      </c>
      <c r="BA482">
        <v>35</v>
      </c>
      <c r="BB482" t="s">
        <v>36</v>
      </c>
      <c r="BC482" t="s">
        <v>35</v>
      </c>
      <c r="BD482" s="4">
        <f>HYPERLINK("http://mlb.mlb.com/team/player.jsp?player_id=623993",623993)</f>
        <v>623993</v>
      </c>
      <c r="BE482">
        <v>627</v>
      </c>
      <c r="BF482">
        <v>1627</v>
      </c>
      <c r="BG482">
        <v>31</v>
      </c>
      <c r="BH482">
        <v>30</v>
      </c>
    </row>
    <row r="483" spans="1:60" x14ac:dyDescent="0.3">
      <c r="A483" s="4">
        <f>HYPERLINK("http://legacy.baseballprospectus.com/p/103221",103221)</f>
        <v>103221</v>
      </c>
      <c r="B483" t="s">
        <v>1194</v>
      </c>
      <c r="C483" t="s">
        <v>517</v>
      </c>
      <c r="D483" s="10">
        <v>35256</v>
      </c>
      <c r="E483" t="s">
        <v>53</v>
      </c>
      <c r="F483" t="s">
        <v>37</v>
      </c>
      <c r="G483" t="s">
        <v>33</v>
      </c>
      <c r="H483">
        <v>69</v>
      </c>
      <c r="I483">
        <v>168</v>
      </c>
      <c r="J483">
        <v>2018</v>
      </c>
      <c r="K483" s="4" t="str">
        <f>HYPERLINK("http://legacy.baseballprospectus.com/fantasy/dc/index.php?tm=DET","DET")</f>
        <v>DET</v>
      </c>
      <c r="L483" t="s">
        <v>95</v>
      </c>
      <c r="M483" t="s">
        <v>34</v>
      </c>
      <c r="N483">
        <v>21</v>
      </c>
      <c r="O483">
        <v>250</v>
      </c>
      <c r="P483" t="s">
        <v>1680</v>
      </c>
      <c r="Q483">
        <v>226</v>
      </c>
      <c r="R483">
        <v>28</v>
      </c>
      <c r="S483">
        <v>38</v>
      </c>
      <c r="T483">
        <v>10</v>
      </c>
      <c r="U483">
        <v>1</v>
      </c>
      <c r="V483">
        <v>5</v>
      </c>
      <c r="W483">
        <v>54</v>
      </c>
      <c r="X483">
        <v>81</v>
      </c>
      <c r="Y483">
        <v>22</v>
      </c>
      <c r="Z483">
        <v>18</v>
      </c>
      <c r="AA483">
        <v>1</v>
      </c>
      <c r="AB483">
        <v>1</v>
      </c>
      <c r="AC483">
        <v>51</v>
      </c>
      <c r="AD483">
        <v>3</v>
      </c>
      <c r="AE483">
        <v>1</v>
      </c>
      <c r="AF483">
        <v>5</v>
      </c>
      <c r="AG483">
        <v>3</v>
      </c>
      <c r="AH483">
        <v>2</v>
      </c>
      <c r="AI483" s="5">
        <v>0.23599999999999999</v>
      </c>
      <c r="AJ483" s="5">
        <v>0.29499999999999998</v>
      </c>
      <c r="AK483" s="5">
        <v>0.35099999999999998</v>
      </c>
      <c r="AL483" s="5">
        <v>0.214</v>
      </c>
      <c r="AM483" s="5">
        <v>0.27900000000000003</v>
      </c>
      <c r="AN483">
        <v>-0.5</v>
      </c>
      <c r="AO483">
        <v>4.25</v>
      </c>
      <c r="AP483">
        <v>7</v>
      </c>
      <c r="AQ483">
        <v>-11.98</v>
      </c>
      <c r="AR483">
        <v>3.4</v>
      </c>
      <c r="AS483" t="s">
        <v>1901</v>
      </c>
      <c r="AT483">
        <v>0.2</v>
      </c>
      <c r="AU483">
        <v>-1.2</v>
      </c>
      <c r="AV483">
        <v>2</v>
      </c>
      <c r="AW483">
        <v>5</v>
      </c>
      <c r="AX483">
        <v>6</v>
      </c>
      <c r="AY483">
        <v>8</v>
      </c>
      <c r="AZ483" t="s">
        <v>4090</v>
      </c>
      <c r="BA483">
        <v>12</v>
      </c>
      <c r="BB483" t="s">
        <v>36</v>
      </c>
      <c r="BC483" t="s">
        <v>35</v>
      </c>
      <c r="BD483" s="4">
        <f>HYPERLINK("http://mlb.mlb.com/team/player.jsp?player_id=642727",642727)</f>
        <v>642727</v>
      </c>
      <c r="BE483">
        <v>536</v>
      </c>
      <c r="BF483">
        <v>1536</v>
      </c>
      <c r="BG483">
        <v>0</v>
      </c>
      <c r="BH483">
        <v>0</v>
      </c>
    </row>
    <row r="484" spans="1:60" x14ac:dyDescent="0.3">
      <c r="A484" s="4">
        <f>HYPERLINK("http://legacy.baseballprospectus.com/p/103262",103262)</f>
        <v>103262</v>
      </c>
      <c r="B484" t="s">
        <v>1762</v>
      </c>
      <c r="C484" t="s">
        <v>1763</v>
      </c>
      <c r="D484" s="10">
        <v>35303</v>
      </c>
      <c r="E484" t="s">
        <v>65</v>
      </c>
      <c r="F484" t="s">
        <v>37</v>
      </c>
      <c r="G484" t="s">
        <v>33</v>
      </c>
      <c r="H484">
        <v>72</v>
      </c>
      <c r="I484">
        <v>160</v>
      </c>
      <c r="J484">
        <v>2018</v>
      </c>
      <c r="K484" s="4" t="str">
        <f>HYPERLINK("http://legacy.baseballprospectus.com/fantasy/dc/index.php?tm=CHA","CHA")</f>
        <v>CHA</v>
      </c>
      <c r="L484" t="s">
        <v>95</v>
      </c>
      <c r="M484" t="s">
        <v>34</v>
      </c>
      <c r="N484">
        <v>21</v>
      </c>
      <c r="O484">
        <v>250</v>
      </c>
      <c r="P484" t="s">
        <v>1680</v>
      </c>
      <c r="Q484">
        <v>224</v>
      </c>
      <c r="R484">
        <v>31</v>
      </c>
      <c r="S484">
        <v>29</v>
      </c>
      <c r="T484">
        <v>9</v>
      </c>
      <c r="U484">
        <v>2</v>
      </c>
      <c r="V484">
        <v>7</v>
      </c>
      <c r="W484">
        <v>47</v>
      </c>
      <c r="X484">
        <v>81</v>
      </c>
      <c r="Y484">
        <v>24</v>
      </c>
      <c r="Z484">
        <v>21</v>
      </c>
      <c r="AA484">
        <v>1</v>
      </c>
      <c r="AB484">
        <v>2</v>
      </c>
      <c r="AC484">
        <v>78</v>
      </c>
      <c r="AD484">
        <v>1</v>
      </c>
      <c r="AE484">
        <v>1</v>
      </c>
      <c r="AF484">
        <v>6</v>
      </c>
      <c r="AG484">
        <v>6</v>
      </c>
      <c r="AH484">
        <v>2</v>
      </c>
      <c r="AI484" s="5">
        <v>0.20899999999999999</v>
      </c>
      <c r="AJ484" s="5">
        <v>0.28100000000000003</v>
      </c>
      <c r="AK484" s="5">
        <v>0.35799999999999998</v>
      </c>
      <c r="AL484" s="5">
        <v>0.217</v>
      </c>
      <c r="AM484" s="5">
        <v>0.28000000000000003</v>
      </c>
      <c r="AN484">
        <v>0.6</v>
      </c>
      <c r="AO484">
        <v>2.78</v>
      </c>
      <c r="AP484">
        <v>7</v>
      </c>
      <c r="AQ484">
        <v>-11.3</v>
      </c>
      <c r="AR484">
        <v>2.8</v>
      </c>
      <c r="AS484" t="s">
        <v>1372</v>
      </c>
      <c r="AT484">
        <v>0.2</v>
      </c>
      <c r="AU484">
        <v>-1</v>
      </c>
      <c r="AV484">
        <v>2</v>
      </c>
      <c r="AW484">
        <v>5</v>
      </c>
      <c r="AX484">
        <v>0</v>
      </c>
      <c r="AY484">
        <v>4</v>
      </c>
      <c r="AZ484" t="s">
        <v>4177</v>
      </c>
      <c r="BA484">
        <v>6</v>
      </c>
      <c r="BB484" t="s">
        <v>36</v>
      </c>
      <c r="BC484" t="s">
        <v>35</v>
      </c>
      <c r="BD484" s="4">
        <f>HYPERLINK("http://mlb.mlb.com/team/player.jsp?player_id=642772",642772)</f>
        <v>642772</v>
      </c>
      <c r="BE484">
        <v>0</v>
      </c>
      <c r="BF484">
        <v>0</v>
      </c>
      <c r="BG484">
        <v>0</v>
      </c>
      <c r="BH484">
        <v>0</v>
      </c>
    </row>
    <row r="485" spans="1:60" x14ac:dyDescent="0.3">
      <c r="A485" s="4">
        <f>HYPERLINK("http://legacy.baseballprospectus.com/p/103405",103405)</f>
        <v>103405</v>
      </c>
      <c r="B485" t="s">
        <v>842</v>
      </c>
      <c r="C485" t="s">
        <v>329</v>
      </c>
      <c r="D485" s="10">
        <v>34804</v>
      </c>
      <c r="E485" t="s">
        <v>54</v>
      </c>
      <c r="F485" t="s">
        <v>33</v>
      </c>
      <c r="G485" t="s">
        <v>33</v>
      </c>
      <c r="H485">
        <v>74</v>
      </c>
      <c r="I485">
        <v>225</v>
      </c>
      <c r="J485">
        <v>2018</v>
      </c>
      <c r="K485" s="4" t="str">
        <f>HYPERLINK("http://legacy.baseballprospectus.com/fantasy/dc/index.php?tm=TOR","TOR")</f>
        <v>TOR</v>
      </c>
      <c r="L485" t="s">
        <v>95</v>
      </c>
      <c r="M485" t="s">
        <v>34</v>
      </c>
      <c r="N485">
        <v>23</v>
      </c>
      <c r="O485">
        <v>250</v>
      </c>
      <c r="P485" t="s">
        <v>1680</v>
      </c>
      <c r="Q485">
        <v>221</v>
      </c>
      <c r="R485">
        <v>27</v>
      </c>
      <c r="S485">
        <v>35</v>
      </c>
      <c r="T485">
        <v>12</v>
      </c>
      <c r="U485">
        <v>1</v>
      </c>
      <c r="V485">
        <v>7</v>
      </c>
      <c r="W485">
        <v>55</v>
      </c>
      <c r="X485">
        <v>90</v>
      </c>
      <c r="Y485">
        <v>30</v>
      </c>
      <c r="Z485">
        <v>22</v>
      </c>
      <c r="AA485">
        <v>2</v>
      </c>
      <c r="AB485">
        <v>4</v>
      </c>
      <c r="AC485">
        <v>47</v>
      </c>
      <c r="AD485">
        <v>1</v>
      </c>
      <c r="AE485">
        <v>1</v>
      </c>
      <c r="AF485">
        <v>6</v>
      </c>
      <c r="AG485">
        <v>1</v>
      </c>
      <c r="AH485">
        <v>0</v>
      </c>
      <c r="AI485" s="5">
        <v>0.25</v>
      </c>
      <c r="AJ485" s="5">
        <v>0.32800000000000001</v>
      </c>
      <c r="AK485" s="5">
        <v>0.40899999999999997</v>
      </c>
      <c r="AL485" s="5">
        <v>0.252</v>
      </c>
      <c r="AM485" s="5">
        <v>0.28399999999999997</v>
      </c>
      <c r="AN485">
        <v>-0.3</v>
      </c>
      <c r="AO485">
        <v>5.37</v>
      </c>
      <c r="AP485">
        <v>7</v>
      </c>
      <c r="AQ485">
        <v>-2.04</v>
      </c>
      <c r="AR485">
        <v>-8.5</v>
      </c>
      <c r="AS485" t="s">
        <v>1757</v>
      </c>
      <c r="AT485">
        <v>0.2</v>
      </c>
      <c r="AU485">
        <v>10</v>
      </c>
      <c r="AV485">
        <v>4</v>
      </c>
      <c r="AW485">
        <v>28</v>
      </c>
      <c r="AX485">
        <v>6</v>
      </c>
      <c r="AY485">
        <v>22</v>
      </c>
      <c r="AZ485" t="s">
        <v>4178</v>
      </c>
      <c r="BA485">
        <v>48</v>
      </c>
      <c r="BB485" t="s">
        <v>36</v>
      </c>
      <c r="BC485" t="s">
        <v>35</v>
      </c>
      <c r="BD485" s="4">
        <f>HYPERLINK("http://mlb.mlb.com/team/player.jsp?player_id=643376",643376)</f>
        <v>643376</v>
      </c>
      <c r="BE485">
        <v>401</v>
      </c>
      <c r="BF485">
        <v>1401</v>
      </c>
      <c r="BG485">
        <v>0</v>
      </c>
      <c r="BH485">
        <v>0</v>
      </c>
    </row>
    <row r="486" spans="1:60" x14ac:dyDescent="0.3">
      <c r="A486" s="4">
        <f>HYPERLINK("http://legacy.baseballprospectus.com/p/104766",104766)</f>
        <v>104766</v>
      </c>
      <c r="B486" t="s">
        <v>298</v>
      </c>
      <c r="C486" t="s">
        <v>1438</v>
      </c>
      <c r="D486" s="10">
        <v>35212</v>
      </c>
      <c r="E486" t="s">
        <v>58</v>
      </c>
      <c r="F486" t="s">
        <v>9</v>
      </c>
      <c r="G486" t="s">
        <v>33</v>
      </c>
      <c r="H486">
        <v>70</v>
      </c>
      <c r="I486">
        <v>185</v>
      </c>
      <c r="J486">
        <v>2018</v>
      </c>
      <c r="K486" s="4" t="str">
        <f>HYPERLINK("http://legacy.baseballprospectus.com/fantasy/dc/index.php?tm=MIA","MIA")</f>
        <v>MIA</v>
      </c>
      <c r="L486" t="s">
        <v>100</v>
      </c>
      <c r="M486" t="s">
        <v>34</v>
      </c>
      <c r="N486">
        <v>22</v>
      </c>
      <c r="O486">
        <v>250</v>
      </c>
      <c r="P486" t="s">
        <v>1680</v>
      </c>
      <c r="Q486">
        <v>221</v>
      </c>
      <c r="R486">
        <v>28</v>
      </c>
      <c r="S486">
        <v>27</v>
      </c>
      <c r="T486">
        <v>10</v>
      </c>
      <c r="U486">
        <v>0</v>
      </c>
      <c r="V486">
        <v>9</v>
      </c>
      <c r="W486">
        <v>46</v>
      </c>
      <c r="X486">
        <v>83</v>
      </c>
      <c r="Y486">
        <v>31</v>
      </c>
      <c r="Z486">
        <v>26</v>
      </c>
      <c r="AA486">
        <v>1</v>
      </c>
      <c r="AB486">
        <v>2</v>
      </c>
      <c r="AC486">
        <v>79</v>
      </c>
      <c r="AD486">
        <v>0</v>
      </c>
      <c r="AE486">
        <v>1</v>
      </c>
      <c r="AF486">
        <v>6</v>
      </c>
      <c r="AG486">
        <v>1</v>
      </c>
      <c r="AH486">
        <v>1</v>
      </c>
      <c r="AI486" s="5">
        <v>0.214</v>
      </c>
      <c r="AJ486" s="5">
        <v>0.3</v>
      </c>
      <c r="AK486" s="5">
        <v>0.39300000000000002</v>
      </c>
      <c r="AL486" s="5">
        <v>0.23300000000000001</v>
      </c>
      <c r="AM486" s="5">
        <v>0.28299999999999997</v>
      </c>
      <c r="AN486">
        <v>-0.4</v>
      </c>
      <c r="AO486">
        <v>3.59</v>
      </c>
      <c r="AP486">
        <v>7</v>
      </c>
      <c r="AQ486">
        <v>-7.03</v>
      </c>
      <c r="AR486">
        <v>-0.9</v>
      </c>
      <c r="AS486" t="s">
        <v>4093</v>
      </c>
      <c r="AT486">
        <v>0.2</v>
      </c>
      <c r="AU486">
        <v>3.2</v>
      </c>
      <c r="AV486">
        <v>1</v>
      </c>
      <c r="AW486">
        <v>26</v>
      </c>
      <c r="AX486">
        <v>3</v>
      </c>
      <c r="AY486">
        <v>15</v>
      </c>
      <c r="AZ486" t="s">
        <v>4094</v>
      </c>
      <c r="BA486">
        <v>37</v>
      </c>
      <c r="BB486" t="s">
        <v>36</v>
      </c>
      <c r="BC486" t="s">
        <v>35</v>
      </c>
      <c r="BD486" s="4">
        <f>HYPERLINK("http://mlb.mlb.com/team/player.jsp?player_id=656371",656371)</f>
        <v>656371</v>
      </c>
      <c r="BE486">
        <v>1549</v>
      </c>
      <c r="BF486">
        <v>549</v>
      </c>
      <c r="BG486">
        <v>0</v>
      </c>
      <c r="BH486">
        <v>0</v>
      </c>
    </row>
    <row r="487" spans="1:60" x14ac:dyDescent="0.3">
      <c r="A487" s="4">
        <f>HYPERLINK("http://legacy.baseballprospectus.com/p/104869",104869)</f>
        <v>104869</v>
      </c>
      <c r="B487" t="s">
        <v>1434</v>
      </c>
      <c r="C487" t="s">
        <v>102</v>
      </c>
      <c r="D487" s="10">
        <v>34176</v>
      </c>
      <c r="E487" t="s">
        <v>50</v>
      </c>
      <c r="F487" t="s">
        <v>9</v>
      </c>
      <c r="G487" t="s">
        <v>9</v>
      </c>
      <c r="H487">
        <v>75</v>
      </c>
      <c r="I487">
        <v>200</v>
      </c>
      <c r="J487">
        <v>2018</v>
      </c>
      <c r="K487" s="4" t="str">
        <f>HYPERLINK("http://legacy.baseballprospectus.com/fantasy/dc/index.php?tm=KCA","KCA")</f>
        <v>KCA</v>
      </c>
      <c r="L487" t="s">
        <v>95</v>
      </c>
      <c r="M487" t="s">
        <v>34</v>
      </c>
      <c r="N487">
        <v>24</v>
      </c>
      <c r="O487">
        <v>250</v>
      </c>
      <c r="P487" t="s">
        <v>1680</v>
      </c>
      <c r="Q487">
        <v>224</v>
      </c>
      <c r="R487">
        <v>29</v>
      </c>
      <c r="S487">
        <v>30</v>
      </c>
      <c r="T487">
        <v>11</v>
      </c>
      <c r="U487">
        <v>1</v>
      </c>
      <c r="V487">
        <v>11</v>
      </c>
      <c r="W487">
        <v>53</v>
      </c>
      <c r="X487">
        <v>99</v>
      </c>
      <c r="Y487">
        <v>35</v>
      </c>
      <c r="Z487">
        <v>24</v>
      </c>
      <c r="AA487">
        <v>2</v>
      </c>
      <c r="AB487">
        <v>1</v>
      </c>
      <c r="AC487">
        <v>77</v>
      </c>
      <c r="AD487">
        <v>1</v>
      </c>
      <c r="AE487">
        <v>1</v>
      </c>
      <c r="AF487">
        <v>5</v>
      </c>
      <c r="AG487">
        <v>0</v>
      </c>
      <c r="AH487">
        <v>0</v>
      </c>
      <c r="AI487" s="5">
        <v>0.23499999999999999</v>
      </c>
      <c r="AJ487" s="5">
        <v>0.309</v>
      </c>
      <c r="AK487" s="5">
        <v>0.436</v>
      </c>
      <c r="AL487" s="5">
        <v>0.248</v>
      </c>
      <c r="AM487" s="5">
        <v>0.30099999999999999</v>
      </c>
      <c r="AN487">
        <v>-0.4</v>
      </c>
      <c r="AO487">
        <v>-1.92</v>
      </c>
      <c r="AP487">
        <v>7</v>
      </c>
      <c r="AQ487">
        <v>-3.1</v>
      </c>
      <c r="AR487">
        <v>0.5</v>
      </c>
      <c r="AS487" t="s">
        <v>4913</v>
      </c>
      <c r="AT487">
        <v>0.2</v>
      </c>
      <c r="AU487">
        <v>1.6</v>
      </c>
      <c r="AV487">
        <v>6</v>
      </c>
      <c r="AW487">
        <v>15</v>
      </c>
      <c r="AX487">
        <v>7</v>
      </c>
      <c r="AY487">
        <v>17</v>
      </c>
      <c r="AZ487" t="s">
        <v>4179</v>
      </c>
      <c r="BA487">
        <v>25</v>
      </c>
      <c r="BB487" t="s">
        <v>36</v>
      </c>
      <c r="BC487" t="s">
        <v>35</v>
      </c>
      <c r="BD487" s="4">
        <f>HYPERLINK("http://mlb.mlb.com/team/player.jsp?player_id=656811",656811)</f>
        <v>656811</v>
      </c>
      <c r="BE487">
        <v>0</v>
      </c>
      <c r="BF487">
        <v>0</v>
      </c>
      <c r="BG487">
        <v>0</v>
      </c>
      <c r="BH487">
        <v>0</v>
      </c>
    </row>
    <row r="488" spans="1:60" x14ac:dyDescent="0.3">
      <c r="A488" s="4">
        <f>HYPERLINK("http://legacy.baseballprospectus.com/p/105436",105436)</f>
        <v>105436</v>
      </c>
      <c r="B488" t="s">
        <v>1766</v>
      </c>
      <c r="C488" t="s">
        <v>182</v>
      </c>
      <c r="D488" s="10">
        <v>34479</v>
      </c>
      <c r="E488" t="s">
        <v>53</v>
      </c>
      <c r="F488" t="s">
        <v>9</v>
      </c>
      <c r="G488" t="s">
        <v>33</v>
      </c>
      <c r="H488">
        <v>73</v>
      </c>
      <c r="I488">
        <v>185</v>
      </c>
      <c r="J488">
        <v>2018</v>
      </c>
      <c r="K488" s="4" t="str">
        <f>HYPERLINK("http://legacy.baseballprospectus.com/fantasy/dc/index.php?tm=NYA","NYA")</f>
        <v>NYA</v>
      </c>
      <c r="L488" t="s">
        <v>95</v>
      </c>
      <c r="M488" t="s">
        <v>34</v>
      </c>
      <c r="N488">
        <v>24</v>
      </c>
      <c r="O488">
        <v>250</v>
      </c>
      <c r="P488" t="s">
        <v>1680</v>
      </c>
      <c r="Q488">
        <v>234</v>
      </c>
      <c r="R488">
        <v>26</v>
      </c>
      <c r="S488">
        <v>39</v>
      </c>
      <c r="T488">
        <v>9</v>
      </c>
      <c r="U488">
        <v>1</v>
      </c>
      <c r="V488">
        <v>6</v>
      </c>
      <c r="W488">
        <v>55</v>
      </c>
      <c r="X488">
        <v>84</v>
      </c>
      <c r="Y488">
        <v>24</v>
      </c>
      <c r="Z488">
        <v>12</v>
      </c>
      <c r="AA488">
        <v>1</v>
      </c>
      <c r="AB488">
        <v>1</v>
      </c>
      <c r="AC488">
        <v>55</v>
      </c>
      <c r="AD488">
        <v>2</v>
      </c>
      <c r="AE488">
        <v>1</v>
      </c>
      <c r="AF488">
        <v>6</v>
      </c>
      <c r="AG488">
        <v>1</v>
      </c>
      <c r="AH488">
        <v>0</v>
      </c>
      <c r="AI488" s="5">
        <v>0.23400000000000001</v>
      </c>
      <c r="AJ488" s="5">
        <v>0.27200000000000002</v>
      </c>
      <c r="AK488" s="5">
        <v>0.36</v>
      </c>
      <c r="AL488" s="5">
        <v>0.21299999999999999</v>
      </c>
      <c r="AM488" s="5">
        <v>0.27600000000000002</v>
      </c>
      <c r="AN488">
        <v>-0.4</v>
      </c>
      <c r="AO488">
        <v>3.42</v>
      </c>
      <c r="AP488">
        <v>7</v>
      </c>
      <c r="AQ488">
        <v>-12.44</v>
      </c>
      <c r="AR488">
        <v>3.8</v>
      </c>
      <c r="AS488" t="s">
        <v>4180</v>
      </c>
      <c r="AT488">
        <v>0.2</v>
      </c>
      <c r="AU488">
        <v>-2.4</v>
      </c>
      <c r="AV488">
        <v>2</v>
      </c>
      <c r="AW488">
        <v>6</v>
      </c>
      <c r="AX488">
        <v>2</v>
      </c>
      <c r="AY488">
        <v>26</v>
      </c>
      <c r="AZ488" t="s">
        <v>4181</v>
      </c>
      <c r="BA488">
        <v>29</v>
      </c>
      <c r="BB488" t="s">
        <v>36</v>
      </c>
      <c r="BC488" t="s">
        <v>35</v>
      </c>
      <c r="BD488" s="4">
        <f>HYPERLINK("http://mlb.mlb.com/team/player.jsp?player_id=664060",664060)</f>
        <v>664060</v>
      </c>
      <c r="BE488">
        <v>0</v>
      </c>
      <c r="BF488">
        <v>0</v>
      </c>
      <c r="BG488">
        <v>0</v>
      </c>
      <c r="BH488">
        <v>0</v>
      </c>
    </row>
    <row r="489" spans="1:60" x14ac:dyDescent="0.3">
      <c r="A489" s="4">
        <f>HYPERLINK("http://legacy.baseballprospectus.com/p/107669",107669)</f>
        <v>107669</v>
      </c>
      <c r="B489" t="s">
        <v>261</v>
      </c>
      <c r="C489" t="s">
        <v>515</v>
      </c>
      <c r="D489" s="10">
        <v>34654</v>
      </c>
      <c r="E489" t="s">
        <v>50</v>
      </c>
      <c r="F489" t="s">
        <v>33</v>
      </c>
      <c r="G489" t="s">
        <v>33</v>
      </c>
      <c r="H489">
        <v>75</v>
      </c>
      <c r="I489">
        <v>212</v>
      </c>
      <c r="J489">
        <v>2018</v>
      </c>
      <c r="K489" s="4" t="str">
        <f>HYPERLINK("http://legacy.baseballprospectus.com/fantasy/dc/index.php?tm=PIT","PIT")</f>
        <v>PIT</v>
      </c>
      <c r="L489" t="s">
        <v>100</v>
      </c>
      <c r="M489" t="s">
        <v>34</v>
      </c>
      <c r="N489">
        <v>23</v>
      </c>
      <c r="O489">
        <v>250</v>
      </c>
      <c r="P489" t="s">
        <v>1680</v>
      </c>
      <c r="Q489">
        <v>218</v>
      </c>
      <c r="R489">
        <v>25</v>
      </c>
      <c r="S489">
        <v>34</v>
      </c>
      <c r="T489">
        <v>11</v>
      </c>
      <c r="U489">
        <v>0</v>
      </c>
      <c r="V489">
        <v>6</v>
      </c>
      <c r="W489">
        <v>51</v>
      </c>
      <c r="X489">
        <v>80</v>
      </c>
      <c r="Y489">
        <v>27</v>
      </c>
      <c r="Z489">
        <v>25</v>
      </c>
      <c r="AA489">
        <v>1</v>
      </c>
      <c r="AB489">
        <v>5</v>
      </c>
      <c r="AC489">
        <v>60</v>
      </c>
      <c r="AD489">
        <v>0</v>
      </c>
      <c r="AE489">
        <v>1</v>
      </c>
      <c r="AF489">
        <v>6</v>
      </c>
      <c r="AG489">
        <v>0</v>
      </c>
      <c r="AH489">
        <v>0</v>
      </c>
      <c r="AI489" s="5">
        <v>0.23400000000000001</v>
      </c>
      <c r="AJ489" s="5">
        <v>0.32500000000000001</v>
      </c>
      <c r="AK489" s="5">
        <v>0.36199999999999999</v>
      </c>
      <c r="AL489" s="5">
        <v>0.23899999999999999</v>
      </c>
      <c r="AM489" s="5">
        <v>0.29399999999999998</v>
      </c>
      <c r="AN489">
        <v>-0.5</v>
      </c>
      <c r="AO489">
        <v>-2.27</v>
      </c>
      <c r="AP489">
        <v>7</v>
      </c>
      <c r="AQ489">
        <v>-5.57</v>
      </c>
      <c r="AR489">
        <v>2.9</v>
      </c>
      <c r="AS489" t="s">
        <v>1325</v>
      </c>
      <c r="AT489">
        <v>0.2</v>
      </c>
      <c r="AU489">
        <v>-1.4</v>
      </c>
      <c r="AV489">
        <v>5</v>
      </c>
      <c r="AW489">
        <v>9</v>
      </c>
      <c r="AX489">
        <v>4</v>
      </c>
      <c r="AY489">
        <v>11</v>
      </c>
      <c r="AZ489" t="s">
        <v>4184</v>
      </c>
      <c r="BA489">
        <v>17</v>
      </c>
      <c r="BB489" t="s">
        <v>36</v>
      </c>
      <c r="BC489" t="s">
        <v>35</v>
      </c>
      <c r="BD489" s="4">
        <f>HYPERLINK("http://mlb.mlb.com/team/player.jsp?player_id=643269",643269)</f>
        <v>643269</v>
      </c>
      <c r="BE489">
        <v>1443</v>
      </c>
      <c r="BF489">
        <v>443</v>
      </c>
      <c r="BG489">
        <v>0</v>
      </c>
      <c r="BH489">
        <v>0</v>
      </c>
    </row>
    <row r="490" spans="1:60" x14ac:dyDescent="0.3">
      <c r="A490" s="4">
        <f>HYPERLINK("http://legacy.baseballprospectus.com/p/108483",108483)</f>
        <v>108483</v>
      </c>
      <c r="B490" t="s">
        <v>226</v>
      </c>
      <c r="C490" t="s">
        <v>4103</v>
      </c>
      <c r="D490" s="10">
        <v>34682</v>
      </c>
      <c r="E490" t="s">
        <v>54</v>
      </c>
      <c r="F490" t="s">
        <v>33</v>
      </c>
      <c r="G490" t="s">
        <v>33</v>
      </c>
      <c r="H490">
        <v>71</v>
      </c>
      <c r="I490">
        <v>225</v>
      </c>
      <c r="J490">
        <v>2018</v>
      </c>
      <c r="K490" s="4" t="str">
        <f>HYPERLINK("http://legacy.baseballprospectus.com/fantasy/dc/index.php?tm=HOU","HOU")</f>
        <v>HOU</v>
      </c>
      <c r="L490" t="s">
        <v>95</v>
      </c>
      <c r="M490" t="s">
        <v>34</v>
      </c>
      <c r="N490">
        <v>23</v>
      </c>
      <c r="O490">
        <v>250</v>
      </c>
      <c r="P490" t="s">
        <v>1680</v>
      </c>
      <c r="Q490">
        <v>233</v>
      </c>
      <c r="R490">
        <v>25</v>
      </c>
      <c r="S490">
        <v>31</v>
      </c>
      <c r="T490">
        <v>12</v>
      </c>
      <c r="U490">
        <v>0</v>
      </c>
      <c r="V490">
        <v>8</v>
      </c>
      <c r="W490">
        <v>51</v>
      </c>
      <c r="X490">
        <v>87</v>
      </c>
      <c r="Y490">
        <v>31</v>
      </c>
      <c r="Z490">
        <v>14</v>
      </c>
      <c r="AA490">
        <v>1</v>
      </c>
      <c r="AB490">
        <v>2</v>
      </c>
      <c r="AC490">
        <v>73</v>
      </c>
      <c r="AD490">
        <v>1</v>
      </c>
      <c r="AE490">
        <v>1</v>
      </c>
      <c r="AF490">
        <v>8</v>
      </c>
      <c r="AG490">
        <v>0</v>
      </c>
      <c r="AH490">
        <v>0</v>
      </c>
      <c r="AI490" s="5">
        <v>0.224</v>
      </c>
      <c r="AJ490" s="5">
        <v>0.27100000000000002</v>
      </c>
      <c r="AK490" s="5">
        <v>0.38700000000000001</v>
      </c>
      <c r="AL490" s="5">
        <v>0.222</v>
      </c>
      <c r="AM490" s="5">
        <v>0.28499999999999998</v>
      </c>
      <c r="AN490">
        <v>-0.5</v>
      </c>
      <c r="AO490">
        <v>4.7699999999999996</v>
      </c>
      <c r="AP490">
        <v>7</v>
      </c>
      <c r="AQ490">
        <v>-9.9499999999999993</v>
      </c>
      <c r="AR490">
        <v>0.7</v>
      </c>
      <c r="AS490" t="s">
        <v>1857</v>
      </c>
      <c r="AT490">
        <v>0.2</v>
      </c>
      <c r="AU490">
        <v>1.3</v>
      </c>
      <c r="AV490">
        <v>1</v>
      </c>
      <c r="AW490">
        <v>10</v>
      </c>
      <c r="AX490">
        <v>3</v>
      </c>
      <c r="AY490">
        <v>10</v>
      </c>
      <c r="AZ490" t="s">
        <v>4104</v>
      </c>
      <c r="BA490">
        <v>16</v>
      </c>
      <c r="BB490" t="s">
        <v>36</v>
      </c>
      <c r="BC490" t="s">
        <v>35</v>
      </c>
      <c r="BD490" s="4">
        <f>HYPERLINK("http://mlb.mlb.com/team/player.jsp?player_id=642020",642020)</f>
        <v>642020</v>
      </c>
      <c r="BE490">
        <v>0</v>
      </c>
      <c r="BF490">
        <v>0</v>
      </c>
      <c r="BG490">
        <v>0</v>
      </c>
      <c r="BH490">
        <v>0</v>
      </c>
    </row>
    <row r="491" spans="1:60" x14ac:dyDescent="0.3">
      <c r="A491" s="4">
        <f>HYPERLINK("http://legacy.baseballprospectus.com/p/108661",108661)</f>
        <v>108661</v>
      </c>
      <c r="B491" t="s">
        <v>1884</v>
      </c>
      <c r="C491" t="s">
        <v>104</v>
      </c>
      <c r="D491" s="10">
        <v>34825</v>
      </c>
      <c r="E491" t="s">
        <v>50</v>
      </c>
      <c r="F491" t="s">
        <v>9</v>
      </c>
      <c r="G491" t="s">
        <v>33</v>
      </c>
      <c r="H491">
        <v>72</v>
      </c>
      <c r="I491">
        <v>195</v>
      </c>
      <c r="J491">
        <v>2018</v>
      </c>
      <c r="K491" s="4" t="str">
        <f>HYPERLINK("http://legacy.baseballprospectus.com/fantasy/dc/index.php?tm=ANA","ANA")</f>
        <v>ANA</v>
      </c>
      <c r="L491" t="s">
        <v>95</v>
      </c>
      <c r="M491" t="s">
        <v>34</v>
      </c>
      <c r="N491">
        <v>23</v>
      </c>
      <c r="O491">
        <v>250</v>
      </c>
      <c r="P491" t="s">
        <v>1680</v>
      </c>
      <c r="Q491">
        <v>220</v>
      </c>
      <c r="R491">
        <v>27</v>
      </c>
      <c r="S491">
        <v>34</v>
      </c>
      <c r="T491">
        <v>10</v>
      </c>
      <c r="U491">
        <v>1</v>
      </c>
      <c r="V491">
        <v>7</v>
      </c>
      <c r="W491">
        <v>52</v>
      </c>
      <c r="X491">
        <v>85</v>
      </c>
      <c r="Y491">
        <v>29</v>
      </c>
      <c r="Z491">
        <v>25</v>
      </c>
      <c r="AA491">
        <v>2</v>
      </c>
      <c r="AB491">
        <v>3</v>
      </c>
      <c r="AC491">
        <v>56</v>
      </c>
      <c r="AD491">
        <v>1</v>
      </c>
      <c r="AE491">
        <v>1</v>
      </c>
      <c r="AF491">
        <v>6</v>
      </c>
      <c r="AG491">
        <v>1</v>
      </c>
      <c r="AH491">
        <v>1</v>
      </c>
      <c r="AI491" s="5">
        <v>0.23699999999999999</v>
      </c>
      <c r="AJ491" s="5">
        <v>0.32200000000000001</v>
      </c>
      <c r="AK491" s="5">
        <v>0.38500000000000001</v>
      </c>
      <c r="AL491" s="5">
        <v>0.245</v>
      </c>
      <c r="AM491" s="5">
        <v>0.28399999999999997</v>
      </c>
      <c r="AN491">
        <v>-0.4</v>
      </c>
      <c r="AO491">
        <v>-2.3199999999999998</v>
      </c>
      <c r="AP491">
        <v>7</v>
      </c>
      <c r="AQ491">
        <v>-4.03</v>
      </c>
      <c r="AR491">
        <v>1.5</v>
      </c>
      <c r="AS491" t="s">
        <v>68</v>
      </c>
      <c r="AT491">
        <v>0.2</v>
      </c>
      <c r="AU491">
        <v>0.2</v>
      </c>
      <c r="AV491">
        <v>6</v>
      </c>
      <c r="AW491">
        <v>13</v>
      </c>
      <c r="AX491">
        <v>4</v>
      </c>
      <c r="AY491">
        <v>12</v>
      </c>
      <c r="AZ491" t="s">
        <v>4185</v>
      </c>
      <c r="BA491">
        <v>20</v>
      </c>
      <c r="BB491" t="s">
        <v>36</v>
      </c>
      <c r="BC491" t="s">
        <v>35</v>
      </c>
      <c r="BD491" s="4">
        <f>HYPERLINK("http://mlb.mlb.com/team/player.jsp?player_id=642136",642136)</f>
        <v>642136</v>
      </c>
      <c r="BE491">
        <v>426</v>
      </c>
      <c r="BF491">
        <v>1426</v>
      </c>
      <c r="BG491">
        <v>0</v>
      </c>
      <c r="BH491">
        <v>0</v>
      </c>
    </row>
    <row r="492" spans="1:60" x14ac:dyDescent="0.3">
      <c r="A492" s="4">
        <f>HYPERLINK("http://legacy.baseballprospectus.com/p/109138",109138)</f>
        <v>109138</v>
      </c>
      <c r="B492" t="s">
        <v>1833</v>
      </c>
      <c r="C492" t="s">
        <v>1834</v>
      </c>
      <c r="D492" s="10">
        <v>34261</v>
      </c>
      <c r="E492" t="s">
        <v>53</v>
      </c>
      <c r="F492" t="s">
        <v>33</v>
      </c>
      <c r="G492" t="s">
        <v>33</v>
      </c>
      <c r="H492">
        <v>74</v>
      </c>
      <c r="I492">
        <v>185</v>
      </c>
      <c r="J492">
        <v>2018</v>
      </c>
      <c r="K492" s="4" t="str">
        <f>HYPERLINK("http://legacy.baseballprospectus.com/fantasy/dc/index.php?tm=TOR","TOR")</f>
        <v>TOR</v>
      </c>
      <c r="L492" t="s">
        <v>95</v>
      </c>
      <c r="M492" t="s">
        <v>34</v>
      </c>
      <c r="N492">
        <v>24</v>
      </c>
      <c r="O492">
        <v>250</v>
      </c>
      <c r="P492" t="s">
        <v>1680</v>
      </c>
      <c r="Q492">
        <v>232</v>
      </c>
      <c r="R492">
        <v>25</v>
      </c>
      <c r="S492">
        <v>35</v>
      </c>
      <c r="T492">
        <v>12</v>
      </c>
      <c r="U492">
        <v>0</v>
      </c>
      <c r="V492">
        <v>7</v>
      </c>
      <c r="W492">
        <v>54</v>
      </c>
      <c r="X492">
        <v>87</v>
      </c>
      <c r="Y492">
        <v>29</v>
      </c>
      <c r="Z492">
        <v>14</v>
      </c>
      <c r="AA492">
        <v>1</v>
      </c>
      <c r="AB492">
        <v>2</v>
      </c>
      <c r="AC492">
        <v>59</v>
      </c>
      <c r="AD492">
        <v>1</v>
      </c>
      <c r="AE492">
        <v>2</v>
      </c>
      <c r="AF492">
        <v>7</v>
      </c>
      <c r="AG492">
        <v>1</v>
      </c>
      <c r="AH492">
        <v>0</v>
      </c>
      <c r="AI492" s="5">
        <v>0.23499999999999999</v>
      </c>
      <c r="AJ492" s="5">
        <v>0.28199999999999997</v>
      </c>
      <c r="AK492" s="5">
        <v>0.38600000000000001</v>
      </c>
      <c r="AL492" s="5">
        <v>0.22600000000000001</v>
      </c>
      <c r="AM492" s="5">
        <v>0.27900000000000003</v>
      </c>
      <c r="AN492">
        <v>-0.4</v>
      </c>
      <c r="AO492">
        <v>3.72</v>
      </c>
      <c r="AP492">
        <v>7</v>
      </c>
      <c r="AQ492">
        <v>-9.0399999999999991</v>
      </c>
      <c r="AR492">
        <v>0.6</v>
      </c>
      <c r="AS492" t="s">
        <v>2178</v>
      </c>
      <c r="AT492">
        <v>0.2</v>
      </c>
      <c r="AU492">
        <v>1.3</v>
      </c>
      <c r="AV492">
        <v>3</v>
      </c>
      <c r="AW492">
        <v>13</v>
      </c>
      <c r="AX492">
        <v>6</v>
      </c>
      <c r="AY492">
        <v>24</v>
      </c>
      <c r="AZ492" t="s">
        <v>4105</v>
      </c>
      <c r="BA492">
        <v>32</v>
      </c>
      <c r="BB492" t="s">
        <v>36</v>
      </c>
      <c r="BC492" t="s">
        <v>35</v>
      </c>
      <c r="BD492" s="4">
        <f>HYPERLINK("http://mlb.mlb.com/team/player.jsp?player_id=666971",666971)</f>
        <v>666971</v>
      </c>
      <c r="BE492">
        <v>548</v>
      </c>
      <c r="BF492">
        <v>1548</v>
      </c>
      <c r="BG492">
        <v>0</v>
      </c>
      <c r="BH492">
        <v>0</v>
      </c>
    </row>
    <row r="493" spans="1:60" x14ac:dyDescent="0.3">
      <c r="A493" s="4">
        <f>HYPERLINK("http://legacy.baseballprospectus.com/p/110995",110995)</f>
        <v>110995</v>
      </c>
      <c r="B493" t="s">
        <v>4189</v>
      </c>
      <c r="C493" t="s">
        <v>3133</v>
      </c>
      <c r="D493" s="10">
        <v>35248</v>
      </c>
      <c r="E493" t="s">
        <v>54</v>
      </c>
      <c r="F493" t="s">
        <v>9</v>
      </c>
      <c r="G493" t="s">
        <v>33</v>
      </c>
      <c r="H493">
        <v>70</v>
      </c>
      <c r="I493">
        <v>190</v>
      </c>
      <c r="J493">
        <v>2018</v>
      </c>
      <c r="K493" s="4" t="str">
        <f>HYPERLINK("http://legacy.baseballprospectus.com/fantasy/dc/index.php?tm=ARI","ARI")</f>
        <v>ARI</v>
      </c>
      <c r="L493" t="s">
        <v>100</v>
      </c>
      <c r="M493" t="s">
        <v>34</v>
      </c>
      <c r="N493">
        <v>21</v>
      </c>
      <c r="O493">
        <v>250</v>
      </c>
      <c r="P493" t="s">
        <v>1680</v>
      </c>
      <c r="Q493">
        <v>231</v>
      </c>
      <c r="R493">
        <v>26</v>
      </c>
      <c r="S493">
        <v>31</v>
      </c>
      <c r="T493">
        <v>12</v>
      </c>
      <c r="U493">
        <v>1</v>
      </c>
      <c r="V493">
        <v>8</v>
      </c>
      <c r="W493">
        <v>52</v>
      </c>
      <c r="X493">
        <v>90</v>
      </c>
      <c r="Y493">
        <v>29</v>
      </c>
      <c r="Z493">
        <v>16</v>
      </c>
      <c r="AA493">
        <v>1</v>
      </c>
      <c r="AB493">
        <v>1</v>
      </c>
      <c r="AC493">
        <v>67</v>
      </c>
      <c r="AD493">
        <v>1</v>
      </c>
      <c r="AE493">
        <v>1</v>
      </c>
      <c r="AF493">
        <v>6</v>
      </c>
      <c r="AG493">
        <v>3</v>
      </c>
      <c r="AH493">
        <v>1</v>
      </c>
      <c r="AI493" s="5">
        <v>0.22500000000000001</v>
      </c>
      <c r="AJ493" s="5">
        <v>0.27600000000000002</v>
      </c>
      <c r="AK493" s="5">
        <v>0.38400000000000001</v>
      </c>
      <c r="AL493" s="5">
        <v>0.221</v>
      </c>
      <c r="AM493" s="5">
        <v>0.27800000000000002</v>
      </c>
      <c r="AN493">
        <v>-0.1</v>
      </c>
      <c r="AO493">
        <v>4.9000000000000004</v>
      </c>
      <c r="AP493">
        <v>7</v>
      </c>
      <c r="AQ493">
        <v>-10.23</v>
      </c>
      <c r="AR493">
        <v>0.2</v>
      </c>
      <c r="AS493" t="s">
        <v>71</v>
      </c>
      <c r="AT493">
        <v>0.2</v>
      </c>
      <c r="AU493">
        <v>1.6</v>
      </c>
      <c r="AV493">
        <v>2</v>
      </c>
      <c r="AW493">
        <v>4</v>
      </c>
      <c r="AX493">
        <v>8</v>
      </c>
      <c r="AY493">
        <v>13</v>
      </c>
      <c r="AZ493" t="s">
        <v>4190</v>
      </c>
      <c r="BA493">
        <v>16</v>
      </c>
      <c r="BB493" t="s">
        <v>36</v>
      </c>
      <c r="BC493" t="s">
        <v>35</v>
      </c>
      <c r="BD493" s="4">
        <f>HYPERLINK("http://mlb.mlb.com/team/player.jsp?player_id=662139",662139)</f>
        <v>662139</v>
      </c>
      <c r="BE493">
        <v>1419</v>
      </c>
      <c r="BF493">
        <v>419</v>
      </c>
      <c r="BG493">
        <v>0</v>
      </c>
      <c r="BH493">
        <v>0</v>
      </c>
    </row>
    <row r="494" spans="1:60" x14ac:dyDescent="0.3">
      <c r="A494" s="4">
        <f>HYPERLINK("http://legacy.baseballprospectus.com/p/65856",65856)</f>
        <v>65856</v>
      </c>
      <c r="B494" t="s">
        <v>1245</v>
      </c>
      <c r="C494" t="s">
        <v>1246</v>
      </c>
      <c r="D494" s="10">
        <v>32693</v>
      </c>
      <c r="E494" t="s">
        <v>59</v>
      </c>
      <c r="F494" t="s">
        <v>33</v>
      </c>
      <c r="G494" t="s">
        <v>33</v>
      </c>
      <c r="H494">
        <v>77</v>
      </c>
      <c r="I494">
        <v>235</v>
      </c>
      <c r="J494">
        <v>2018</v>
      </c>
      <c r="K494" s="4" t="str">
        <f>HYPERLINK("http://legacy.baseballprospectus.com/fantasy/dc/index.php?tm=ANA","ANA")</f>
        <v>ANA</v>
      </c>
      <c r="L494" t="s">
        <v>95</v>
      </c>
      <c r="M494" t="s">
        <v>34</v>
      </c>
      <c r="N494">
        <v>28</v>
      </c>
      <c r="O494">
        <v>66</v>
      </c>
      <c r="P494">
        <v>19</v>
      </c>
      <c r="Q494">
        <v>56</v>
      </c>
      <c r="R494">
        <v>9</v>
      </c>
      <c r="S494">
        <v>7</v>
      </c>
      <c r="T494">
        <v>2</v>
      </c>
      <c r="U494">
        <v>0</v>
      </c>
      <c r="V494">
        <v>3</v>
      </c>
      <c r="W494">
        <v>12</v>
      </c>
      <c r="X494">
        <v>23</v>
      </c>
      <c r="Y494">
        <v>9</v>
      </c>
      <c r="Z494">
        <v>9</v>
      </c>
      <c r="AA494">
        <v>0</v>
      </c>
      <c r="AB494">
        <v>1</v>
      </c>
      <c r="AC494">
        <v>22</v>
      </c>
      <c r="AD494">
        <v>0</v>
      </c>
      <c r="AE494">
        <v>0</v>
      </c>
      <c r="AF494">
        <v>2</v>
      </c>
      <c r="AG494">
        <v>0</v>
      </c>
      <c r="AH494">
        <v>0</v>
      </c>
      <c r="AI494" s="5">
        <v>0.214</v>
      </c>
      <c r="AJ494" s="5">
        <v>0.33300000000000002</v>
      </c>
      <c r="AK494" s="5">
        <v>0.41099999999999998</v>
      </c>
      <c r="AL494" s="5">
        <v>0.27500000000000002</v>
      </c>
      <c r="AM494" s="5">
        <v>0.28899999999999998</v>
      </c>
      <c r="AN494">
        <v>-0.1</v>
      </c>
      <c r="AO494">
        <v>-0.12</v>
      </c>
      <c r="AP494">
        <v>1.77</v>
      </c>
      <c r="AQ494">
        <v>1.06</v>
      </c>
      <c r="AR494">
        <v>-1.1000000000000001</v>
      </c>
      <c r="AS494" t="s">
        <v>1014</v>
      </c>
      <c r="AT494">
        <v>0.2</v>
      </c>
      <c r="AU494">
        <v>2.6</v>
      </c>
      <c r="AV494">
        <v>2</v>
      </c>
      <c r="AW494">
        <v>23</v>
      </c>
      <c r="AX494">
        <v>15</v>
      </c>
      <c r="AY494">
        <v>22</v>
      </c>
      <c r="AZ494" t="s">
        <v>3721</v>
      </c>
      <c r="BA494">
        <v>70</v>
      </c>
      <c r="BB494" t="s">
        <v>35</v>
      </c>
      <c r="BC494" t="s">
        <v>36</v>
      </c>
      <c r="BD494" s="4">
        <f>HYPERLINK("http://mlb.mlb.com/team/player.jsp?player_id=518466",518466)</f>
        <v>518466</v>
      </c>
      <c r="BE494">
        <v>604</v>
      </c>
      <c r="BF494">
        <v>1604</v>
      </c>
      <c r="BG494">
        <v>195</v>
      </c>
      <c r="BH494">
        <v>164</v>
      </c>
    </row>
    <row r="495" spans="1:60" x14ac:dyDescent="0.3">
      <c r="A495" s="4">
        <f>HYPERLINK("http://legacy.baseballprospectus.com/p/45492",45492)</f>
        <v>45492</v>
      </c>
      <c r="B495" t="s">
        <v>990</v>
      </c>
      <c r="C495" t="s">
        <v>234</v>
      </c>
      <c r="D495" s="10">
        <v>30564</v>
      </c>
      <c r="E495" t="s">
        <v>57</v>
      </c>
      <c r="F495" t="s">
        <v>33</v>
      </c>
      <c r="G495" t="s">
        <v>33</v>
      </c>
      <c r="H495">
        <v>74</v>
      </c>
      <c r="I495">
        <v>200</v>
      </c>
      <c r="J495">
        <v>2018</v>
      </c>
      <c r="K495" s="4" t="str">
        <f>HYPERLINK("http://legacy.baseballprospectus.com/fantasy/dc/index.php?tm=ANA","ANA")</f>
        <v>ANA</v>
      </c>
      <c r="L495" t="s">
        <v>95</v>
      </c>
      <c r="M495" t="s">
        <v>34</v>
      </c>
      <c r="N495">
        <v>34</v>
      </c>
      <c r="O495">
        <v>168</v>
      </c>
      <c r="P495">
        <v>50</v>
      </c>
      <c r="Q495">
        <v>151</v>
      </c>
      <c r="R495">
        <v>19</v>
      </c>
      <c r="S495">
        <v>21</v>
      </c>
      <c r="T495">
        <v>8</v>
      </c>
      <c r="U495">
        <v>1</v>
      </c>
      <c r="V495">
        <v>5</v>
      </c>
      <c r="W495">
        <v>35</v>
      </c>
      <c r="X495">
        <v>60</v>
      </c>
      <c r="Y495">
        <v>20</v>
      </c>
      <c r="Z495">
        <v>15</v>
      </c>
      <c r="AA495">
        <v>1</v>
      </c>
      <c r="AB495">
        <v>2</v>
      </c>
      <c r="AC495">
        <v>37</v>
      </c>
      <c r="AD495">
        <v>0</v>
      </c>
      <c r="AE495">
        <v>1</v>
      </c>
      <c r="AF495">
        <v>4</v>
      </c>
      <c r="AG495">
        <v>2</v>
      </c>
      <c r="AH495">
        <v>1</v>
      </c>
      <c r="AI495" s="5">
        <v>0.23200000000000001</v>
      </c>
      <c r="AJ495" s="5">
        <v>0.308</v>
      </c>
      <c r="AK495" s="5">
        <v>0.39700000000000002</v>
      </c>
      <c r="AL495" s="5">
        <v>0.25</v>
      </c>
      <c r="AM495" s="5">
        <v>0.26700000000000002</v>
      </c>
      <c r="AN495">
        <v>-0.2</v>
      </c>
      <c r="AO495">
        <v>-0.96</v>
      </c>
      <c r="AP495">
        <v>4.51</v>
      </c>
      <c r="AQ495">
        <v>-1.68</v>
      </c>
      <c r="AR495">
        <v>-0.1</v>
      </c>
      <c r="AS495" t="s">
        <v>4152</v>
      </c>
      <c r="AT495">
        <v>0.2</v>
      </c>
      <c r="AU495">
        <v>1.7</v>
      </c>
      <c r="AV495">
        <v>0</v>
      </c>
      <c r="AW495">
        <v>25</v>
      </c>
      <c r="AX495">
        <v>20</v>
      </c>
      <c r="AY495">
        <v>24</v>
      </c>
      <c r="AZ495" t="s">
        <v>3999</v>
      </c>
      <c r="BA495">
        <v>87</v>
      </c>
      <c r="BB495" t="s">
        <v>35</v>
      </c>
      <c r="BC495" t="s">
        <v>36</v>
      </c>
      <c r="BD495" s="4">
        <f>HYPERLINK("http://mlb.mlb.com/team/player.jsp?player_id=455759",455759)</f>
        <v>455759</v>
      </c>
      <c r="BE495">
        <v>0</v>
      </c>
      <c r="BF495">
        <v>0</v>
      </c>
      <c r="BG495">
        <v>276</v>
      </c>
      <c r="BH495">
        <v>243</v>
      </c>
    </row>
    <row r="496" spans="1:60" x14ac:dyDescent="0.3">
      <c r="A496" s="4">
        <f>HYPERLINK("http://legacy.baseballprospectus.com/p/69508",69508)</f>
        <v>69508</v>
      </c>
      <c r="B496" t="s">
        <v>107</v>
      </c>
      <c r="C496" t="s">
        <v>108</v>
      </c>
      <c r="D496" s="10">
        <v>32947</v>
      </c>
      <c r="E496" t="s">
        <v>53</v>
      </c>
      <c r="F496" t="s">
        <v>33</v>
      </c>
      <c r="G496" t="s">
        <v>33</v>
      </c>
      <c r="H496">
        <v>74</v>
      </c>
      <c r="I496">
        <v>195</v>
      </c>
      <c r="J496">
        <v>2018</v>
      </c>
      <c r="K496" s="4" t="str">
        <f>HYPERLINK("http://legacy.baseballprospectus.com/fantasy/dc/index.php?tm=ARI","ARI")</f>
        <v>ARI</v>
      </c>
      <c r="L496" t="s">
        <v>100</v>
      </c>
      <c r="M496" t="s">
        <v>34</v>
      </c>
      <c r="N496">
        <v>28</v>
      </c>
      <c r="O496">
        <v>284</v>
      </c>
      <c r="P496">
        <v>82</v>
      </c>
      <c r="Q496">
        <v>262</v>
      </c>
      <c r="R496">
        <v>28</v>
      </c>
      <c r="S496">
        <v>42</v>
      </c>
      <c r="T496">
        <v>12</v>
      </c>
      <c r="U496">
        <v>2</v>
      </c>
      <c r="V496">
        <v>4</v>
      </c>
      <c r="W496">
        <v>60</v>
      </c>
      <c r="X496">
        <v>88</v>
      </c>
      <c r="Y496">
        <v>25</v>
      </c>
      <c r="Z496">
        <v>17</v>
      </c>
      <c r="AA496">
        <v>2</v>
      </c>
      <c r="AB496">
        <v>2</v>
      </c>
      <c r="AC496">
        <v>53</v>
      </c>
      <c r="AD496">
        <v>3</v>
      </c>
      <c r="AE496">
        <v>1</v>
      </c>
      <c r="AF496">
        <v>7</v>
      </c>
      <c r="AG496">
        <v>4</v>
      </c>
      <c r="AH496">
        <v>3</v>
      </c>
      <c r="AI496" s="5">
        <v>0.22900000000000001</v>
      </c>
      <c r="AJ496" s="5">
        <v>0.28000000000000003</v>
      </c>
      <c r="AK496" s="5">
        <v>0.33600000000000002</v>
      </c>
      <c r="AL496" s="5">
        <v>0.222</v>
      </c>
      <c r="AM496" s="5">
        <v>0.27200000000000002</v>
      </c>
      <c r="AN496">
        <v>-0.4</v>
      </c>
      <c r="AO496">
        <v>1.96</v>
      </c>
      <c r="AP496">
        <v>7.62</v>
      </c>
      <c r="AQ496">
        <v>-11.46</v>
      </c>
      <c r="AR496">
        <v>3.9</v>
      </c>
      <c r="AS496" t="s">
        <v>1334</v>
      </c>
      <c r="AT496">
        <v>0.2</v>
      </c>
      <c r="AU496">
        <v>-2.2999999999999998</v>
      </c>
      <c r="AV496">
        <v>3</v>
      </c>
      <c r="AW496">
        <v>41</v>
      </c>
      <c r="AX496">
        <v>10</v>
      </c>
      <c r="AY496">
        <v>19</v>
      </c>
      <c r="AZ496" t="s">
        <v>4318</v>
      </c>
      <c r="BA496">
        <v>88</v>
      </c>
      <c r="BB496" t="s">
        <v>35</v>
      </c>
      <c r="BC496" t="s">
        <v>36</v>
      </c>
      <c r="BD496" s="4">
        <f>HYPERLINK("http://mlb.mlb.com/team/player.jsp?player_id=605113",605113)</f>
        <v>605113</v>
      </c>
      <c r="BE496">
        <v>1541</v>
      </c>
      <c r="BF496">
        <v>541</v>
      </c>
      <c r="BG496">
        <v>178</v>
      </c>
      <c r="BH496">
        <v>167</v>
      </c>
    </row>
    <row r="497" spans="1:60" x14ac:dyDescent="0.3">
      <c r="A497" s="4">
        <f>HYPERLINK("http://legacy.baseballprospectus.com/p/50297",50297)</f>
        <v>50297</v>
      </c>
      <c r="B497" t="s">
        <v>315</v>
      </c>
      <c r="C497" t="s">
        <v>316</v>
      </c>
      <c r="D497" s="10">
        <v>30909</v>
      </c>
      <c r="E497" t="s">
        <v>59</v>
      </c>
      <c r="F497" t="s">
        <v>9</v>
      </c>
      <c r="G497" t="s">
        <v>33</v>
      </c>
      <c r="H497">
        <v>70</v>
      </c>
      <c r="I497">
        <v>165</v>
      </c>
      <c r="J497">
        <v>2018</v>
      </c>
      <c r="K497" s="4" t="str">
        <f>HYPERLINK("http://legacy.baseballprospectus.com/fantasy/dc/index.php?tm=ARI","ARI")</f>
        <v>ARI</v>
      </c>
      <c r="L497" t="s">
        <v>100</v>
      </c>
      <c r="M497" t="s">
        <v>34</v>
      </c>
      <c r="N497">
        <v>33</v>
      </c>
      <c r="O497">
        <v>297</v>
      </c>
      <c r="P497">
        <v>118</v>
      </c>
      <c r="Q497">
        <v>265</v>
      </c>
      <c r="R497">
        <v>37</v>
      </c>
      <c r="S497">
        <v>49</v>
      </c>
      <c r="T497">
        <v>11</v>
      </c>
      <c r="U497">
        <v>5</v>
      </c>
      <c r="V497">
        <v>2</v>
      </c>
      <c r="W497">
        <v>67</v>
      </c>
      <c r="X497">
        <v>94</v>
      </c>
      <c r="Y497">
        <v>21</v>
      </c>
      <c r="Z497">
        <v>22</v>
      </c>
      <c r="AA497">
        <v>1</v>
      </c>
      <c r="AB497">
        <v>4</v>
      </c>
      <c r="AC497">
        <v>52</v>
      </c>
      <c r="AD497">
        <v>5</v>
      </c>
      <c r="AE497">
        <v>1</v>
      </c>
      <c r="AF497">
        <v>6</v>
      </c>
      <c r="AG497">
        <v>24</v>
      </c>
      <c r="AH497">
        <v>5</v>
      </c>
      <c r="AI497" s="5">
        <v>0.253</v>
      </c>
      <c r="AJ497" s="5">
        <v>0.318</v>
      </c>
      <c r="AK497" s="5">
        <v>0.35499999999999998</v>
      </c>
      <c r="AL497" s="5">
        <v>0.23400000000000001</v>
      </c>
      <c r="AM497" s="5">
        <v>0.29599999999999999</v>
      </c>
      <c r="AN497">
        <v>3.8</v>
      </c>
      <c r="AO497">
        <v>-0.67</v>
      </c>
      <c r="AP497">
        <v>7.97</v>
      </c>
      <c r="AQ497">
        <v>-8.27</v>
      </c>
      <c r="AR497">
        <v>-0.6</v>
      </c>
      <c r="AS497" t="s">
        <v>4295</v>
      </c>
      <c r="AT497">
        <v>0.2</v>
      </c>
      <c r="AU497">
        <v>2.9</v>
      </c>
      <c r="AV497">
        <v>2</v>
      </c>
      <c r="AW497">
        <v>37</v>
      </c>
      <c r="AX497">
        <v>10</v>
      </c>
      <c r="AY497">
        <v>17</v>
      </c>
      <c r="AZ497" t="s">
        <v>3894</v>
      </c>
      <c r="BA497">
        <v>86</v>
      </c>
      <c r="BB497" t="s">
        <v>35</v>
      </c>
      <c r="BC497" t="s">
        <v>36</v>
      </c>
      <c r="BD497" s="4">
        <f>HYPERLINK("http://mlb.mlb.com/team/player.jsp?player_id=502481",502481)</f>
        <v>502481</v>
      </c>
      <c r="BE497">
        <v>0</v>
      </c>
      <c r="BF497">
        <v>0</v>
      </c>
      <c r="BG497">
        <v>390</v>
      </c>
      <c r="BH497">
        <v>346</v>
      </c>
    </row>
    <row r="498" spans="1:60" x14ac:dyDescent="0.3">
      <c r="A498" s="4">
        <f>HYPERLINK("http://legacy.baseballprospectus.com/p/31602",31602)</f>
        <v>31602</v>
      </c>
      <c r="B498" t="s">
        <v>503</v>
      </c>
      <c r="C498" t="s">
        <v>146</v>
      </c>
      <c r="D498" s="10">
        <v>30406</v>
      </c>
      <c r="E498" t="s">
        <v>54</v>
      </c>
      <c r="F498" t="s">
        <v>33</v>
      </c>
      <c r="G498" t="s">
        <v>33</v>
      </c>
      <c r="H498">
        <v>72</v>
      </c>
      <c r="I498">
        <v>205</v>
      </c>
      <c r="J498">
        <v>2018</v>
      </c>
      <c r="K498" s="4" t="str">
        <f>HYPERLINK("http://legacy.baseballprospectus.com/fantasy/dc/index.php?tm=ARI","ARI")</f>
        <v>ARI</v>
      </c>
      <c r="L498" t="s">
        <v>100</v>
      </c>
      <c r="M498" t="s">
        <v>34</v>
      </c>
      <c r="N498">
        <v>35</v>
      </c>
      <c r="O498">
        <v>155</v>
      </c>
      <c r="P498">
        <v>46</v>
      </c>
      <c r="Q498">
        <v>142</v>
      </c>
      <c r="R498">
        <v>13</v>
      </c>
      <c r="S498">
        <v>19</v>
      </c>
      <c r="T498">
        <v>6</v>
      </c>
      <c r="U498">
        <v>1</v>
      </c>
      <c r="V498">
        <v>2</v>
      </c>
      <c r="W498">
        <v>28</v>
      </c>
      <c r="X498">
        <v>42</v>
      </c>
      <c r="Y498">
        <v>13</v>
      </c>
      <c r="Z498">
        <v>10</v>
      </c>
      <c r="AA498">
        <v>1</v>
      </c>
      <c r="AB498">
        <v>1</v>
      </c>
      <c r="AC498">
        <v>48</v>
      </c>
      <c r="AD498">
        <v>1</v>
      </c>
      <c r="AE498">
        <v>1</v>
      </c>
      <c r="AF498">
        <v>3</v>
      </c>
      <c r="AG498">
        <v>0</v>
      </c>
      <c r="AH498">
        <v>0</v>
      </c>
      <c r="AI498" s="5">
        <v>0.19700000000000001</v>
      </c>
      <c r="AJ498" s="5">
        <v>0.253</v>
      </c>
      <c r="AK498" s="5">
        <v>0.29599999999999999</v>
      </c>
      <c r="AL498" s="5">
        <v>0.20100000000000001</v>
      </c>
      <c r="AM498" s="5">
        <v>0.28000000000000003</v>
      </c>
      <c r="AN498">
        <v>-0.2</v>
      </c>
      <c r="AO498">
        <v>1.18</v>
      </c>
      <c r="AP498">
        <v>4.16</v>
      </c>
      <c r="AQ498">
        <v>-9.5500000000000007</v>
      </c>
      <c r="AR498">
        <v>6.2</v>
      </c>
      <c r="AS498" t="s">
        <v>4834</v>
      </c>
      <c r="AT498">
        <v>0.2</v>
      </c>
      <c r="AU498">
        <v>-4.4000000000000004</v>
      </c>
      <c r="AV498">
        <v>4</v>
      </c>
      <c r="AW498">
        <v>34</v>
      </c>
      <c r="AX498">
        <v>14</v>
      </c>
      <c r="AY498">
        <v>39</v>
      </c>
      <c r="AZ498" t="s">
        <v>3940</v>
      </c>
      <c r="BA498">
        <v>88</v>
      </c>
      <c r="BB498" t="s">
        <v>35</v>
      </c>
      <c r="BC498" t="s">
        <v>36</v>
      </c>
      <c r="BD498" s="4">
        <f>HYPERLINK("http://mlb.mlb.com/team/player.jsp?player_id=425772",425772)</f>
        <v>425772</v>
      </c>
      <c r="BE498">
        <v>1389</v>
      </c>
      <c r="BF498">
        <v>389</v>
      </c>
      <c r="BG498">
        <v>203</v>
      </c>
      <c r="BH498">
        <v>186</v>
      </c>
    </row>
    <row r="499" spans="1:60" x14ac:dyDescent="0.3">
      <c r="A499" s="4">
        <f>HYPERLINK("http://legacy.baseballprospectus.com/p/67342",67342)</f>
        <v>67342</v>
      </c>
      <c r="B499" t="s">
        <v>420</v>
      </c>
      <c r="C499" t="s">
        <v>625</v>
      </c>
      <c r="D499" s="10">
        <v>33853</v>
      </c>
      <c r="E499" t="s">
        <v>58</v>
      </c>
      <c r="F499" t="s">
        <v>9</v>
      </c>
      <c r="G499" t="s">
        <v>33</v>
      </c>
      <c r="H499">
        <v>72</v>
      </c>
      <c r="I499">
        <v>200</v>
      </c>
      <c r="J499">
        <v>2018</v>
      </c>
      <c r="K499" s="4" t="str">
        <f>HYPERLINK("http://legacy.baseballprospectus.com/fantasy/dc/index.php?tm=BOS","BOS")</f>
        <v>BOS</v>
      </c>
      <c r="L499" t="s">
        <v>95</v>
      </c>
      <c r="M499" t="s">
        <v>34</v>
      </c>
      <c r="N499">
        <v>25</v>
      </c>
      <c r="O499">
        <v>60</v>
      </c>
      <c r="P499">
        <v>18</v>
      </c>
      <c r="Q499">
        <v>57</v>
      </c>
      <c r="R499">
        <v>7</v>
      </c>
      <c r="S499">
        <v>11</v>
      </c>
      <c r="T499">
        <v>3</v>
      </c>
      <c r="U499">
        <v>1</v>
      </c>
      <c r="V499">
        <v>1</v>
      </c>
      <c r="W499">
        <v>16</v>
      </c>
      <c r="X499">
        <v>24</v>
      </c>
      <c r="Y499">
        <v>7</v>
      </c>
      <c r="Z499">
        <v>3</v>
      </c>
      <c r="AA499">
        <v>0</v>
      </c>
      <c r="AB499">
        <v>0</v>
      </c>
      <c r="AC499">
        <v>14</v>
      </c>
      <c r="AD499">
        <v>0</v>
      </c>
      <c r="AE499">
        <v>0</v>
      </c>
      <c r="AF499">
        <v>1</v>
      </c>
      <c r="AG499">
        <v>0</v>
      </c>
      <c r="AH499">
        <v>0</v>
      </c>
      <c r="AI499" s="5">
        <v>0.28100000000000003</v>
      </c>
      <c r="AJ499" s="5">
        <v>0.317</v>
      </c>
      <c r="AK499" s="5">
        <v>0.42099999999999999</v>
      </c>
      <c r="AL499" s="5">
        <v>0.247</v>
      </c>
      <c r="AM499" s="5">
        <v>0.34</v>
      </c>
      <c r="AN499">
        <v>0</v>
      </c>
      <c r="AO499">
        <v>0.31</v>
      </c>
      <c r="AP499">
        <v>1.61</v>
      </c>
      <c r="AQ499">
        <v>-0.82</v>
      </c>
      <c r="AR499">
        <v>0.5</v>
      </c>
      <c r="AS499" t="s">
        <v>1032</v>
      </c>
      <c r="AT499">
        <v>0.2</v>
      </c>
      <c r="AU499">
        <v>1.1000000000000001</v>
      </c>
      <c r="AV499">
        <v>8</v>
      </c>
      <c r="AW499">
        <v>27</v>
      </c>
      <c r="AX499">
        <v>11</v>
      </c>
      <c r="AY499">
        <v>33</v>
      </c>
      <c r="AZ499" t="s">
        <v>4109</v>
      </c>
      <c r="BA499">
        <v>59</v>
      </c>
      <c r="BB499" t="s">
        <v>35</v>
      </c>
      <c r="BC499" t="s">
        <v>35</v>
      </c>
      <c r="BD499" s="4">
        <f>HYPERLINK("http://mlb.mlb.com/team/player.jsp?player_id=593523",593523)</f>
        <v>593523</v>
      </c>
      <c r="BE499">
        <v>459</v>
      </c>
      <c r="BF499">
        <v>1459</v>
      </c>
      <c r="BG499">
        <v>60</v>
      </c>
      <c r="BH499">
        <v>58</v>
      </c>
    </row>
    <row r="500" spans="1:60" x14ac:dyDescent="0.3">
      <c r="A500" s="4">
        <f>HYPERLINK("http://legacy.baseballprospectus.com/p/59664",59664)</f>
        <v>59664</v>
      </c>
      <c r="B500" t="s">
        <v>426</v>
      </c>
      <c r="C500" t="s">
        <v>427</v>
      </c>
      <c r="D500" s="10">
        <v>32305</v>
      </c>
      <c r="E500" t="s">
        <v>51</v>
      </c>
      <c r="F500" t="s">
        <v>9</v>
      </c>
      <c r="G500" t="s">
        <v>33</v>
      </c>
      <c r="H500">
        <v>70</v>
      </c>
      <c r="I500">
        <v>180</v>
      </c>
      <c r="J500">
        <v>2018</v>
      </c>
      <c r="K500" s="4" t="str">
        <f>HYPERLINK("http://legacy.baseballprospectus.com/fantasy/dc/index.php?tm=BOS","BOS")</f>
        <v>BOS</v>
      </c>
      <c r="L500" t="s">
        <v>95</v>
      </c>
      <c r="M500" t="s">
        <v>34</v>
      </c>
      <c r="N500">
        <v>30</v>
      </c>
      <c r="O500">
        <v>192</v>
      </c>
      <c r="P500">
        <v>51</v>
      </c>
      <c r="Q500">
        <v>172</v>
      </c>
      <c r="R500">
        <v>19</v>
      </c>
      <c r="S500">
        <v>33</v>
      </c>
      <c r="T500">
        <v>8</v>
      </c>
      <c r="U500">
        <v>1</v>
      </c>
      <c r="V500">
        <v>2</v>
      </c>
      <c r="W500">
        <v>44</v>
      </c>
      <c r="X500">
        <v>60</v>
      </c>
      <c r="Y500">
        <v>16</v>
      </c>
      <c r="Z500">
        <v>16</v>
      </c>
      <c r="AA500">
        <v>1</v>
      </c>
      <c r="AB500">
        <v>1</v>
      </c>
      <c r="AC500">
        <v>36</v>
      </c>
      <c r="AD500">
        <v>1</v>
      </c>
      <c r="AE500">
        <v>1</v>
      </c>
      <c r="AF500">
        <v>4</v>
      </c>
      <c r="AG500">
        <v>3</v>
      </c>
      <c r="AH500">
        <v>1</v>
      </c>
      <c r="AI500" s="5">
        <v>0.25600000000000001</v>
      </c>
      <c r="AJ500" s="5">
        <v>0.32100000000000001</v>
      </c>
      <c r="AK500" s="5">
        <v>0.34899999999999998</v>
      </c>
      <c r="AL500" s="5">
        <v>0.23799999999999999</v>
      </c>
      <c r="AM500" s="5">
        <v>0.31</v>
      </c>
      <c r="AN500">
        <v>0</v>
      </c>
      <c r="AO500">
        <v>0.05</v>
      </c>
      <c r="AP500">
        <v>5.15</v>
      </c>
      <c r="AQ500">
        <v>-4.3499999999999996</v>
      </c>
      <c r="AR500">
        <v>1.4</v>
      </c>
      <c r="AS500" t="s">
        <v>5033</v>
      </c>
      <c r="AT500">
        <v>0.2</v>
      </c>
      <c r="AU500">
        <v>0.9</v>
      </c>
      <c r="AV500">
        <v>1</v>
      </c>
      <c r="AW500">
        <v>38</v>
      </c>
      <c r="AX500">
        <v>9</v>
      </c>
      <c r="AY500">
        <v>18</v>
      </c>
      <c r="AZ500" t="s">
        <v>4195</v>
      </c>
      <c r="BA500">
        <v>88</v>
      </c>
      <c r="BB500" t="s">
        <v>35</v>
      </c>
      <c r="BC500" t="s">
        <v>36</v>
      </c>
      <c r="BD500" s="4">
        <f>HYPERLINK("http://mlb.mlb.com/team/player.jsp?player_id=571788",571788)</f>
        <v>571788</v>
      </c>
      <c r="BE500">
        <v>454</v>
      </c>
      <c r="BF500">
        <v>1454</v>
      </c>
      <c r="BG500">
        <v>164</v>
      </c>
      <c r="BH500">
        <v>140</v>
      </c>
    </row>
    <row r="501" spans="1:60" x14ac:dyDescent="0.3">
      <c r="A501" s="4">
        <f>HYPERLINK("http://legacy.baseballprospectus.com/p/71129",71129)</f>
        <v>71129</v>
      </c>
      <c r="B501" t="s">
        <v>1378</v>
      </c>
      <c r="C501" t="s">
        <v>141</v>
      </c>
      <c r="D501" s="10">
        <v>33914</v>
      </c>
      <c r="E501" t="s">
        <v>58</v>
      </c>
      <c r="F501" t="s">
        <v>33</v>
      </c>
      <c r="G501" t="s">
        <v>33</v>
      </c>
      <c r="H501">
        <v>72</v>
      </c>
      <c r="I501">
        <v>190</v>
      </c>
      <c r="J501">
        <v>2018</v>
      </c>
      <c r="K501" s="4" t="str">
        <f>HYPERLINK("http://legacy.baseballprospectus.com/fantasy/dc/index.php?tm=CIN","CIN")</f>
        <v>CIN</v>
      </c>
      <c r="L501" t="s">
        <v>100</v>
      </c>
      <c r="M501" t="s">
        <v>34</v>
      </c>
      <c r="N501">
        <v>25</v>
      </c>
      <c r="O501">
        <v>134</v>
      </c>
      <c r="P501">
        <v>70</v>
      </c>
      <c r="Q501">
        <v>116</v>
      </c>
      <c r="R501">
        <v>16</v>
      </c>
      <c r="S501">
        <v>16</v>
      </c>
      <c r="T501">
        <v>6</v>
      </c>
      <c r="U501">
        <v>0</v>
      </c>
      <c r="V501">
        <v>4</v>
      </c>
      <c r="W501">
        <v>26</v>
      </c>
      <c r="X501">
        <v>44</v>
      </c>
      <c r="Y501">
        <v>15</v>
      </c>
      <c r="Z501">
        <v>15</v>
      </c>
      <c r="AA501">
        <v>1</v>
      </c>
      <c r="AB501">
        <v>2</v>
      </c>
      <c r="AC501">
        <v>32</v>
      </c>
      <c r="AD501">
        <v>0</v>
      </c>
      <c r="AE501">
        <v>1</v>
      </c>
      <c r="AF501">
        <v>3</v>
      </c>
      <c r="AG501">
        <v>1</v>
      </c>
      <c r="AH501">
        <v>1</v>
      </c>
      <c r="AI501" s="5">
        <v>0.224</v>
      </c>
      <c r="AJ501" s="5">
        <v>0.32100000000000001</v>
      </c>
      <c r="AK501" s="5">
        <v>0.379</v>
      </c>
      <c r="AL501" s="5">
        <v>0.254</v>
      </c>
      <c r="AM501" s="5">
        <v>0.28499999999999998</v>
      </c>
      <c r="AN501">
        <v>-0.3</v>
      </c>
      <c r="AO501">
        <v>-0.14000000000000001</v>
      </c>
      <c r="AP501">
        <v>3.6</v>
      </c>
      <c r="AQ501">
        <v>-0.78</v>
      </c>
      <c r="AR501">
        <v>-0.5</v>
      </c>
      <c r="AS501" t="s">
        <v>1813</v>
      </c>
      <c r="AT501">
        <v>0.2</v>
      </c>
      <c r="AU501">
        <v>2.2999999999999998</v>
      </c>
      <c r="AV501">
        <v>1</v>
      </c>
      <c r="AW501">
        <v>11</v>
      </c>
      <c r="AX501">
        <v>10</v>
      </c>
      <c r="AY501">
        <v>22</v>
      </c>
      <c r="AZ501" t="s">
        <v>4197</v>
      </c>
      <c r="BA501">
        <v>43</v>
      </c>
      <c r="BB501" t="s">
        <v>35</v>
      </c>
      <c r="BC501" t="s">
        <v>35</v>
      </c>
      <c r="BD501" s="4">
        <f>HYPERLINK("http://mlb.mlb.com/team/player.jsp?player_id=607468",607468)</f>
        <v>607468</v>
      </c>
      <c r="BE501">
        <v>1553</v>
      </c>
      <c r="BF501">
        <v>553</v>
      </c>
      <c r="BG501">
        <v>0</v>
      </c>
      <c r="BH501">
        <v>0</v>
      </c>
    </row>
    <row r="502" spans="1:60" x14ac:dyDescent="0.3">
      <c r="A502" s="4">
        <f>HYPERLINK("http://legacy.baseballprospectus.com/p/59654",59654)</f>
        <v>59654</v>
      </c>
      <c r="B502" t="s">
        <v>405</v>
      </c>
      <c r="C502" t="s">
        <v>213</v>
      </c>
      <c r="D502" s="10">
        <v>33125</v>
      </c>
      <c r="E502" t="s">
        <v>65</v>
      </c>
      <c r="F502" t="s">
        <v>37</v>
      </c>
      <c r="G502" t="s">
        <v>33</v>
      </c>
      <c r="H502">
        <v>72</v>
      </c>
      <c r="I502">
        <v>160</v>
      </c>
      <c r="J502">
        <v>2018</v>
      </c>
      <c r="K502" s="4" t="str">
        <f>HYPERLINK("http://legacy.baseballprospectus.com/fantasy/dc/index.php?tm=CIN","CIN")</f>
        <v>CIN</v>
      </c>
      <c r="L502" t="s">
        <v>100</v>
      </c>
      <c r="M502" t="s">
        <v>34</v>
      </c>
      <c r="N502">
        <v>27</v>
      </c>
      <c r="O502">
        <v>639</v>
      </c>
      <c r="P502">
        <v>154</v>
      </c>
      <c r="Q502">
        <v>579</v>
      </c>
      <c r="R502">
        <v>93</v>
      </c>
      <c r="S502">
        <v>106</v>
      </c>
      <c r="T502">
        <v>21</v>
      </c>
      <c r="U502">
        <v>6</v>
      </c>
      <c r="V502">
        <v>8</v>
      </c>
      <c r="W502">
        <v>141</v>
      </c>
      <c r="X502">
        <v>198</v>
      </c>
      <c r="Y502">
        <v>42</v>
      </c>
      <c r="Z502">
        <v>44</v>
      </c>
      <c r="AA502">
        <v>1</v>
      </c>
      <c r="AB502">
        <v>2</v>
      </c>
      <c r="AC502">
        <v>123</v>
      </c>
      <c r="AD502">
        <v>11</v>
      </c>
      <c r="AE502">
        <v>3</v>
      </c>
      <c r="AF502">
        <v>10</v>
      </c>
      <c r="AG502">
        <v>66</v>
      </c>
      <c r="AH502">
        <v>13</v>
      </c>
      <c r="AI502" s="5">
        <v>0.24399999999999999</v>
      </c>
      <c r="AJ502" s="5">
        <v>0.29799999999999999</v>
      </c>
      <c r="AK502" s="5">
        <v>0.34200000000000003</v>
      </c>
      <c r="AL502" s="5">
        <v>0.22</v>
      </c>
      <c r="AM502" s="5">
        <v>0.28999999999999998</v>
      </c>
      <c r="AN502">
        <v>10.5</v>
      </c>
      <c r="AO502">
        <v>0.93</v>
      </c>
      <c r="AP502">
        <v>17.16</v>
      </c>
      <c r="AQ502">
        <v>-27</v>
      </c>
      <c r="AR502">
        <v>0.1</v>
      </c>
      <c r="AS502" t="s">
        <v>1022</v>
      </c>
      <c r="AT502">
        <v>0.2</v>
      </c>
      <c r="AU502">
        <v>1.6</v>
      </c>
      <c r="AV502">
        <v>0</v>
      </c>
      <c r="AW502">
        <v>42</v>
      </c>
      <c r="AX502">
        <v>9</v>
      </c>
      <c r="AY502">
        <v>21</v>
      </c>
      <c r="AZ502" t="s">
        <v>4111</v>
      </c>
      <c r="BA502">
        <v>88</v>
      </c>
      <c r="BB502" t="s">
        <v>35</v>
      </c>
      <c r="BC502" t="s">
        <v>36</v>
      </c>
      <c r="BD502" s="4">
        <f>HYPERLINK("http://mlb.mlb.com/team/player.jsp?player_id=571740",571740)</f>
        <v>571740</v>
      </c>
      <c r="BE502">
        <v>1580</v>
      </c>
      <c r="BF502">
        <v>580</v>
      </c>
      <c r="BG502">
        <v>633</v>
      </c>
      <c r="BH502">
        <v>582</v>
      </c>
    </row>
    <row r="503" spans="1:60" x14ac:dyDescent="0.3">
      <c r="A503" s="4">
        <f>HYPERLINK("http://legacy.baseballprospectus.com/p/70799",70799)</f>
        <v>70799</v>
      </c>
      <c r="B503" t="s">
        <v>284</v>
      </c>
      <c r="C503" t="s">
        <v>307</v>
      </c>
      <c r="D503" s="10">
        <v>34086</v>
      </c>
      <c r="E503" t="s">
        <v>51</v>
      </c>
      <c r="F503" t="s">
        <v>33</v>
      </c>
      <c r="G503" t="s">
        <v>33</v>
      </c>
      <c r="H503">
        <v>75</v>
      </c>
      <c r="I503">
        <v>225</v>
      </c>
      <c r="J503">
        <v>2018</v>
      </c>
      <c r="K503" s="4" t="str">
        <f>HYPERLINK("http://legacy.baseballprospectus.com/fantasy/dc/index.php?tm=HOU","HOU")</f>
        <v>HOU</v>
      </c>
      <c r="L503" t="s">
        <v>95</v>
      </c>
      <c r="M503" t="s">
        <v>34</v>
      </c>
      <c r="N503">
        <v>25</v>
      </c>
      <c r="O503">
        <v>67</v>
      </c>
      <c r="P503">
        <v>21</v>
      </c>
      <c r="Q503">
        <v>61</v>
      </c>
      <c r="R503">
        <v>8</v>
      </c>
      <c r="S503">
        <v>8</v>
      </c>
      <c r="T503">
        <v>3</v>
      </c>
      <c r="U503">
        <v>0</v>
      </c>
      <c r="V503">
        <v>3</v>
      </c>
      <c r="W503">
        <v>14</v>
      </c>
      <c r="X503">
        <v>26</v>
      </c>
      <c r="Y503">
        <v>9</v>
      </c>
      <c r="Z503">
        <v>5</v>
      </c>
      <c r="AA503">
        <v>0</v>
      </c>
      <c r="AB503">
        <v>1</v>
      </c>
      <c r="AC503">
        <v>20</v>
      </c>
      <c r="AD503">
        <v>0</v>
      </c>
      <c r="AE503">
        <v>0</v>
      </c>
      <c r="AF503">
        <v>2</v>
      </c>
      <c r="AG503">
        <v>0</v>
      </c>
      <c r="AH503">
        <v>0</v>
      </c>
      <c r="AI503" s="5">
        <v>0.23</v>
      </c>
      <c r="AJ503" s="5">
        <v>0.29899999999999999</v>
      </c>
      <c r="AK503" s="5">
        <v>0.42599999999999999</v>
      </c>
      <c r="AL503" s="5">
        <v>0.26100000000000001</v>
      </c>
      <c r="AM503" s="5">
        <v>0.3</v>
      </c>
      <c r="AN503">
        <v>-0.1</v>
      </c>
      <c r="AO503">
        <v>0.06</v>
      </c>
      <c r="AP503">
        <v>1.8</v>
      </c>
      <c r="AQ503">
        <v>0.04</v>
      </c>
      <c r="AR503">
        <v>0</v>
      </c>
      <c r="AS503" t="s">
        <v>1327</v>
      </c>
      <c r="AT503">
        <v>0.2</v>
      </c>
      <c r="AU503">
        <v>1.7</v>
      </c>
      <c r="AV503">
        <v>8</v>
      </c>
      <c r="AW503">
        <v>29</v>
      </c>
      <c r="AX503">
        <v>12</v>
      </c>
      <c r="AY503">
        <v>36</v>
      </c>
      <c r="AZ503" t="s">
        <v>4285</v>
      </c>
      <c r="BA503">
        <v>62</v>
      </c>
      <c r="BB503" t="s">
        <v>35</v>
      </c>
      <c r="BC503" t="s">
        <v>35</v>
      </c>
      <c r="BD503" s="4">
        <f>HYPERLINK("http://mlb.mlb.com/team/player.jsp?player_id=605204",605204)</f>
        <v>605204</v>
      </c>
      <c r="BE503">
        <v>483</v>
      </c>
      <c r="BF503">
        <v>1483</v>
      </c>
      <c r="BG503">
        <v>68</v>
      </c>
      <c r="BH503">
        <v>62</v>
      </c>
    </row>
    <row r="504" spans="1:60" x14ac:dyDescent="0.3">
      <c r="A504" s="4">
        <f>HYPERLINK("http://legacy.baseballprospectus.com/p/66006",66006)</f>
        <v>66006</v>
      </c>
      <c r="B504" t="s">
        <v>494</v>
      </c>
      <c r="C504" t="s">
        <v>344</v>
      </c>
      <c r="D504" s="10">
        <v>33327</v>
      </c>
      <c r="E504" t="s">
        <v>65</v>
      </c>
      <c r="F504" t="s">
        <v>33</v>
      </c>
      <c r="G504" t="s">
        <v>33</v>
      </c>
      <c r="H504">
        <v>76</v>
      </c>
      <c r="I504">
        <v>220</v>
      </c>
      <c r="J504">
        <v>2018</v>
      </c>
      <c r="K504" s="4" t="str">
        <f>HYPERLINK("http://legacy.baseballprospectus.com/fantasy/dc/index.php?tm=HOU","HOU")</f>
        <v>HOU</v>
      </c>
      <c r="L504" t="s">
        <v>95</v>
      </c>
      <c r="M504" t="s">
        <v>34</v>
      </c>
      <c r="N504">
        <v>27</v>
      </c>
      <c r="O504">
        <v>251</v>
      </c>
      <c r="P504">
        <v>85</v>
      </c>
      <c r="Q504">
        <v>230</v>
      </c>
      <c r="R504">
        <v>32</v>
      </c>
      <c r="S504">
        <v>35</v>
      </c>
      <c r="T504">
        <v>11</v>
      </c>
      <c r="U504">
        <v>1</v>
      </c>
      <c r="V504">
        <v>7</v>
      </c>
      <c r="W504">
        <v>54</v>
      </c>
      <c r="X504">
        <v>88</v>
      </c>
      <c r="Y504">
        <v>26</v>
      </c>
      <c r="Z504">
        <v>13</v>
      </c>
      <c r="AA504">
        <v>1</v>
      </c>
      <c r="AB504">
        <v>4</v>
      </c>
      <c r="AC504">
        <v>68</v>
      </c>
      <c r="AD504">
        <v>3</v>
      </c>
      <c r="AE504">
        <v>2</v>
      </c>
      <c r="AF504">
        <v>5</v>
      </c>
      <c r="AG504">
        <v>11</v>
      </c>
      <c r="AH504">
        <v>4</v>
      </c>
      <c r="AI504" s="5">
        <v>0.23499999999999999</v>
      </c>
      <c r="AJ504" s="5">
        <v>0.28499999999999998</v>
      </c>
      <c r="AK504" s="5">
        <v>0.38300000000000001</v>
      </c>
      <c r="AL504" s="5">
        <v>0.23300000000000001</v>
      </c>
      <c r="AM504" s="5">
        <v>0.29399999999999998</v>
      </c>
      <c r="AN504">
        <v>0.9</v>
      </c>
      <c r="AO504">
        <v>0.27</v>
      </c>
      <c r="AP504">
        <v>6.74</v>
      </c>
      <c r="AQ504">
        <v>-7.11</v>
      </c>
      <c r="AR504">
        <v>1.2</v>
      </c>
      <c r="AS504" t="s">
        <v>1043</v>
      </c>
      <c r="AT504">
        <v>0.2</v>
      </c>
      <c r="AU504">
        <v>0.8</v>
      </c>
      <c r="AV504">
        <v>7</v>
      </c>
      <c r="AW504">
        <v>44</v>
      </c>
      <c r="AX504">
        <v>5</v>
      </c>
      <c r="AY504">
        <v>17</v>
      </c>
      <c r="AZ504" t="s">
        <v>4114</v>
      </c>
      <c r="BA504">
        <v>90</v>
      </c>
      <c r="BB504" t="s">
        <v>35</v>
      </c>
      <c r="BC504" t="s">
        <v>36</v>
      </c>
      <c r="BD504" s="4">
        <f>HYPERLINK("http://mlb.mlb.com/team/player.jsp?player_id=545350",545350)</f>
        <v>545350</v>
      </c>
      <c r="BE504">
        <v>603</v>
      </c>
      <c r="BF504">
        <v>1603</v>
      </c>
      <c r="BG504">
        <v>259</v>
      </c>
      <c r="BH504">
        <v>230</v>
      </c>
    </row>
    <row r="505" spans="1:60" x14ac:dyDescent="0.3">
      <c r="A505" s="4">
        <f>HYPERLINK("http://legacy.baseballprospectus.com/p/70972",70972)</f>
        <v>70972</v>
      </c>
      <c r="B505" t="s">
        <v>448</v>
      </c>
      <c r="C505" t="s">
        <v>319</v>
      </c>
      <c r="D505" s="10">
        <v>34099</v>
      </c>
      <c r="E505" t="s">
        <v>50</v>
      </c>
      <c r="F505" t="s">
        <v>9</v>
      </c>
      <c r="G505" t="s">
        <v>9</v>
      </c>
      <c r="H505">
        <v>76</v>
      </c>
      <c r="I505">
        <v>275</v>
      </c>
      <c r="J505">
        <v>2018</v>
      </c>
      <c r="K505" s="4" t="str">
        <f>HYPERLINK("http://legacy.baseballprospectus.com/fantasy/dc/index.php?tm=HOU","HOU")</f>
        <v>HOU</v>
      </c>
      <c r="L505" t="s">
        <v>95</v>
      </c>
      <c r="M505" t="s">
        <v>34</v>
      </c>
      <c r="N505">
        <v>25</v>
      </c>
      <c r="O505">
        <v>103</v>
      </c>
      <c r="P505">
        <v>32</v>
      </c>
      <c r="Q505">
        <v>90</v>
      </c>
      <c r="R505">
        <v>13</v>
      </c>
      <c r="S505">
        <v>12</v>
      </c>
      <c r="T505">
        <v>4</v>
      </c>
      <c r="U505">
        <v>0</v>
      </c>
      <c r="V505">
        <v>5</v>
      </c>
      <c r="W505">
        <v>21</v>
      </c>
      <c r="X505">
        <v>40</v>
      </c>
      <c r="Y505">
        <v>15</v>
      </c>
      <c r="Z505">
        <v>12</v>
      </c>
      <c r="AA505">
        <v>1</v>
      </c>
      <c r="AB505">
        <v>1</v>
      </c>
      <c r="AC505">
        <v>29</v>
      </c>
      <c r="AD505">
        <v>0</v>
      </c>
      <c r="AE505">
        <v>1</v>
      </c>
      <c r="AF505">
        <v>3</v>
      </c>
      <c r="AG505">
        <v>0</v>
      </c>
      <c r="AH505">
        <v>0</v>
      </c>
      <c r="AI505" s="5">
        <v>0.23300000000000001</v>
      </c>
      <c r="AJ505" s="5">
        <v>0.32700000000000001</v>
      </c>
      <c r="AK505" s="5">
        <v>0.44400000000000001</v>
      </c>
      <c r="AL505" s="5">
        <v>0.27300000000000002</v>
      </c>
      <c r="AM505" s="5">
        <v>0.29299999999999998</v>
      </c>
      <c r="AN505">
        <v>-0.2</v>
      </c>
      <c r="AO505">
        <v>-1.18</v>
      </c>
      <c r="AP505">
        <v>2.77</v>
      </c>
      <c r="AQ505">
        <v>1.41</v>
      </c>
      <c r="AR505">
        <v>-0.5</v>
      </c>
      <c r="AS505" t="s">
        <v>64</v>
      </c>
      <c r="AT505">
        <v>0.2</v>
      </c>
      <c r="AU505">
        <v>2.8</v>
      </c>
      <c r="AV505">
        <v>5</v>
      </c>
      <c r="AW505">
        <v>37</v>
      </c>
      <c r="AX505">
        <v>4</v>
      </c>
      <c r="AY505">
        <v>19</v>
      </c>
      <c r="AZ505" t="s">
        <v>4201</v>
      </c>
      <c r="BA505">
        <v>67</v>
      </c>
      <c r="BB505" t="s">
        <v>35</v>
      </c>
      <c r="BC505" t="s">
        <v>35</v>
      </c>
      <c r="BD505" s="4">
        <f>HYPERLINK("http://mlb.mlb.com/team/player.jsp?player_id=607223",607223)</f>
        <v>607223</v>
      </c>
      <c r="BE505">
        <v>424</v>
      </c>
      <c r="BF505">
        <v>1424</v>
      </c>
      <c r="BG505">
        <v>6</v>
      </c>
      <c r="BH505">
        <v>6</v>
      </c>
    </row>
    <row r="506" spans="1:60" x14ac:dyDescent="0.3">
      <c r="A506" s="4">
        <f>HYPERLINK("http://legacy.baseballprospectus.com/p/57335",57335)</f>
        <v>57335</v>
      </c>
      <c r="B506" t="s">
        <v>568</v>
      </c>
      <c r="C506" t="s">
        <v>569</v>
      </c>
      <c r="D506" s="10">
        <v>33003</v>
      </c>
      <c r="E506" t="s">
        <v>54</v>
      </c>
      <c r="F506" t="s">
        <v>33</v>
      </c>
      <c r="G506" t="s">
        <v>33</v>
      </c>
      <c r="H506">
        <v>75</v>
      </c>
      <c r="I506">
        <v>240</v>
      </c>
      <c r="J506">
        <v>2018</v>
      </c>
      <c r="K506" s="4" t="str">
        <f>HYPERLINK("http://legacy.baseballprospectus.com/fantasy/dc/index.php?tm=KCA","KCA")</f>
        <v>KCA</v>
      </c>
      <c r="L506" t="s">
        <v>95</v>
      </c>
      <c r="M506" t="s">
        <v>34</v>
      </c>
      <c r="N506">
        <v>28</v>
      </c>
      <c r="O506">
        <v>590</v>
      </c>
      <c r="P506">
        <v>152</v>
      </c>
      <c r="Q506">
        <v>558</v>
      </c>
      <c r="R506">
        <v>65</v>
      </c>
      <c r="S506">
        <v>96</v>
      </c>
      <c r="T506">
        <v>28</v>
      </c>
      <c r="U506">
        <v>2</v>
      </c>
      <c r="V506">
        <v>21</v>
      </c>
      <c r="W506">
        <v>147</v>
      </c>
      <c r="X506">
        <v>242</v>
      </c>
      <c r="Y506">
        <v>78</v>
      </c>
      <c r="Z506">
        <v>23</v>
      </c>
      <c r="AA506">
        <v>3</v>
      </c>
      <c r="AB506">
        <v>5</v>
      </c>
      <c r="AC506">
        <v>97</v>
      </c>
      <c r="AD506">
        <v>0</v>
      </c>
      <c r="AE506">
        <v>3</v>
      </c>
      <c r="AF506">
        <v>19</v>
      </c>
      <c r="AG506">
        <v>1</v>
      </c>
      <c r="AH506">
        <v>0</v>
      </c>
      <c r="AI506" s="5">
        <v>0.26300000000000001</v>
      </c>
      <c r="AJ506" s="5">
        <v>0.29699999999999999</v>
      </c>
      <c r="AK506" s="5">
        <v>0.434</v>
      </c>
      <c r="AL506" s="5">
        <v>0.253</v>
      </c>
      <c r="AM506" s="5">
        <v>0.28399999999999997</v>
      </c>
      <c r="AN506">
        <v>-1</v>
      </c>
      <c r="AO506">
        <v>3.26</v>
      </c>
      <c r="AP506">
        <v>15.84</v>
      </c>
      <c r="AQ506">
        <v>-4.2300000000000004</v>
      </c>
      <c r="AR506">
        <v>-12.3</v>
      </c>
      <c r="AS506" t="s">
        <v>1856</v>
      </c>
      <c r="AT506">
        <v>0.2</v>
      </c>
      <c r="AU506">
        <v>13.9</v>
      </c>
      <c r="AV506">
        <v>2</v>
      </c>
      <c r="AW506">
        <v>43</v>
      </c>
      <c r="AX506">
        <v>9</v>
      </c>
      <c r="AY506">
        <v>14</v>
      </c>
      <c r="AZ506" t="s">
        <v>4115</v>
      </c>
      <c r="BA506">
        <v>100</v>
      </c>
      <c r="BB506" t="s">
        <v>35</v>
      </c>
      <c r="BC506" t="s">
        <v>36</v>
      </c>
      <c r="BD506" s="4">
        <f>HYPERLINK("http://mlb.mlb.com/team/player.jsp?player_id=521692",521692)</f>
        <v>521692</v>
      </c>
      <c r="BE506">
        <v>351</v>
      </c>
      <c r="BF506">
        <v>1351</v>
      </c>
      <c r="BG506">
        <v>499</v>
      </c>
      <c r="BH506">
        <v>471</v>
      </c>
    </row>
    <row r="507" spans="1:60" x14ac:dyDescent="0.3">
      <c r="A507" s="4">
        <f>HYPERLINK("http://legacy.baseballprospectus.com/p/66691",66691)</f>
        <v>66691</v>
      </c>
      <c r="B507" t="s">
        <v>1858</v>
      </c>
      <c r="C507" t="s">
        <v>446</v>
      </c>
      <c r="D507" s="10">
        <v>32457</v>
      </c>
      <c r="E507" t="s">
        <v>50</v>
      </c>
      <c r="F507" t="s">
        <v>33</v>
      </c>
      <c r="G507" t="s">
        <v>33</v>
      </c>
      <c r="H507">
        <v>74</v>
      </c>
      <c r="I507">
        <v>220</v>
      </c>
      <c r="J507">
        <v>2018</v>
      </c>
      <c r="K507" s="4" t="str">
        <f>HYPERLINK("http://legacy.baseballprospectus.com/fantasy/dc/index.php?tm=LAN","LAN")</f>
        <v>LAN</v>
      </c>
      <c r="L507" t="s">
        <v>100</v>
      </c>
      <c r="M507" t="s">
        <v>34</v>
      </c>
      <c r="N507">
        <v>29</v>
      </c>
      <c r="O507">
        <v>98</v>
      </c>
      <c r="P507">
        <v>30</v>
      </c>
      <c r="Q507">
        <v>89</v>
      </c>
      <c r="R507">
        <v>12</v>
      </c>
      <c r="S507">
        <v>14</v>
      </c>
      <c r="T507">
        <v>4</v>
      </c>
      <c r="U507">
        <v>1</v>
      </c>
      <c r="V507">
        <v>4</v>
      </c>
      <c r="W507">
        <v>23</v>
      </c>
      <c r="X507">
        <v>41</v>
      </c>
      <c r="Y507">
        <v>13</v>
      </c>
      <c r="Z507">
        <v>7</v>
      </c>
      <c r="AA507">
        <v>0</v>
      </c>
      <c r="AB507">
        <v>1</v>
      </c>
      <c r="AC507">
        <v>23</v>
      </c>
      <c r="AD507">
        <v>0</v>
      </c>
      <c r="AE507">
        <v>1</v>
      </c>
      <c r="AF507">
        <v>3</v>
      </c>
      <c r="AG507">
        <v>0</v>
      </c>
      <c r="AH507">
        <v>0</v>
      </c>
      <c r="AI507" s="5">
        <v>0.25800000000000001</v>
      </c>
      <c r="AJ507" s="5">
        <v>0.316</v>
      </c>
      <c r="AK507" s="5">
        <v>0.46100000000000002</v>
      </c>
      <c r="AL507" s="5">
        <v>0.27300000000000002</v>
      </c>
      <c r="AM507" s="5">
        <v>0.30099999999999999</v>
      </c>
      <c r="AN507">
        <v>-0.1</v>
      </c>
      <c r="AO507">
        <v>-0.69</v>
      </c>
      <c r="AP507">
        <v>2.63</v>
      </c>
      <c r="AQ507">
        <v>1.37</v>
      </c>
      <c r="AR507">
        <v>-0.8</v>
      </c>
      <c r="AS507" t="s">
        <v>4562</v>
      </c>
      <c r="AT507">
        <v>0.2</v>
      </c>
      <c r="AU507">
        <v>3.2</v>
      </c>
      <c r="AV507">
        <v>3</v>
      </c>
      <c r="AW507">
        <v>12</v>
      </c>
      <c r="AX507">
        <v>10</v>
      </c>
      <c r="AY507">
        <v>19</v>
      </c>
      <c r="AZ507" t="s">
        <v>4116</v>
      </c>
      <c r="BA507">
        <v>38</v>
      </c>
      <c r="BB507" t="s">
        <v>35</v>
      </c>
      <c r="BC507" t="s">
        <v>35</v>
      </c>
      <c r="BD507" s="4">
        <f>HYPERLINK("http://mlb.mlb.com/team/player.jsp?player_id=574847",574847)</f>
        <v>574847</v>
      </c>
      <c r="BE507">
        <v>1508</v>
      </c>
      <c r="BF507">
        <v>508</v>
      </c>
      <c r="BG507">
        <v>20</v>
      </c>
      <c r="BH507">
        <v>20</v>
      </c>
    </row>
    <row r="508" spans="1:60" x14ac:dyDescent="0.3">
      <c r="A508" s="4">
        <f>HYPERLINK("http://legacy.baseballprospectus.com/p/59871",59871)</f>
        <v>59871</v>
      </c>
      <c r="B508" t="s">
        <v>1081</v>
      </c>
      <c r="C508" t="s">
        <v>337</v>
      </c>
      <c r="D508" s="10">
        <v>33054</v>
      </c>
      <c r="E508" t="s">
        <v>50</v>
      </c>
      <c r="F508" t="s">
        <v>33</v>
      </c>
      <c r="G508" t="s">
        <v>33</v>
      </c>
      <c r="H508">
        <v>75</v>
      </c>
      <c r="I508">
        <v>250</v>
      </c>
      <c r="J508">
        <v>2018</v>
      </c>
      <c r="K508" s="4" t="str">
        <f>HYPERLINK("http://legacy.baseballprospectus.com/fantasy/dc/index.php?tm=MIL","MIL")</f>
        <v>MIL</v>
      </c>
      <c r="L508" t="s">
        <v>100</v>
      </c>
      <c r="M508" t="s">
        <v>34</v>
      </c>
      <c r="N508">
        <v>28</v>
      </c>
      <c r="O508">
        <v>225</v>
      </c>
      <c r="P508">
        <v>109</v>
      </c>
      <c r="Q508">
        <v>202</v>
      </c>
      <c r="R508">
        <v>27</v>
      </c>
      <c r="S508">
        <v>29</v>
      </c>
      <c r="T508">
        <v>10</v>
      </c>
      <c r="U508">
        <v>0</v>
      </c>
      <c r="V508">
        <v>10</v>
      </c>
      <c r="W508">
        <v>49</v>
      </c>
      <c r="X508">
        <v>89</v>
      </c>
      <c r="Y508">
        <v>31</v>
      </c>
      <c r="Z508">
        <v>19</v>
      </c>
      <c r="AA508">
        <v>2</v>
      </c>
      <c r="AB508">
        <v>2</v>
      </c>
      <c r="AC508">
        <v>57</v>
      </c>
      <c r="AD508">
        <v>0</v>
      </c>
      <c r="AE508">
        <v>1</v>
      </c>
      <c r="AF508">
        <v>7</v>
      </c>
      <c r="AG508">
        <v>0</v>
      </c>
      <c r="AH508">
        <v>0</v>
      </c>
      <c r="AI508" s="5">
        <v>0.24299999999999999</v>
      </c>
      <c r="AJ508" s="5">
        <v>0.312</v>
      </c>
      <c r="AK508" s="5">
        <v>0.441</v>
      </c>
      <c r="AL508" s="5">
        <v>0.26</v>
      </c>
      <c r="AM508" s="5">
        <v>0.28899999999999998</v>
      </c>
      <c r="AN508">
        <v>-0.5</v>
      </c>
      <c r="AO508">
        <v>-2.85</v>
      </c>
      <c r="AP508">
        <v>6.04</v>
      </c>
      <c r="AQ508">
        <v>-0.02</v>
      </c>
      <c r="AR508">
        <v>-0.8</v>
      </c>
      <c r="AS508" t="s">
        <v>64</v>
      </c>
      <c r="AT508">
        <v>0.2</v>
      </c>
      <c r="AU508">
        <v>2.7</v>
      </c>
      <c r="AV508">
        <v>7</v>
      </c>
      <c r="AW508">
        <v>21</v>
      </c>
      <c r="AX508">
        <v>10</v>
      </c>
      <c r="AY508">
        <v>27</v>
      </c>
      <c r="AZ508" t="s">
        <v>4117</v>
      </c>
      <c r="BA508">
        <v>48</v>
      </c>
      <c r="BB508" t="s">
        <v>35</v>
      </c>
      <c r="BC508" t="s">
        <v>36</v>
      </c>
      <c r="BD508" s="4">
        <f>HYPERLINK("http://mlb.mlb.com/team/player.jsp?player_id=542583",542583)</f>
        <v>542583</v>
      </c>
      <c r="BE508">
        <v>1435</v>
      </c>
      <c r="BF508">
        <v>435</v>
      </c>
      <c r="BG508">
        <v>311</v>
      </c>
      <c r="BH508">
        <v>279</v>
      </c>
    </row>
    <row r="509" spans="1:60" x14ac:dyDescent="0.3">
      <c r="A509" s="4">
        <f>HYPERLINK("http://legacy.baseballprospectus.com/p/56945",56945)</f>
        <v>56945</v>
      </c>
      <c r="B509" t="s">
        <v>682</v>
      </c>
      <c r="C509" t="s">
        <v>308</v>
      </c>
      <c r="D509" s="10">
        <v>30987</v>
      </c>
      <c r="E509" t="s">
        <v>54</v>
      </c>
      <c r="F509" t="s">
        <v>9</v>
      </c>
      <c r="G509" t="s">
        <v>33</v>
      </c>
      <c r="H509">
        <v>72</v>
      </c>
      <c r="I509">
        <v>225</v>
      </c>
      <c r="J509">
        <v>2018</v>
      </c>
      <c r="K509" s="4" t="str">
        <f>HYPERLINK("http://legacy.baseballprospectus.com/fantasy/dc/index.php?tm=MIL","MIL")</f>
        <v>MIL</v>
      </c>
      <c r="L509" t="s">
        <v>100</v>
      </c>
      <c r="M509" t="s">
        <v>34</v>
      </c>
      <c r="N509">
        <v>33</v>
      </c>
      <c r="O509">
        <v>208</v>
      </c>
      <c r="P509">
        <v>65</v>
      </c>
      <c r="Q509">
        <v>189</v>
      </c>
      <c r="R509">
        <v>24</v>
      </c>
      <c r="S509">
        <v>31</v>
      </c>
      <c r="T509">
        <v>10</v>
      </c>
      <c r="U509">
        <v>1</v>
      </c>
      <c r="V509">
        <v>7</v>
      </c>
      <c r="W509">
        <v>49</v>
      </c>
      <c r="X509">
        <v>82</v>
      </c>
      <c r="Y509">
        <v>26</v>
      </c>
      <c r="Z509">
        <v>16</v>
      </c>
      <c r="AA509">
        <v>1</v>
      </c>
      <c r="AB509">
        <v>1</v>
      </c>
      <c r="AC509">
        <v>37</v>
      </c>
      <c r="AD509">
        <v>0</v>
      </c>
      <c r="AE509">
        <v>1</v>
      </c>
      <c r="AF509">
        <v>4</v>
      </c>
      <c r="AG509">
        <v>0</v>
      </c>
      <c r="AH509">
        <v>0</v>
      </c>
      <c r="AI509" s="5">
        <v>0.25900000000000001</v>
      </c>
      <c r="AJ509" s="5">
        <v>0.31900000000000001</v>
      </c>
      <c r="AK509" s="5">
        <v>0.434</v>
      </c>
      <c r="AL509" s="5">
        <v>0.25700000000000001</v>
      </c>
      <c r="AM509" s="5">
        <v>0.28499999999999998</v>
      </c>
      <c r="AN509">
        <v>-0.4</v>
      </c>
      <c r="AO509">
        <v>1.25</v>
      </c>
      <c r="AP509">
        <v>5.58</v>
      </c>
      <c r="AQ509">
        <v>-0.74</v>
      </c>
      <c r="AR509">
        <v>-4</v>
      </c>
      <c r="AS509" t="s">
        <v>1686</v>
      </c>
      <c r="AT509">
        <v>0.2</v>
      </c>
      <c r="AU509">
        <v>5.7</v>
      </c>
      <c r="AV509">
        <v>1</v>
      </c>
      <c r="AW509">
        <v>40</v>
      </c>
      <c r="AX509">
        <v>6</v>
      </c>
      <c r="AY509">
        <v>17</v>
      </c>
      <c r="AZ509" t="s">
        <v>3951</v>
      </c>
      <c r="BA509">
        <v>87</v>
      </c>
      <c r="BB509" t="s">
        <v>35</v>
      </c>
      <c r="BC509" t="s">
        <v>36</v>
      </c>
      <c r="BD509" s="4">
        <f>HYPERLINK("http://mlb.mlb.com/team/player.jsp?player_id=519390",519390)</f>
        <v>519390</v>
      </c>
      <c r="BE509">
        <v>1384</v>
      </c>
      <c r="BF509">
        <v>384</v>
      </c>
      <c r="BG509">
        <v>303</v>
      </c>
      <c r="BH509">
        <v>279</v>
      </c>
    </row>
    <row r="510" spans="1:60" x14ac:dyDescent="0.3">
      <c r="A510" s="4">
        <f>HYPERLINK("http://legacy.baseballprospectus.com/p/66982",66982)</f>
        <v>66982</v>
      </c>
      <c r="B510" t="s">
        <v>309</v>
      </c>
      <c r="C510" t="s">
        <v>113</v>
      </c>
      <c r="D510" s="10">
        <v>33837</v>
      </c>
      <c r="E510" t="s">
        <v>51</v>
      </c>
      <c r="F510" t="s">
        <v>33</v>
      </c>
      <c r="G510" t="s">
        <v>33</v>
      </c>
      <c r="H510">
        <v>74</v>
      </c>
      <c r="I510">
        <v>210</v>
      </c>
      <c r="J510">
        <v>2018</v>
      </c>
      <c r="K510" s="4" t="str">
        <f>HYPERLINK("http://legacy.baseballprospectus.com/fantasy/dc/index.php?tm=NYA","NYA")</f>
        <v>NYA</v>
      </c>
      <c r="L510" t="s">
        <v>95</v>
      </c>
      <c r="M510" t="s">
        <v>34</v>
      </c>
      <c r="N510">
        <v>25</v>
      </c>
      <c r="O510">
        <v>435</v>
      </c>
      <c r="P510">
        <v>115</v>
      </c>
      <c r="Q510">
        <v>405</v>
      </c>
      <c r="R510">
        <v>47</v>
      </c>
      <c r="S510">
        <v>67</v>
      </c>
      <c r="T510">
        <v>23</v>
      </c>
      <c r="U510">
        <v>1</v>
      </c>
      <c r="V510">
        <v>13</v>
      </c>
      <c r="W510">
        <v>104</v>
      </c>
      <c r="X510">
        <v>168</v>
      </c>
      <c r="Y510">
        <v>50</v>
      </c>
      <c r="Z510">
        <v>24</v>
      </c>
      <c r="AA510">
        <v>1</v>
      </c>
      <c r="AB510">
        <v>3</v>
      </c>
      <c r="AC510">
        <v>86</v>
      </c>
      <c r="AD510">
        <v>0</v>
      </c>
      <c r="AE510">
        <v>2</v>
      </c>
      <c r="AF510">
        <v>11</v>
      </c>
      <c r="AG510">
        <v>1</v>
      </c>
      <c r="AH510">
        <v>1</v>
      </c>
      <c r="AI510" s="5">
        <v>0.25700000000000001</v>
      </c>
      <c r="AJ510" s="5">
        <v>0.30199999999999999</v>
      </c>
      <c r="AK510" s="5">
        <v>0.41499999999999998</v>
      </c>
      <c r="AL510" s="5">
        <v>0.249</v>
      </c>
      <c r="AM510" s="5">
        <v>0.29399999999999998</v>
      </c>
      <c r="AN510">
        <v>-1.1000000000000001</v>
      </c>
      <c r="AO510">
        <v>0.67</v>
      </c>
      <c r="AP510">
        <v>11.68</v>
      </c>
      <c r="AQ510">
        <v>-4.96</v>
      </c>
      <c r="AR510">
        <v>-4.5999999999999996</v>
      </c>
      <c r="AS510" t="s">
        <v>5005</v>
      </c>
      <c r="AT510">
        <v>0.2</v>
      </c>
      <c r="AU510">
        <v>6.3</v>
      </c>
      <c r="AV510">
        <v>1</v>
      </c>
      <c r="AW510">
        <v>53</v>
      </c>
      <c r="AX510">
        <v>10</v>
      </c>
      <c r="AY510">
        <v>16</v>
      </c>
      <c r="AZ510" t="s">
        <v>3939</v>
      </c>
      <c r="BA510">
        <v>98</v>
      </c>
      <c r="BB510" t="s">
        <v>35</v>
      </c>
      <c r="BC510" t="s">
        <v>36</v>
      </c>
      <c r="BD510" s="4">
        <f>HYPERLINK("http://mlb.mlb.com/team/player.jsp?player_id=592273",592273)</f>
        <v>592273</v>
      </c>
      <c r="BE510">
        <v>1454</v>
      </c>
      <c r="BF510">
        <v>454</v>
      </c>
      <c r="BG510">
        <v>480</v>
      </c>
      <c r="BH510">
        <v>445</v>
      </c>
    </row>
    <row r="511" spans="1:60" x14ac:dyDescent="0.3">
      <c r="A511" s="4">
        <f>HYPERLINK("http://legacy.baseballprospectus.com/p/57969",57969)</f>
        <v>57969</v>
      </c>
      <c r="B511" t="s">
        <v>1914</v>
      </c>
      <c r="C511" t="s">
        <v>182</v>
      </c>
      <c r="D511" s="10">
        <v>32983</v>
      </c>
      <c r="E511" t="s">
        <v>54</v>
      </c>
      <c r="F511" t="s">
        <v>33</v>
      </c>
      <c r="G511" t="s">
        <v>33</v>
      </c>
      <c r="H511">
        <v>73</v>
      </c>
      <c r="I511">
        <v>200</v>
      </c>
      <c r="J511">
        <v>2018</v>
      </c>
      <c r="K511" s="4" t="str">
        <f>HYPERLINK("http://legacy.baseballprospectus.com/fantasy/dc/index.php?tm=NYA","NYA")</f>
        <v>NYA</v>
      </c>
      <c r="L511" t="s">
        <v>95</v>
      </c>
      <c r="M511" t="s">
        <v>34</v>
      </c>
      <c r="N511">
        <v>28</v>
      </c>
      <c r="O511">
        <v>60</v>
      </c>
      <c r="P511">
        <v>18</v>
      </c>
      <c r="Q511">
        <v>55</v>
      </c>
      <c r="R511">
        <v>7</v>
      </c>
      <c r="S511">
        <v>8</v>
      </c>
      <c r="T511">
        <v>3</v>
      </c>
      <c r="U511">
        <v>0</v>
      </c>
      <c r="V511">
        <v>3</v>
      </c>
      <c r="W511">
        <v>14</v>
      </c>
      <c r="X511">
        <v>26</v>
      </c>
      <c r="Y511">
        <v>9</v>
      </c>
      <c r="Z511">
        <v>4</v>
      </c>
      <c r="AA511">
        <v>0</v>
      </c>
      <c r="AB511">
        <v>0</v>
      </c>
      <c r="AC511">
        <v>13</v>
      </c>
      <c r="AD511">
        <v>0</v>
      </c>
      <c r="AE511">
        <v>0</v>
      </c>
      <c r="AF511">
        <v>1</v>
      </c>
      <c r="AG511">
        <v>0</v>
      </c>
      <c r="AH511">
        <v>0</v>
      </c>
      <c r="AI511" s="5">
        <v>0.255</v>
      </c>
      <c r="AJ511" s="5">
        <v>0.30499999999999999</v>
      </c>
      <c r="AK511" s="5">
        <v>0.47299999999999998</v>
      </c>
      <c r="AL511" s="5">
        <v>0.251</v>
      </c>
      <c r="AM511" s="5">
        <v>0.26300000000000001</v>
      </c>
      <c r="AN511">
        <v>-0.1</v>
      </c>
      <c r="AO511">
        <v>0.46</v>
      </c>
      <c r="AP511">
        <v>1.61</v>
      </c>
      <c r="AQ511">
        <v>-0.55000000000000004</v>
      </c>
      <c r="AR511">
        <v>0.8</v>
      </c>
      <c r="AS511" t="s">
        <v>62</v>
      </c>
      <c r="AT511">
        <v>0.2</v>
      </c>
      <c r="AU511">
        <v>1.4</v>
      </c>
      <c r="AV511">
        <v>2</v>
      </c>
      <c r="AW511">
        <v>9</v>
      </c>
      <c r="AX511">
        <v>12</v>
      </c>
      <c r="AY511">
        <v>23</v>
      </c>
      <c r="AZ511" t="s">
        <v>4209</v>
      </c>
      <c r="BA511">
        <v>38</v>
      </c>
      <c r="BB511" t="s">
        <v>35</v>
      </c>
      <c r="BC511" t="s">
        <v>35</v>
      </c>
      <c r="BD511" s="4">
        <f>HYPERLINK("http://mlb.mlb.com/team/player.jsp?player_id=543309",543309)</f>
        <v>543309</v>
      </c>
      <c r="BE511">
        <v>386</v>
      </c>
      <c r="BF511">
        <v>1386</v>
      </c>
      <c r="BG511">
        <v>20</v>
      </c>
      <c r="BH511">
        <v>18</v>
      </c>
    </row>
    <row r="512" spans="1:60" x14ac:dyDescent="0.3">
      <c r="A512" s="4">
        <f>HYPERLINK("http://legacy.baseballprospectus.com/p/57850",57850)</f>
        <v>57850</v>
      </c>
      <c r="B512" t="s">
        <v>335</v>
      </c>
      <c r="C512" t="s">
        <v>336</v>
      </c>
      <c r="D512" s="10">
        <v>33456</v>
      </c>
      <c r="E512" t="s">
        <v>51</v>
      </c>
      <c r="F512" t="s">
        <v>33</v>
      </c>
      <c r="G512" t="s">
        <v>33</v>
      </c>
      <c r="H512">
        <v>75</v>
      </c>
      <c r="I512">
        <v>205</v>
      </c>
      <c r="J512">
        <v>2018</v>
      </c>
      <c r="K512" s="4" t="str">
        <f>HYPERLINK("http://legacy.baseballprospectus.com/fantasy/dc/index.php?tm=NYN","NYN")</f>
        <v>NYN</v>
      </c>
      <c r="L512" t="s">
        <v>100</v>
      </c>
      <c r="M512" t="s">
        <v>34</v>
      </c>
      <c r="N512">
        <v>26</v>
      </c>
      <c r="O512">
        <v>175</v>
      </c>
      <c r="P512">
        <v>77</v>
      </c>
      <c r="Q512">
        <v>164</v>
      </c>
      <c r="R512">
        <v>20</v>
      </c>
      <c r="S512">
        <v>28</v>
      </c>
      <c r="T512">
        <v>8</v>
      </c>
      <c r="U512">
        <v>0</v>
      </c>
      <c r="V512">
        <v>7</v>
      </c>
      <c r="W512">
        <v>43</v>
      </c>
      <c r="X512">
        <v>72</v>
      </c>
      <c r="Y512">
        <v>24</v>
      </c>
      <c r="Z512">
        <v>8</v>
      </c>
      <c r="AA512">
        <v>1</v>
      </c>
      <c r="AB512">
        <v>1</v>
      </c>
      <c r="AC512">
        <v>25</v>
      </c>
      <c r="AD512">
        <v>0</v>
      </c>
      <c r="AE512">
        <v>1</v>
      </c>
      <c r="AF512">
        <v>5</v>
      </c>
      <c r="AG512">
        <v>0</v>
      </c>
      <c r="AH512">
        <v>0</v>
      </c>
      <c r="AI512" s="5">
        <v>0.26200000000000001</v>
      </c>
      <c r="AJ512" s="5">
        <v>0.29899999999999999</v>
      </c>
      <c r="AK512" s="5">
        <v>0.439</v>
      </c>
      <c r="AL512" s="5">
        <v>0.26100000000000001</v>
      </c>
      <c r="AM512" s="5">
        <v>0.27600000000000002</v>
      </c>
      <c r="AN512">
        <v>-0.4</v>
      </c>
      <c r="AO512">
        <v>-1.37</v>
      </c>
      <c r="AP512">
        <v>4.7</v>
      </c>
      <c r="AQ512">
        <v>0.14000000000000001</v>
      </c>
      <c r="AR512">
        <v>-1.2</v>
      </c>
      <c r="AS512" t="s">
        <v>1691</v>
      </c>
      <c r="AT512">
        <v>0.2</v>
      </c>
      <c r="AU512">
        <v>3</v>
      </c>
      <c r="AV512">
        <v>2</v>
      </c>
      <c r="AW512">
        <v>41</v>
      </c>
      <c r="AX512">
        <v>5</v>
      </c>
      <c r="AY512">
        <v>16</v>
      </c>
      <c r="AZ512" t="s">
        <v>3675</v>
      </c>
      <c r="BA512">
        <v>91</v>
      </c>
      <c r="BB512" t="s">
        <v>35</v>
      </c>
      <c r="BC512" t="s">
        <v>36</v>
      </c>
      <c r="BD512" s="4">
        <f>HYPERLINK("http://mlb.mlb.com/team/player.jsp?player_id=527038",527038)</f>
        <v>527038</v>
      </c>
      <c r="BE512">
        <v>1499</v>
      </c>
      <c r="BF512">
        <v>499</v>
      </c>
      <c r="BG512">
        <v>362</v>
      </c>
      <c r="BH512">
        <v>336</v>
      </c>
    </row>
    <row r="513" spans="1:60" x14ac:dyDescent="0.3">
      <c r="A513" s="4">
        <f>HYPERLINK("http://legacy.baseballprospectus.com/p/31511",31511)</f>
        <v>31511</v>
      </c>
      <c r="B513" t="s">
        <v>598</v>
      </c>
      <c r="C513" t="s">
        <v>119</v>
      </c>
      <c r="D513" s="10">
        <v>30478</v>
      </c>
      <c r="E513" t="s">
        <v>58</v>
      </c>
      <c r="F513" t="s">
        <v>37</v>
      </c>
      <c r="G513" t="s">
        <v>33</v>
      </c>
      <c r="H513">
        <v>72</v>
      </c>
      <c r="I513">
        <v>195</v>
      </c>
      <c r="J513">
        <v>2018</v>
      </c>
      <c r="K513" s="4" t="str">
        <f>HYPERLINK("http://legacy.baseballprospectus.com/fantasy/dc/index.php?tm=NYN","NYN")</f>
        <v>NYN</v>
      </c>
      <c r="L513" t="s">
        <v>100</v>
      </c>
      <c r="M513" t="s">
        <v>34</v>
      </c>
      <c r="N513">
        <v>35</v>
      </c>
      <c r="O513">
        <v>303</v>
      </c>
      <c r="P513">
        <v>102</v>
      </c>
      <c r="Q513">
        <v>277</v>
      </c>
      <c r="R513">
        <v>36</v>
      </c>
      <c r="S513">
        <v>53</v>
      </c>
      <c r="T513">
        <v>12</v>
      </c>
      <c r="U513">
        <v>2</v>
      </c>
      <c r="V513">
        <v>5</v>
      </c>
      <c r="W513">
        <v>72</v>
      </c>
      <c r="X513">
        <v>103</v>
      </c>
      <c r="Y513">
        <v>28</v>
      </c>
      <c r="Z513">
        <v>21</v>
      </c>
      <c r="AA513">
        <v>0</v>
      </c>
      <c r="AB513">
        <v>1</v>
      </c>
      <c r="AC513">
        <v>41</v>
      </c>
      <c r="AD513">
        <v>3</v>
      </c>
      <c r="AE513">
        <v>2</v>
      </c>
      <c r="AF513">
        <v>5</v>
      </c>
      <c r="AG513">
        <v>13</v>
      </c>
      <c r="AH513">
        <v>3</v>
      </c>
      <c r="AI513" s="5">
        <v>0.26</v>
      </c>
      <c r="AJ513" s="5">
        <v>0.312</v>
      </c>
      <c r="AK513" s="5">
        <v>0.372</v>
      </c>
      <c r="AL513" s="5">
        <v>0.24299999999999999</v>
      </c>
      <c r="AM513" s="5">
        <v>0.28299999999999997</v>
      </c>
      <c r="AN513">
        <v>1.5</v>
      </c>
      <c r="AO513">
        <v>0.37</v>
      </c>
      <c r="AP513">
        <v>8.1300000000000008</v>
      </c>
      <c r="AQ513">
        <v>-5.32</v>
      </c>
      <c r="AR513">
        <v>-2.5</v>
      </c>
      <c r="AS513" t="s">
        <v>1928</v>
      </c>
      <c r="AT513">
        <v>0.2</v>
      </c>
      <c r="AU513">
        <v>4.7</v>
      </c>
      <c r="AV513">
        <v>1</v>
      </c>
      <c r="AW513">
        <v>34</v>
      </c>
      <c r="AX513">
        <v>7</v>
      </c>
      <c r="AY513">
        <v>19</v>
      </c>
      <c r="AZ513" t="s">
        <v>4210</v>
      </c>
      <c r="BA513">
        <v>78</v>
      </c>
      <c r="BB513" t="s">
        <v>35</v>
      </c>
      <c r="BC513" t="s">
        <v>36</v>
      </c>
      <c r="BD513" s="4">
        <f>HYPERLINK("http://mlb.mlb.com/team/player.jsp?player_id=408314",408314)</f>
        <v>408314</v>
      </c>
      <c r="BE513">
        <v>1710</v>
      </c>
      <c r="BF513">
        <v>710</v>
      </c>
      <c r="BG513">
        <v>561</v>
      </c>
      <c r="BH513">
        <v>501</v>
      </c>
    </row>
    <row r="514" spans="1:60" x14ac:dyDescent="0.3">
      <c r="A514" s="4">
        <f>HYPERLINK("http://legacy.baseballprospectus.com/p/70776",70776)</f>
        <v>70776</v>
      </c>
      <c r="B514" t="s">
        <v>1122</v>
      </c>
      <c r="C514" t="s">
        <v>880</v>
      </c>
      <c r="D514" s="10">
        <v>34103</v>
      </c>
      <c r="E514" t="s">
        <v>65</v>
      </c>
      <c r="F514" t="s">
        <v>37</v>
      </c>
      <c r="G514" t="s">
        <v>33</v>
      </c>
      <c r="H514">
        <v>70</v>
      </c>
      <c r="I514">
        <v>170</v>
      </c>
      <c r="J514">
        <v>2018</v>
      </c>
      <c r="K514" s="4" t="str">
        <f>HYPERLINK("http://legacy.baseballprospectus.com/fantasy/dc/index.php?tm=PHI","PHI")</f>
        <v>PHI</v>
      </c>
      <c r="L514" t="s">
        <v>100</v>
      </c>
      <c r="M514" t="s">
        <v>34</v>
      </c>
      <c r="N514">
        <v>25</v>
      </c>
      <c r="O514">
        <v>195</v>
      </c>
      <c r="P514">
        <v>79</v>
      </c>
      <c r="Q514">
        <v>175</v>
      </c>
      <c r="R514">
        <v>26</v>
      </c>
      <c r="S514">
        <v>30</v>
      </c>
      <c r="T514">
        <v>7</v>
      </c>
      <c r="U514">
        <v>2</v>
      </c>
      <c r="V514">
        <v>4</v>
      </c>
      <c r="W514">
        <v>43</v>
      </c>
      <c r="X514">
        <v>66</v>
      </c>
      <c r="Y514">
        <v>18</v>
      </c>
      <c r="Z514">
        <v>15</v>
      </c>
      <c r="AA514">
        <v>1</v>
      </c>
      <c r="AB514">
        <v>2</v>
      </c>
      <c r="AC514">
        <v>51</v>
      </c>
      <c r="AD514">
        <v>2</v>
      </c>
      <c r="AE514">
        <v>1</v>
      </c>
      <c r="AF514">
        <v>3</v>
      </c>
      <c r="AG514">
        <v>12</v>
      </c>
      <c r="AH514">
        <v>4</v>
      </c>
      <c r="AI514" s="5">
        <v>0.246</v>
      </c>
      <c r="AJ514" s="5">
        <v>0.311</v>
      </c>
      <c r="AK514" s="5">
        <v>0.377</v>
      </c>
      <c r="AL514" s="5">
        <v>0.24199999999999999</v>
      </c>
      <c r="AM514" s="5">
        <v>0.317</v>
      </c>
      <c r="AN514">
        <v>1.5</v>
      </c>
      <c r="AO514">
        <v>-0.44</v>
      </c>
      <c r="AP514">
        <v>5.24</v>
      </c>
      <c r="AQ514">
        <v>-3.68</v>
      </c>
      <c r="AR514">
        <v>-0.6</v>
      </c>
      <c r="AS514" t="s">
        <v>83</v>
      </c>
      <c r="AT514">
        <v>0.2</v>
      </c>
      <c r="AU514">
        <v>2.6</v>
      </c>
      <c r="AV514">
        <v>8</v>
      </c>
      <c r="AW514">
        <v>42</v>
      </c>
      <c r="AX514">
        <v>6</v>
      </c>
      <c r="AY514">
        <v>35</v>
      </c>
      <c r="AZ514" t="s">
        <v>4214</v>
      </c>
      <c r="BA514">
        <v>67</v>
      </c>
      <c r="BB514" t="s">
        <v>35</v>
      </c>
      <c r="BC514" t="s">
        <v>35</v>
      </c>
      <c r="BD514" s="4">
        <f>HYPERLINK("http://mlb.mlb.com/team/player.jsp?player_id=596451",596451)</f>
        <v>596451</v>
      </c>
      <c r="BE514">
        <v>1650</v>
      </c>
      <c r="BF514">
        <v>650</v>
      </c>
      <c r="BG514">
        <v>0</v>
      </c>
      <c r="BH514">
        <v>0</v>
      </c>
    </row>
    <row r="515" spans="1:60" x14ac:dyDescent="0.3">
      <c r="A515" s="4">
        <f>HYPERLINK("http://legacy.baseballprospectus.com/p/100300",100300)</f>
        <v>100300</v>
      </c>
      <c r="B515" t="s">
        <v>1129</v>
      </c>
      <c r="C515" t="s">
        <v>207</v>
      </c>
      <c r="D515" s="10">
        <v>33404</v>
      </c>
      <c r="E515" t="s">
        <v>57</v>
      </c>
      <c r="F515" t="s">
        <v>9</v>
      </c>
      <c r="G515" t="s">
        <v>33</v>
      </c>
      <c r="H515">
        <v>74</v>
      </c>
      <c r="I515">
        <v>185</v>
      </c>
      <c r="J515">
        <v>2018</v>
      </c>
      <c r="K515" s="4" t="str">
        <f>HYPERLINK("http://legacy.baseballprospectus.com/fantasy/dc/index.php?tm=SDN","SDN")</f>
        <v>SDN</v>
      </c>
      <c r="L515" t="s">
        <v>100</v>
      </c>
      <c r="M515" t="s">
        <v>34</v>
      </c>
      <c r="N515">
        <v>27</v>
      </c>
      <c r="O515">
        <v>149</v>
      </c>
      <c r="P515">
        <v>75</v>
      </c>
      <c r="Q515">
        <v>132</v>
      </c>
      <c r="R515">
        <v>19</v>
      </c>
      <c r="S515">
        <v>24</v>
      </c>
      <c r="T515">
        <v>5</v>
      </c>
      <c r="U515">
        <v>1</v>
      </c>
      <c r="V515">
        <v>1</v>
      </c>
      <c r="W515">
        <v>31</v>
      </c>
      <c r="X515">
        <v>41</v>
      </c>
      <c r="Y515">
        <v>10</v>
      </c>
      <c r="Z515">
        <v>15</v>
      </c>
      <c r="AA515">
        <v>0</v>
      </c>
      <c r="AB515">
        <v>1</v>
      </c>
      <c r="AC515">
        <v>35</v>
      </c>
      <c r="AD515">
        <v>1</v>
      </c>
      <c r="AE515">
        <v>1</v>
      </c>
      <c r="AF515">
        <v>3</v>
      </c>
      <c r="AG515">
        <v>8</v>
      </c>
      <c r="AH515">
        <v>3</v>
      </c>
      <c r="AI515" s="5">
        <v>0.23499999999999999</v>
      </c>
      <c r="AJ515" s="5">
        <v>0.315</v>
      </c>
      <c r="AK515" s="5">
        <v>0.311</v>
      </c>
      <c r="AL515" s="5">
        <v>0.23699999999999999</v>
      </c>
      <c r="AM515" s="5">
        <v>0.308</v>
      </c>
      <c r="AN515">
        <v>0.8</v>
      </c>
      <c r="AO515">
        <v>-0.87</v>
      </c>
      <c r="AP515">
        <v>4</v>
      </c>
      <c r="AQ515">
        <v>-3.63</v>
      </c>
      <c r="AR515">
        <v>1.4</v>
      </c>
      <c r="AS515" t="s">
        <v>1546</v>
      </c>
      <c r="AT515">
        <v>0.2</v>
      </c>
      <c r="AU515">
        <v>0.3</v>
      </c>
      <c r="AV515">
        <v>1</v>
      </c>
      <c r="AW515">
        <v>33</v>
      </c>
      <c r="AX515">
        <v>8</v>
      </c>
      <c r="AY515">
        <v>16</v>
      </c>
      <c r="AZ515" t="s">
        <v>4296</v>
      </c>
      <c r="BA515">
        <v>73</v>
      </c>
      <c r="BB515" t="s">
        <v>35</v>
      </c>
      <c r="BC515" t="s">
        <v>36</v>
      </c>
      <c r="BD515" s="4">
        <f>HYPERLINK("http://mlb.mlb.com/team/player.jsp?player_id=608671",608671)</f>
        <v>608671</v>
      </c>
      <c r="BE515">
        <v>1633</v>
      </c>
      <c r="BF515">
        <v>633</v>
      </c>
      <c r="BG515">
        <v>87</v>
      </c>
      <c r="BH515">
        <v>75</v>
      </c>
    </row>
    <row r="516" spans="1:60" x14ac:dyDescent="0.3">
      <c r="A516" s="4">
        <f>HYPERLINK("http://legacy.baseballprospectus.com/p/66416",66416)</f>
        <v>66416</v>
      </c>
      <c r="B516" t="s">
        <v>680</v>
      </c>
      <c r="C516" t="s">
        <v>172</v>
      </c>
      <c r="D516" s="10">
        <v>33408</v>
      </c>
      <c r="E516" t="s">
        <v>51</v>
      </c>
      <c r="F516" t="s">
        <v>33</v>
      </c>
      <c r="G516" t="s">
        <v>33</v>
      </c>
      <c r="H516">
        <v>71</v>
      </c>
      <c r="I516">
        <v>210</v>
      </c>
      <c r="J516">
        <v>2018</v>
      </c>
      <c r="K516" s="4" t="str">
        <f>HYPERLINK("http://legacy.baseballprospectus.com/fantasy/dc/index.php?tm=SDN","SDN")</f>
        <v>SDN</v>
      </c>
      <c r="L516" t="s">
        <v>100</v>
      </c>
      <c r="M516" t="s">
        <v>34</v>
      </c>
      <c r="N516">
        <v>27</v>
      </c>
      <c r="O516">
        <v>98</v>
      </c>
      <c r="P516">
        <v>30</v>
      </c>
      <c r="Q516">
        <v>89</v>
      </c>
      <c r="R516">
        <v>11</v>
      </c>
      <c r="S516">
        <v>13</v>
      </c>
      <c r="T516">
        <v>4</v>
      </c>
      <c r="U516">
        <v>0</v>
      </c>
      <c r="V516">
        <v>4</v>
      </c>
      <c r="W516">
        <v>21</v>
      </c>
      <c r="X516">
        <v>37</v>
      </c>
      <c r="Y516">
        <v>13</v>
      </c>
      <c r="Z516">
        <v>7</v>
      </c>
      <c r="AA516">
        <v>0</v>
      </c>
      <c r="AB516">
        <v>1</v>
      </c>
      <c r="AC516">
        <v>22</v>
      </c>
      <c r="AD516">
        <v>0</v>
      </c>
      <c r="AE516">
        <v>1</v>
      </c>
      <c r="AF516">
        <v>3</v>
      </c>
      <c r="AG516">
        <v>0</v>
      </c>
      <c r="AH516">
        <v>0</v>
      </c>
      <c r="AI516" s="5">
        <v>0.23599999999999999</v>
      </c>
      <c r="AJ516" s="5">
        <v>0.29599999999999999</v>
      </c>
      <c r="AK516" s="5">
        <v>0.41599999999999998</v>
      </c>
      <c r="AL516" s="5">
        <v>0.26200000000000001</v>
      </c>
      <c r="AM516" s="5">
        <v>0.27200000000000002</v>
      </c>
      <c r="AN516">
        <v>-0.2</v>
      </c>
      <c r="AO516">
        <v>0.09</v>
      </c>
      <c r="AP516">
        <v>2.63</v>
      </c>
      <c r="AQ516">
        <v>0.25</v>
      </c>
      <c r="AR516">
        <v>-0.7</v>
      </c>
      <c r="AS516" t="s">
        <v>56</v>
      </c>
      <c r="AT516">
        <v>0.2</v>
      </c>
      <c r="AU516">
        <v>2.8</v>
      </c>
      <c r="AV516">
        <v>2</v>
      </c>
      <c r="AW516">
        <v>20</v>
      </c>
      <c r="AX516">
        <v>18</v>
      </c>
      <c r="AY516">
        <v>19</v>
      </c>
      <c r="AZ516" t="s">
        <v>4217</v>
      </c>
      <c r="BA516">
        <v>41</v>
      </c>
      <c r="BB516" t="s">
        <v>35</v>
      </c>
      <c r="BC516" t="s">
        <v>35</v>
      </c>
      <c r="BD516" s="4">
        <f>HYPERLINK("http://mlb.mlb.com/team/player.jsp?player_id=570799",570799)</f>
        <v>570799</v>
      </c>
      <c r="BE516">
        <v>1506</v>
      </c>
      <c r="BF516">
        <v>506</v>
      </c>
      <c r="BG516">
        <v>32</v>
      </c>
      <c r="BH516">
        <v>32</v>
      </c>
    </row>
    <row r="517" spans="1:60" x14ac:dyDescent="0.3">
      <c r="A517" s="4">
        <f>HYPERLINK("http://legacy.baseballprospectus.com/p/47939",47939)</f>
        <v>47939</v>
      </c>
      <c r="B517" t="s">
        <v>440</v>
      </c>
      <c r="C517" t="s">
        <v>136</v>
      </c>
      <c r="D517" s="10">
        <v>31809</v>
      </c>
      <c r="E517" t="s">
        <v>65</v>
      </c>
      <c r="F517" t="s">
        <v>33</v>
      </c>
      <c r="G517" t="s">
        <v>33</v>
      </c>
      <c r="H517">
        <v>73</v>
      </c>
      <c r="I517">
        <v>205</v>
      </c>
      <c r="J517">
        <v>2018</v>
      </c>
      <c r="K517" s="4" t="str">
        <f>HYPERLINK("http://legacy.baseballprospectus.com/fantasy/dc/index.php?tm=SFN","SFN")</f>
        <v>SFN</v>
      </c>
      <c r="L517" t="s">
        <v>100</v>
      </c>
      <c r="M517" t="s">
        <v>34</v>
      </c>
      <c r="N517">
        <v>31</v>
      </c>
      <c r="O517">
        <v>344</v>
      </c>
      <c r="P517">
        <v>83</v>
      </c>
      <c r="Q517">
        <v>313</v>
      </c>
      <c r="R517">
        <v>35</v>
      </c>
      <c r="S517">
        <v>58</v>
      </c>
      <c r="T517">
        <v>17</v>
      </c>
      <c r="U517">
        <v>3</v>
      </c>
      <c r="V517">
        <v>3</v>
      </c>
      <c r="W517">
        <v>81</v>
      </c>
      <c r="X517">
        <v>113</v>
      </c>
      <c r="Y517">
        <v>29</v>
      </c>
      <c r="Z517">
        <v>26</v>
      </c>
      <c r="AA517">
        <v>0</v>
      </c>
      <c r="AB517">
        <v>2</v>
      </c>
      <c r="AC517">
        <v>76</v>
      </c>
      <c r="AD517">
        <v>1</v>
      </c>
      <c r="AE517">
        <v>2</v>
      </c>
      <c r="AF517">
        <v>10</v>
      </c>
      <c r="AG517">
        <v>7</v>
      </c>
      <c r="AH517">
        <v>3</v>
      </c>
      <c r="AI517" s="5">
        <v>0.25900000000000001</v>
      </c>
      <c r="AJ517" s="5">
        <v>0.318</v>
      </c>
      <c r="AK517" s="5">
        <v>0.36099999999999999</v>
      </c>
      <c r="AL517" s="5">
        <v>0.246</v>
      </c>
      <c r="AM517" s="5">
        <v>0.32700000000000001</v>
      </c>
      <c r="AN517">
        <v>0.2</v>
      </c>
      <c r="AO517">
        <v>0.5</v>
      </c>
      <c r="AP517">
        <v>9.24</v>
      </c>
      <c r="AQ517">
        <v>-5.09</v>
      </c>
      <c r="AR517">
        <v>-3.1</v>
      </c>
      <c r="AS517" t="s">
        <v>1046</v>
      </c>
      <c r="AT517">
        <v>0.2</v>
      </c>
      <c r="AU517">
        <v>4.9000000000000004</v>
      </c>
      <c r="AV517">
        <v>0</v>
      </c>
      <c r="AW517">
        <v>43</v>
      </c>
      <c r="AX517">
        <v>7</v>
      </c>
      <c r="AY517">
        <v>14</v>
      </c>
      <c r="AZ517" t="s">
        <v>3964</v>
      </c>
      <c r="BA517">
        <v>91</v>
      </c>
      <c r="BB517" t="s">
        <v>35</v>
      </c>
      <c r="BC517" t="s">
        <v>36</v>
      </c>
      <c r="BD517" s="4">
        <f>HYPERLINK("http://mlb.mlb.com/team/player.jsp?player_id=457706",457706)</f>
        <v>457706</v>
      </c>
      <c r="BE517">
        <v>1704</v>
      </c>
      <c r="BF517">
        <v>704</v>
      </c>
      <c r="BG517">
        <v>318</v>
      </c>
      <c r="BH517">
        <v>280</v>
      </c>
    </row>
    <row r="518" spans="1:60" x14ac:dyDescent="0.3">
      <c r="A518" s="4">
        <f>HYPERLINK("http://legacy.baseballprospectus.com/p/68648",68648)</f>
        <v>68648</v>
      </c>
      <c r="B518" t="s">
        <v>553</v>
      </c>
      <c r="C518" t="s">
        <v>1251</v>
      </c>
      <c r="D518" s="10">
        <v>32509</v>
      </c>
      <c r="E518" t="s">
        <v>59</v>
      </c>
      <c r="F518" t="s">
        <v>9</v>
      </c>
      <c r="G518" t="s">
        <v>9</v>
      </c>
      <c r="H518">
        <v>76</v>
      </c>
      <c r="I518">
        <v>210</v>
      </c>
      <c r="J518">
        <v>2018</v>
      </c>
      <c r="K518" s="4" t="str">
        <f>HYPERLINK("http://legacy.baseballprospectus.com/fantasy/dc/index.php?tm=SFN","SFN")</f>
        <v>SFN</v>
      </c>
      <c r="L518" t="s">
        <v>100</v>
      </c>
      <c r="M518" t="s">
        <v>34</v>
      </c>
      <c r="N518">
        <v>29</v>
      </c>
      <c r="O518">
        <v>101</v>
      </c>
      <c r="P518">
        <v>30</v>
      </c>
      <c r="Q518">
        <v>89</v>
      </c>
      <c r="R518">
        <v>13</v>
      </c>
      <c r="S518">
        <v>12</v>
      </c>
      <c r="T518">
        <v>4</v>
      </c>
      <c r="U518">
        <v>0</v>
      </c>
      <c r="V518">
        <v>4</v>
      </c>
      <c r="W518">
        <v>20</v>
      </c>
      <c r="X518">
        <v>36</v>
      </c>
      <c r="Y518">
        <v>13</v>
      </c>
      <c r="Z518">
        <v>10</v>
      </c>
      <c r="AA518">
        <v>1</v>
      </c>
      <c r="AB518">
        <v>1</v>
      </c>
      <c r="AC518">
        <v>33</v>
      </c>
      <c r="AD518">
        <v>0</v>
      </c>
      <c r="AE518">
        <v>0</v>
      </c>
      <c r="AF518">
        <v>2</v>
      </c>
      <c r="AG518">
        <v>1</v>
      </c>
      <c r="AH518">
        <v>1</v>
      </c>
      <c r="AI518" s="5">
        <v>0.22500000000000001</v>
      </c>
      <c r="AJ518" s="5">
        <v>0.31</v>
      </c>
      <c r="AK518" s="5">
        <v>0.40400000000000003</v>
      </c>
      <c r="AL518" s="5">
        <v>0.26500000000000001</v>
      </c>
      <c r="AM518" s="5">
        <v>0.32</v>
      </c>
      <c r="AN518">
        <v>-0.1</v>
      </c>
      <c r="AO518">
        <v>-0.19</v>
      </c>
      <c r="AP518">
        <v>2.71</v>
      </c>
      <c r="AQ518">
        <v>0.49</v>
      </c>
      <c r="AR518">
        <v>-1.4</v>
      </c>
      <c r="AS518" t="s">
        <v>1014</v>
      </c>
      <c r="AT518">
        <v>0.2</v>
      </c>
      <c r="AU518">
        <v>2.9</v>
      </c>
      <c r="AV518">
        <v>9</v>
      </c>
      <c r="AW518">
        <v>30</v>
      </c>
      <c r="AX518">
        <v>6</v>
      </c>
      <c r="AY518">
        <v>17</v>
      </c>
      <c r="AZ518" t="s">
        <v>4057</v>
      </c>
      <c r="BA518">
        <v>61</v>
      </c>
      <c r="BB518" t="s">
        <v>35</v>
      </c>
      <c r="BC518" t="s">
        <v>36</v>
      </c>
      <c r="BD518" s="4">
        <f>HYPERLINK("http://mlb.mlb.com/team/player.jsp?player_id=592620",592620)</f>
        <v>592620</v>
      </c>
      <c r="BE518">
        <v>1621</v>
      </c>
      <c r="BF518">
        <v>621</v>
      </c>
      <c r="BG518">
        <v>177</v>
      </c>
      <c r="BH518">
        <v>166</v>
      </c>
    </row>
    <row r="519" spans="1:60" x14ac:dyDescent="0.3">
      <c r="A519" s="4">
        <f>HYPERLINK("http://legacy.baseballprospectus.com/p/57096",57096)</f>
        <v>57096</v>
      </c>
      <c r="B519" t="s">
        <v>561</v>
      </c>
      <c r="C519" t="s">
        <v>244</v>
      </c>
      <c r="D519" s="10">
        <v>32793</v>
      </c>
      <c r="E519" t="s">
        <v>54</v>
      </c>
      <c r="F519" t="s">
        <v>33</v>
      </c>
      <c r="G519" t="s">
        <v>33</v>
      </c>
      <c r="H519">
        <v>74</v>
      </c>
      <c r="I519">
        <v>230</v>
      </c>
      <c r="J519">
        <v>2018</v>
      </c>
      <c r="K519" s="4" t="str">
        <f>HYPERLINK("http://legacy.baseballprospectus.com/fantasy/dc/index.php?tm=SLN","SLN")</f>
        <v>SLN</v>
      </c>
      <c r="L519" t="s">
        <v>100</v>
      </c>
      <c r="M519" t="s">
        <v>34</v>
      </c>
      <c r="N519">
        <v>28</v>
      </c>
      <c r="O519">
        <v>94</v>
      </c>
      <c r="P519">
        <v>29</v>
      </c>
      <c r="Q519">
        <v>87</v>
      </c>
      <c r="R519">
        <v>10</v>
      </c>
      <c r="S519">
        <v>13</v>
      </c>
      <c r="T519">
        <v>4</v>
      </c>
      <c r="U519">
        <v>0</v>
      </c>
      <c r="V519">
        <v>3</v>
      </c>
      <c r="W519">
        <v>20</v>
      </c>
      <c r="X519">
        <v>33</v>
      </c>
      <c r="Y519">
        <v>11</v>
      </c>
      <c r="Z519">
        <v>5</v>
      </c>
      <c r="AA519">
        <v>0</v>
      </c>
      <c r="AB519">
        <v>1</v>
      </c>
      <c r="AC519">
        <v>18</v>
      </c>
      <c r="AD519">
        <v>0</v>
      </c>
      <c r="AE519">
        <v>1</v>
      </c>
      <c r="AF519">
        <v>3</v>
      </c>
      <c r="AG519">
        <v>0</v>
      </c>
      <c r="AH519">
        <v>0</v>
      </c>
      <c r="AI519" s="5">
        <v>0.23</v>
      </c>
      <c r="AJ519" s="5">
        <v>0.27700000000000002</v>
      </c>
      <c r="AK519" s="5">
        <v>0.379</v>
      </c>
      <c r="AL519" s="5">
        <v>0.24299999999999999</v>
      </c>
      <c r="AM519" s="5">
        <v>0.27200000000000002</v>
      </c>
      <c r="AN519">
        <v>-0.2</v>
      </c>
      <c r="AO519">
        <v>0.72</v>
      </c>
      <c r="AP519">
        <v>2.52</v>
      </c>
      <c r="AQ519">
        <v>-1.66</v>
      </c>
      <c r="AR519">
        <v>0.3</v>
      </c>
      <c r="AS519" t="s">
        <v>71</v>
      </c>
      <c r="AT519">
        <v>0.2</v>
      </c>
      <c r="AU519">
        <v>1.4</v>
      </c>
      <c r="AV519">
        <v>3</v>
      </c>
      <c r="AW519">
        <v>14</v>
      </c>
      <c r="AX519">
        <v>12</v>
      </c>
      <c r="AY519">
        <v>27</v>
      </c>
      <c r="AZ519" t="s">
        <v>5006</v>
      </c>
      <c r="BA519">
        <v>51</v>
      </c>
      <c r="BB519" t="s">
        <v>35</v>
      </c>
      <c r="BC519" t="s">
        <v>35</v>
      </c>
      <c r="BD519" s="4">
        <f>HYPERLINK("http://mlb.mlb.com/team/player.jsp?player_id=506747",506747)</f>
        <v>506747</v>
      </c>
      <c r="BE519">
        <v>0</v>
      </c>
      <c r="BF519">
        <v>0</v>
      </c>
      <c r="BG519">
        <v>10</v>
      </c>
      <c r="BH519">
        <v>10</v>
      </c>
    </row>
    <row r="520" spans="1:60" x14ac:dyDescent="0.3">
      <c r="A520" s="4">
        <f>HYPERLINK("http://legacy.baseballprospectus.com/p/99919",99919)</f>
        <v>99919</v>
      </c>
      <c r="B520" t="s">
        <v>1869</v>
      </c>
      <c r="C520" t="s">
        <v>432</v>
      </c>
      <c r="D520" s="10">
        <v>33282</v>
      </c>
      <c r="E520" t="s">
        <v>50</v>
      </c>
      <c r="F520" t="s">
        <v>33</v>
      </c>
      <c r="G520" t="s">
        <v>33</v>
      </c>
      <c r="H520">
        <v>75</v>
      </c>
      <c r="I520">
        <v>225</v>
      </c>
      <c r="J520">
        <v>2018</v>
      </c>
      <c r="K520" s="4" t="str">
        <f>HYPERLINK("http://legacy.baseballprospectus.com/fantasy/dc/index.php?tm=SLN","SLN")</f>
        <v>SLN</v>
      </c>
      <c r="L520" t="s">
        <v>100</v>
      </c>
      <c r="M520" t="s">
        <v>34</v>
      </c>
      <c r="N520">
        <v>27</v>
      </c>
      <c r="O520">
        <v>75</v>
      </c>
      <c r="P520">
        <v>52</v>
      </c>
      <c r="Q520">
        <v>67</v>
      </c>
      <c r="R520">
        <v>9</v>
      </c>
      <c r="S520">
        <v>11</v>
      </c>
      <c r="T520">
        <v>3</v>
      </c>
      <c r="U520">
        <v>0</v>
      </c>
      <c r="V520">
        <v>3</v>
      </c>
      <c r="W520">
        <v>17</v>
      </c>
      <c r="X520">
        <v>29</v>
      </c>
      <c r="Y520">
        <v>9</v>
      </c>
      <c r="Z520">
        <v>7</v>
      </c>
      <c r="AA520">
        <v>0</v>
      </c>
      <c r="AB520">
        <v>1</v>
      </c>
      <c r="AC520">
        <v>16</v>
      </c>
      <c r="AD520">
        <v>0</v>
      </c>
      <c r="AE520">
        <v>0</v>
      </c>
      <c r="AF520">
        <v>2</v>
      </c>
      <c r="AG520">
        <v>0</v>
      </c>
      <c r="AH520">
        <v>0</v>
      </c>
      <c r="AI520" s="5">
        <v>0.254</v>
      </c>
      <c r="AJ520" s="5">
        <v>0.33300000000000002</v>
      </c>
      <c r="AK520" s="5">
        <v>0.433</v>
      </c>
      <c r="AL520" s="5">
        <v>0.26800000000000002</v>
      </c>
      <c r="AM520" s="5">
        <v>0.30499999999999999</v>
      </c>
      <c r="AN520">
        <v>-0.1</v>
      </c>
      <c r="AO520">
        <v>-1.07</v>
      </c>
      <c r="AP520">
        <v>2.0099999999999998</v>
      </c>
      <c r="AQ520">
        <v>0.65</v>
      </c>
      <c r="AR520">
        <v>0.1</v>
      </c>
      <c r="AS520" t="s">
        <v>1005</v>
      </c>
      <c r="AT520">
        <v>0.2</v>
      </c>
      <c r="AU520">
        <v>1.5</v>
      </c>
      <c r="AV520">
        <v>2</v>
      </c>
      <c r="AW520">
        <v>17</v>
      </c>
      <c r="AX520">
        <v>15</v>
      </c>
      <c r="AY520">
        <v>21</v>
      </c>
      <c r="AZ520" t="s">
        <v>4218</v>
      </c>
      <c r="BA520">
        <v>37</v>
      </c>
      <c r="BB520" t="s">
        <v>35</v>
      </c>
      <c r="BC520" t="s">
        <v>35</v>
      </c>
      <c r="BD520" s="4">
        <f>HYPERLINK("http://mlb.mlb.com/team/player.jsp?player_id=572228",572228)</f>
        <v>572228</v>
      </c>
      <c r="BE520">
        <v>1439</v>
      </c>
      <c r="BF520">
        <v>439</v>
      </c>
      <c r="BG520">
        <v>124</v>
      </c>
      <c r="BH520">
        <v>114</v>
      </c>
    </row>
    <row r="521" spans="1:60" x14ac:dyDescent="0.3">
      <c r="A521" s="4">
        <f>HYPERLINK("http://legacy.baseballprospectus.com/p/67078",67078)</f>
        <v>67078</v>
      </c>
      <c r="B521" t="s">
        <v>1382</v>
      </c>
      <c r="C521" t="s">
        <v>1263</v>
      </c>
      <c r="D521" s="10">
        <v>33949</v>
      </c>
      <c r="E521" t="s">
        <v>59</v>
      </c>
      <c r="F521" t="s">
        <v>37</v>
      </c>
      <c r="G521" t="s">
        <v>33</v>
      </c>
      <c r="H521">
        <v>74</v>
      </c>
      <c r="I521">
        <v>195</v>
      </c>
      <c r="J521">
        <v>2018</v>
      </c>
      <c r="K521" s="4" t="str">
        <f>HYPERLINK("http://legacy.baseballprospectus.com/fantasy/dc/index.php?tm=TOR","TOR")</f>
        <v>TOR</v>
      </c>
      <c r="L521" t="s">
        <v>95</v>
      </c>
      <c r="M521" t="s">
        <v>34</v>
      </c>
      <c r="N521">
        <v>25</v>
      </c>
      <c r="O521">
        <v>96</v>
      </c>
      <c r="P521">
        <v>30</v>
      </c>
      <c r="Q521">
        <v>86</v>
      </c>
      <c r="R521">
        <v>12</v>
      </c>
      <c r="S521">
        <v>16</v>
      </c>
      <c r="T521">
        <v>4</v>
      </c>
      <c r="U521">
        <v>1</v>
      </c>
      <c r="V521">
        <v>2</v>
      </c>
      <c r="W521">
        <v>23</v>
      </c>
      <c r="X521">
        <v>35</v>
      </c>
      <c r="Y521">
        <v>10</v>
      </c>
      <c r="Z521">
        <v>9</v>
      </c>
      <c r="AA521">
        <v>0</v>
      </c>
      <c r="AB521">
        <v>1</v>
      </c>
      <c r="AC521">
        <v>21</v>
      </c>
      <c r="AD521">
        <v>0</v>
      </c>
      <c r="AE521">
        <v>0</v>
      </c>
      <c r="AF521">
        <v>2</v>
      </c>
      <c r="AG521">
        <v>4</v>
      </c>
      <c r="AH521">
        <v>1</v>
      </c>
      <c r="AI521" s="5">
        <v>0.26700000000000002</v>
      </c>
      <c r="AJ521" s="5">
        <v>0.34399999999999997</v>
      </c>
      <c r="AK521" s="5">
        <v>0.40699999999999997</v>
      </c>
      <c r="AL521" s="5">
        <v>0.252</v>
      </c>
      <c r="AM521" s="5">
        <v>0.317</v>
      </c>
      <c r="AN521">
        <v>0.3</v>
      </c>
      <c r="AO521">
        <v>-7.0000000000000007E-2</v>
      </c>
      <c r="AP521">
        <v>2.58</v>
      </c>
      <c r="AQ521">
        <v>-0.83</v>
      </c>
      <c r="AR521">
        <v>0.4</v>
      </c>
      <c r="AS521" t="s">
        <v>1330</v>
      </c>
      <c r="AT521">
        <v>0.2</v>
      </c>
      <c r="AU521">
        <v>2</v>
      </c>
      <c r="AV521">
        <v>7</v>
      </c>
      <c r="AW521">
        <v>47</v>
      </c>
      <c r="AX521">
        <v>6</v>
      </c>
      <c r="AY521">
        <v>35</v>
      </c>
      <c r="AZ521" t="s">
        <v>4221</v>
      </c>
      <c r="BA521">
        <v>75</v>
      </c>
      <c r="BB521" t="s">
        <v>35</v>
      </c>
      <c r="BC521" t="s">
        <v>36</v>
      </c>
      <c r="BD521" s="4">
        <f>HYPERLINK("http://mlb.mlb.com/team/player.jsp?player_id=592647",592647)</f>
        <v>592647</v>
      </c>
      <c r="BE521">
        <v>633</v>
      </c>
      <c r="BF521">
        <v>1633</v>
      </c>
      <c r="BG521">
        <v>0</v>
      </c>
      <c r="BH521">
        <v>0</v>
      </c>
    </row>
    <row r="522" spans="1:60" x14ac:dyDescent="0.3">
      <c r="A522" s="4">
        <f>HYPERLINK("http://legacy.baseballprospectus.com/p/102553",102553)</f>
        <v>102553</v>
      </c>
      <c r="B522" t="s">
        <v>1724</v>
      </c>
      <c r="C522" t="s">
        <v>102</v>
      </c>
      <c r="D522" s="10">
        <v>33694</v>
      </c>
      <c r="E522" t="s">
        <v>57</v>
      </c>
      <c r="F522" t="s">
        <v>33</v>
      </c>
      <c r="G522" t="s">
        <v>33</v>
      </c>
      <c r="H522">
        <v>76</v>
      </c>
      <c r="I522">
        <v>195</v>
      </c>
      <c r="J522">
        <v>2018</v>
      </c>
      <c r="K522" s="4" t="str">
        <f>HYPERLINK("http://legacy.baseballprospectus.com/fantasy/dc/index.php?tm=CHA","CHA")</f>
        <v>CHA</v>
      </c>
      <c r="L522" t="s">
        <v>95</v>
      </c>
      <c r="M522" t="s">
        <v>34</v>
      </c>
      <c r="N522">
        <v>26</v>
      </c>
      <c r="O522">
        <v>157</v>
      </c>
      <c r="P522">
        <v>48</v>
      </c>
      <c r="Q522">
        <v>144</v>
      </c>
      <c r="R522">
        <v>19</v>
      </c>
      <c r="S522">
        <v>20</v>
      </c>
      <c r="T522">
        <v>6</v>
      </c>
      <c r="U522">
        <v>1</v>
      </c>
      <c r="V522">
        <v>6</v>
      </c>
      <c r="W522">
        <v>33</v>
      </c>
      <c r="X522">
        <v>59</v>
      </c>
      <c r="Y522">
        <v>19</v>
      </c>
      <c r="Z522">
        <v>10</v>
      </c>
      <c r="AA522">
        <v>1</v>
      </c>
      <c r="AB522">
        <v>2</v>
      </c>
      <c r="AC522">
        <v>43</v>
      </c>
      <c r="AD522">
        <v>0</v>
      </c>
      <c r="AE522">
        <v>1</v>
      </c>
      <c r="AF522">
        <v>3</v>
      </c>
      <c r="AG522">
        <v>3</v>
      </c>
      <c r="AH522">
        <v>1</v>
      </c>
      <c r="AI522" s="5">
        <v>0.22900000000000001</v>
      </c>
      <c r="AJ522" s="5">
        <v>0.28699999999999998</v>
      </c>
      <c r="AK522" s="5">
        <v>0.41</v>
      </c>
      <c r="AL522" s="5">
        <v>0.23899999999999999</v>
      </c>
      <c r="AM522" s="5">
        <v>0.28100000000000003</v>
      </c>
      <c r="AN522">
        <v>0.3</v>
      </c>
      <c r="AO522">
        <v>-0.22</v>
      </c>
      <c r="AP522">
        <v>4.22</v>
      </c>
      <c r="AQ522">
        <v>-3.52</v>
      </c>
      <c r="AR522">
        <v>1.3</v>
      </c>
      <c r="AS522" t="s">
        <v>4861</v>
      </c>
      <c r="AT522">
        <v>0.2</v>
      </c>
      <c r="AU522">
        <v>0.8</v>
      </c>
      <c r="AV522">
        <v>3</v>
      </c>
      <c r="AW522">
        <v>5</v>
      </c>
      <c r="AX522">
        <v>9</v>
      </c>
      <c r="AY522">
        <v>15</v>
      </c>
      <c r="AZ522" t="s">
        <v>4305</v>
      </c>
      <c r="BA522">
        <v>20</v>
      </c>
      <c r="BB522" t="s">
        <v>35</v>
      </c>
      <c r="BC522" t="s">
        <v>35</v>
      </c>
      <c r="BD522" s="4">
        <f>HYPERLINK("http://mlb.mlb.com/team/player.jsp?player_id=641477",641477)</f>
        <v>641477</v>
      </c>
      <c r="BE522">
        <v>647</v>
      </c>
      <c r="BF522">
        <v>1647</v>
      </c>
      <c r="BG522">
        <v>0</v>
      </c>
      <c r="BH522">
        <v>0</v>
      </c>
    </row>
    <row r="523" spans="1:60" x14ac:dyDescent="0.3">
      <c r="A523" s="4">
        <f>HYPERLINK("http://legacy.baseballprospectus.com/p/104176",104176)</f>
        <v>104176</v>
      </c>
      <c r="B523" t="s">
        <v>444</v>
      </c>
      <c r="C523" t="s">
        <v>1448</v>
      </c>
      <c r="D523" s="10">
        <v>35396</v>
      </c>
      <c r="E523" t="s">
        <v>57</v>
      </c>
      <c r="F523" t="s">
        <v>33</v>
      </c>
      <c r="G523" t="s">
        <v>33</v>
      </c>
      <c r="H523">
        <v>76</v>
      </c>
      <c r="I523">
        <v>205</v>
      </c>
      <c r="J523">
        <v>2018</v>
      </c>
      <c r="K523" s="4" t="str">
        <f>HYPERLINK("http://legacy.baseballprospectus.com/fantasy/dc/index.php?tm=CHA","CHA")</f>
        <v>CHA</v>
      </c>
      <c r="L523" t="s">
        <v>95</v>
      </c>
      <c r="M523" t="s">
        <v>34</v>
      </c>
      <c r="N523">
        <v>21</v>
      </c>
      <c r="O523">
        <v>136</v>
      </c>
      <c r="P523">
        <v>42</v>
      </c>
      <c r="Q523">
        <v>128</v>
      </c>
      <c r="R523">
        <v>16</v>
      </c>
      <c r="S523">
        <v>19</v>
      </c>
      <c r="T523">
        <v>7</v>
      </c>
      <c r="U523">
        <v>1</v>
      </c>
      <c r="V523">
        <v>6</v>
      </c>
      <c r="W523">
        <v>33</v>
      </c>
      <c r="X523">
        <v>60</v>
      </c>
      <c r="Y523">
        <v>20</v>
      </c>
      <c r="Z523">
        <v>7</v>
      </c>
      <c r="AA523">
        <v>1</v>
      </c>
      <c r="AB523">
        <v>1</v>
      </c>
      <c r="AC523">
        <v>35</v>
      </c>
      <c r="AD523">
        <v>0</v>
      </c>
      <c r="AE523">
        <v>1</v>
      </c>
      <c r="AF523">
        <v>3</v>
      </c>
      <c r="AG523">
        <v>0</v>
      </c>
      <c r="AH523">
        <v>0</v>
      </c>
      <c r="AI523" s="5">
        <v>0.25800000000000001</v>
      </c>
      <c r="AJ523" s="5">
        <v>0.29899999999999999</v>
      </c>
      <c r="AK523" s="5">
        <v>0.46899999999999997</v>
      </c>
      <c r="AL523" s="5">
        <v>0.254</v>
      </c>
      <c r="AM523" s="5">
        <v>0.30399999999999999</v>
      </c>
      <c r="AN523">
        <v>-0.3</v>
      </c>
      <c r="AO523">
        <v>-0.91</v>
      </c>
      <c r="AP523">
        <v>3.65</v>
      </c>
      <c r="AQ523">
        <v>-0.79</v>
      </c>
      <c r="AR523">
        <v>0.1</v>
      </c>
      <c r="AS523" t="s">
        <v>2199</v>
      </c>
      <c r="AT523">
        <v>0.2</v>
      </c>
      <c r="AU523">
        <v>1.7</v>
      </c>
      <c r="AV523">
        <v>7</v>
      </c>
      <c r="AW523">
        <v>15</v>
      </c>
      <c r="AX523">
        <v>6</v>
      </c>
      <c r="AY523">
        <v>15</v>
      </c>
      <c r="AZ523" t="s">
        <v>4307</v>
      </c>
      <c r="BA523">
        <v>32</v>
      </c>
      <c r="BB523" t="s">
        <v>35</v>
      </c>
      <c r="BC523" t="s">
        <v>35</v>
      </c>
      <c r="BD523" s="4">
        <f>HYPERLINK("http://mlb.mlb.com/team/player.jsp?player_id=650391",650391)</f>
        <v>650391</v>
      </c>
      <c r="BE523">
        <v>648</v>
      </c>
      <c r="BF523">
        <v>1648</v>
      </c>
      <c r="BG523">
        <v>0</v>
      </c>
      <c r="BH523">
        <v>0</v>
      </c>
    </row>
    <row r="524" spans="1:60" x14ac:dyDescent="0.3">
      <c r="A524" s="4">
        <f>HYPERLINK("http://legacy.baseballprospectus.com/p/102572",102572)</f>
        <v>102572</v>
      </c>
      <c r="B524" t="s">
        <v>490</v>
      </c>
      <c r="C524" t="s">
        <v>113</v>
      </c>
      <c r="D524" s="10">
        <v>33632</v>
      </c>
      <c r="E524" t="s">
        <v>51</v>
      </c>
      <c r="F524" t="s">
        <v>33</v>
      </c>
      <c r="G524" t="s">
        <v>33</v>
      </c>
      <c r="H524">
        <v>74</v>
      </c>
      <c r="I524">
        <v>215</v>
      </c>
      <c r="J524">
        <v>2018</v>
      </c>
      <c r="K524" s="4" t="str">
        <f>HYPERLINK("http://legacy.baseballprospectus.com/fantasy/dc/index.php?tm=CIN","CIN")</f>
        <v>CIN</v>
      </c>
      <c r="L524" t="s">
        <v>100</v>
      </c>
      <c r="M524" t="s">
        <v>34</v>
      </c>
      <c r="N524">
        <v>26</v>
      </c>
      <c r="O524">
        <v>166</v>
      </c>
      <c r="P524">
        <v>80</v>
      </c>
      <c r="Q524">
        <v>153</v>
      </c>
      <c r="R524">
        <v>22</v>
      </c>
      <c r="S524">
        <v>21</v>
      </c>
      <c r="T524">
        <v>7</v>
      </c>
      <c r="U524">
        <v>1</v>
      </c>
      <c r="V524">
        <v>7</v>
      </c>
      <c r="W524">
        <v>36</v>
      </c>
      <c r="X524">
        <v>66</v>
      </c>
      <c r="Y524">
        <v>21</v>
      </c>
      <c r="Z524">
        <v>10</v>
      </c>
      <c r="AA524">
        <v>1</v>
      </c>
      <c r="AB524">
        <v>2</v>
      </c>
      <c r="AC524">
        <v>51</v>
      </c>
      <c r="AD524">
        <v>0</v>
      </c>
      <c r="AE524">
        <v>1</v>
      </c>
      <c r="AF524">
        <v>3</v>
      </c>
      <c r="AG524">
        <v>4</v>
      </c>
      <c r="AH524">
        <v>2</v>
      </c>
      <c r="AI524" s="5">
        <v>0.23499999999999999</v>
      </c>
      <c r="AJ524" s="5">
        <v>0.28899999999999998</v>
      </c>
      <c r="AK524" s="5">
        <v>0.43099999999999999</v>
      </c>
      <c r="AL524" s="5">
        <v>0.24299999999999999</v>
      </c>
      <c r="AM524" s="5">
        <v>0.30399999999999999</v>
      </c>
      <c r="AN524">
        <v>0.3</v>
      </c>
      <c r="AO524">
        <v>-0.42</v>
      </c>
      <c r="AP524">
        <v>4.46</v>
      </c>
      <c r="AQ524">
        <v>-3</v>
      </c>
      <c r="AR524">
        <v>0.7</v>
      </c>
      <c r="AS524" t="s">
        <v>4017</v>
      </c>
      <c r="AT524">
        <v>0.2</v>
      </c>
      <c r="AU524">
        <v>1.3</v>
      </c>
      <c r="AV524">
        <v>5</v>
      </c>
      <c r="AW524">
        <v>17</v>
      </c>
      <c r="AX524">
        <v>8</v>
      </c>
      <c r="AY524">
        <v>21</v>
      </c>
      <c r="AZ524" t="s">
        <v>4123</v>
      </c>
      <c r="BA524">
        <v>31</v>
      </c>
      <c r="BB524" t="s">
        <v>35</v>
      </c>
      <c r="BC524" t="s">
        <v>35</v>
      </c>
      <c r="BD524" s="4">
        <f>HYPERLINK("http://mlb.mlb.com/team/player.jsp?player_id=641525",641525)</f>
        <v>641525</v>
      </c>
      <c r="BE524">
        <v>0</v>
      </c>
      <c r="BF524">
        <v>0</v>
      </c>
      <c r="BG524">
        <v>0</v>
      </c>
      <c r="BH524">
        <v>0</v>
      </c>
    </row>
    <row r="525" spans="1:60" x14ac:dyDescent="0.3">
      <c r="A525" s="4">
        <f>HYPERLINK("http://legacy.baseballprospectus.com/p/103523",103523)</f>
        <v>103523</v>
      </c>
      <c r="B525" t="s">
        <v>4381</v>
      </c>
      <c r="C525" t="s">
        <v>181</v>
      </c>
      <c r="D525" s="10">
        <v>33210</v>
      </c>
      <c r="E525" t="s">
        <v>59</v>
      </c>
      <c r="F525" t="s">
        <v>9</v>
      </c>
      <c r="G525" t="s">
        <v>9</v>
      </c>
      <c r="H525">
        <v>74</v>
      </c>
      <c r="I525">
        <v>200</v>
      </c>
      <c r="J525">
        <v>2018</v>
      </c>
      <c r="K525" s="4" t="str">
        <f>HYPERLINK("http://legacy.baseballprospectus.com/fantasy/dc/index.php?tm=COL","COL")</f>
        <v>COL</v>
      </c>
      <c r="L525" t="s">
        <v>100</v>
      </c>
      <c r="M525" t="s">
        <v>34</v>
      </c>
      <c r="N525">
        <v>27</v>
      </c>
      <c r="O525">
        <v>122</v>
      </c>
      <c r="P525">
        <v>38</v>
      </c>
      <c r="Q525">
        <v>110</v>
      </c>
      <c r="R525">
        <v>14</v>
      </c>
      <c r="S525">
        <v>20</v>
      </c>
      <c r="T525">
        <v>5</v>
      </c>
      <c r="U525">
        <v>1</v>
      </c>
      <c r="V525">
        <v>2</v>
      </c>
      <c r="W525">
        <v>28</v>
      </c>
      <c r="X525">
        <v>41</v>
      </c>
      <c r="Y525">
        <v>11</v>
      </c>
      <c r="Z525">
        <v>10</v>
      </c>
      <c r="AA525">
        <v>1</v>
      </c>
      <c r="AB525">
        <v>1</v>
      </c>
      <c r="AC525">
        <v>23</v>
      </c>
      <c r="AD525">
        <v>1</v>
      </c>
      <c r="AE525">
        <v>1</v>
      </c>
      <c r="AF525">
        <v>3</v>
      </c>
      <c r="AG525">
        <v>4</v>
      </c>
      <c r="AH525">
        <v>2</v>
      </c>
      <c r="AI525" s="5">
        <v>0.255</v>
      </c>
      <c r="AJ525" s="5">
        <v>0.32</v>
      </c>
      <c r="AK525" s="5">
        <v>0.373</v>
      </c>
      <c r="AL525" s="5">
        <v>0.24299999999999999</v>
      </c>
      <c r="AM525" s="5">
        <v>0.313</v>
      </c>
      <c r="AN525">
        <v>0.1</v>
      </c>
      <c r="AO525">
        <v>-0.33</v>
      </c>
      <c r="AP525">
        <v>3.28</v>
      </c>
      <c r="AQ525">
        <v>-2.2200000000000002</v>
      </c>
      <c r="AR525">
        <v>0.7</v>
      </c>
      <c r="AS525" t="s">
        <v>1543</v>
      </c>
      <c r="AT525">
        <v>0.2</v>
      </c>
      <c r="AU525">
        <v>0.8</v>
      </c>
      <c r="AV525">
        <v>2</v>
      </c>
      <c r="AW525">
        <v>15</v>
      </c>
      <c r="AX525">
        <v>5</v>
      </c>
      <c r="AY525">
        <v>11</v>
      </c>
      <c r="AZ525" t="s">
        <v>4382</v>
      </c>
      <c r="BA525">
        <v>28</v>
      </c>
      <c r="BB525" t="s">
        <v>35</v>
      </c>
      <c r="BC525" t="s">
        <v>35</v>
      </c>
      <c r="BD525" s="4">
        <f>HYPERLINK("http://mlb.mlb.com/team/player.jsp?player_id=643565",643565)</f>
        <v>643565</v>
      </c>
      <c r="BE525">
        <v>1641</v>
      </c>
      <c r="BF525">
        <v>641</v>
      </c>
      <c r="BG525">
        <v>32</v>
      </c>
      <c r="BH525">
        <v>27</v>
      </c>
    </row>
    <row r="526" spans="1:60" x14ac:dyDescent="0.3">
      <c r="A526" s="4">
        <f>HYPERLINK("http://legacy.baseballprospectus.com/p/100628",100628)</f>
        <v>100628</v>
      </c>
      <c r="B526" t="s">
        <v>574</v>
      </c>
      <c r="C526" t="s">
        <v>200</v>
      </c>
      <c r="D526" s="10">
        <v>34484</v>
      </c>
      <c r="E526" t="s">
        <v>57</v>
      </c>
      <c r="F526" t="s">
        <v>9</v>
      </c>
      <c r="G526" t="s">
        <v>33</v>
      </c>
      <c r="H526">
        <v>72</v>
      </c>
      <c r="I526">
        <v>185</v>
      </c>
      <c r="J526">
        <v>2018</v>
      </c>
      <c r="K526" s="4" t="str">
        <f>HYPERLINK("http://legacy.baseballprospectus.com/fantasy/dc/index.php?tm=MIL","MIL")</f>
        <v>MIL</v>
      </c>
      <c r="L526" t="s">
        <v>100</v>
      </c>
      <c r="M526" t="s">
        <v>34</v>
      </c>
      <c r="N526">
        <v>24</v>
      </c>
      <c r="O526">
        <v>78</v>
      </c>
      <c r="P526">
        <v>34</v>
      </c>
      <c r="Q526">
        <v>70</v>
      </c>
      <c r="R526">
        <v>10</v>
      </c>
      <c r="S526">
        <v>10</v>
      </c>
      <c r="T526">
        <v>3</v>
      </c>
      <c r="U526">
        <v>1</v>
      </c>
      <c r="V526">
        <v>3</v>
      </c>
      <c r="W526">
        <v>17</v>
      </c>
      <c r="X526">
        <v>31</v>
      </c>
      <c r="Y526">
        <v>10</v>
      </c>
      <c r="Z526">
        <v>7</v>
      </c>
      <c r="AA526">
        <v>1</v>
      </c>
      <c r="AB526">
        <v>1</v>
      </c>
      <c r="AC526">
        <v>25</v>
      </c>
      <c r="AD526">
        <v>0</v>
      </c>
      <c r="AE526">
        <v>0</v>
      </c>
      <c r="AF526">
        <v>2</v>
      </c>
      <c r="AG526">
        <v>1</v>
      </c>
      <c r="AH526">
        <v>0</v>
      </c>
      <c r="AI526" s="5">
        <v>0.24299999999999999</v>
      </c>
      <c r="AJ526" s="5">
        <v>0.32100000000000001</v>
      </c>
      <c r="AK526" s="5">
        <v>0.443</v>
      </c>
      <c r="AL526" s="5">
        <v>0.252</v>
      </c>
      <c r="AM526" s="5">
        <v>0.32</v>
      </c>
      <c r="AN526">
        <v>0.2</v>
      </c>
      <c r="AO526">
        <v>-0.3</v>
      </c>
      <c r="AP526">
        <v>2.09</v>
      </c>
      <c r="AQ526">
        <v>-0.63</v>
      </c>
      <c r="AR526">
        <v>0.3</v>
      </c>
      <c r="AS526" t="s">
        <v>3984</v>
      </c>
      <c r="AT526">
        <v>0.2</v>
      </c>
      <c r="AU526">
        <v>1.3</v>
      </c>
      <c r="AV526">
        <v>6</v>
      </c>
      <c r="AW526">
        <v>20</v>
      </c>
      <c r="AX526">
        <v>10</v>
      </c>
      <c r="AY526">
        <v>23</v>
      </c>
      <c r="AZ526" t="s">
        <v>4204</v>
      </c>
      <c r="BA526">
        <v>43</v>
      </c>
      <c r="BB526" t="s">
        <v>35</v>
      </c>
      <c r="BC526" t="s">
        <v>35</v>
      </c>
      <c r="BD526" s="4">
        <f>HYPERLINK("http://mlb.mlb.com/team/player.jsp?player_id=621433",621433)</f>
        <v>621433</v>
      </c>
      <c r="BE526">
        <v>1630</v>
      </c>
      <c r="BF526">
        <v>630</v>
      </c>
      <c r="BG526">
        <v>98</v>
      </c>
      <c r="BH526">
        <v>87</v>
      </c>
    </row>
    <row r="527" spans="1:60" x14ac:dyDescent="0.3">
      <c r="A527" s="4">
        <f>HYPERLINK("http://legacy.baseballprospectus.com/p/100349",100349)</f>
        <v>100349</v>
      </c>
      <c r="B527" t="s">
        <v>1919</v>
      </c>
      <c r="C527" t="s">
        <v>218</v>
      </c>
      <c r="D527" s="10">
        <v>34760</v>
      </c>
      <c r="E527" t="s">
        <v>51</v>
      </c>
      <c r="F527" t="s">
        <v>33</v>
      </c>
      <c r="G527" t="s">
        <v>33</v>
      </c>
      <c r="H527">
        <v>72</v>
      </c>
      <c r="I527">
        <v>215</v>
      </c>
      <c r="J527">
        <v>2018</v>
      </c>
      <c r="K527" s="4" t="str">
        <f>HYPERLINK("http://legacy.baseballprospectus.com/fantasy/dc/index.php?tm=NYA","NYA")</f>
        <v>NYA</v>
      </c>
      <c r="L527" t="s">
        <v>95</v>
      </c>
      <c r="M527" t="s">
        <v>34</v>
      </c>
      <c r="N527">
        <v>23</v>
      </c>
      <c r="O527">
        <v>167</v>
      </c>
      <c r="P527">
        <v>51</v>
      </c>
      <c r="Q527">
        <v>155</v>
      </c>
      <c r="R527">
        <v>19</v>
      </c>
      <c r="S527">
        <v>25</v>
      </c>
      <c r="T527">
        <v>8</v>
      </c>
      <c r="U527">
        <v>1</v>
      </c>
      <c r="V527">
        <v>6</v>
      </c>
      <c r="W527">
        <v>40</v>
      </c>
      <c r="X527">
        <v>68</v>
      </c>
      <c r="Y527">
        <v>21</v>
      </c>
      <c r="Z527">
        <v>9</v>
      </c>
      <c r="AA527">
        <v>1</v>
      </c>
      <c r="AB527">
        <v>1</v>
      </c>
      <c r="AC527">
        <v>33</v>
      </c>
      <c r="AD527">
        <v>0</v>
      </c>
      <c r="AE527">
        <v>1</v>
      </c>
      <c r="AF527">
        <v>4</v>
      </c>
      <c r="AG527">
        <v>1</v>
      </c>
      <c r="AH527">
        <v>0</v>
      </c>
      <c r="AI527" s="5">
        <v>0.25800000000000001</v>
      </c>
      <c r="AJ527" s="5">
        <v>0.30099999999999999</v>
      </c>
      <c r="AK527" s="5">
        <v>0.439</v>
      </c>
      <c r="AL527" s="5">
        <v>0.252</v>
      </c>
      <c r="AM527" s="5">
        <v>0.28599999999999998</v>
      </c>
      <c r="AN527">
        <v>-0.2</v>
      </c>
      <c r="AO527">
        <v>0.15</v>
      </c>
      <c r="AP527">
        <v>4.4800000000000004</v>
      </c>
      <c r="AQ527">
        <v>-1.48</v>
      </c>
      <c r="AR527">
        <v>-1.3</v>
      </c>
      <c r="AS527" t="s">
        <v>56</v>
      </c>
      <c r="AT527">
        <v>0.2</v>
      </c>
      <c r="AU527">
        <v>2.9</v>
      </c>
      <c r="AV527">
        <v>3</v>
      </c>
      <c r="AW527">
        <v>31</v>
      </c>
      <c r="AX527">
        <v>7</v>
      </c>
      <c r="AY527">
        <v>20</v>
      </c>
      <c r="AZ527" t="s">
        <v>4207</v>
      </c>
      <c r="BA527">
        <v>52</v>
      </c>
      <c r="BB527" t="s">
        <v>35</v>
      </c>
      <c r="BC527" t="s">
        <v>35</v>
      </c>
      <c r="BD527" s="4">
        <f>HYPERLINK("http://mlb.mlb.com/team/player.jsp?player_id=609280",609280)</f>
        <v>609280</v>
      </c>
      <c r="BE527">
        <v>484</v>
      </c>
      <c r="BF527">
        <v>1484</v>
      </c>
      <c r="BG527">
        <v>8</v>
      </c>
      <c r="BH527">
        <v>7</v>
      </c>
    </row>
    <row r="528" spans="1:60" x14ac:dyDescent="0.3">
      <c r="A528" s="4">
        <f>HYPERLINK("http://legacy.baseballprospectus.com/p/100663",100663)</f>
        <v>100663</v>
      </c>
      <c r="B528" t="s">
        <v>1842</v>
      </c>
      <c r="C528" t="s">
        <v>458</v>
      </c>
      <c r="D528" s="10">
        <v>34102</v>
      </c>
      <c r="E528" t="s">
        <v>53</v>
      </c>
      <c r="F528" t="s">
        <v>37</v>
      </c>
      <c r="G528" t="s">
        <v>33</v>
      </c>
      <c r="H528">
        <v>70</v>
      </c>
      <c r="I528">
        <v>185</v>
      </c>
      <c r="J528">
        <v>2018</v>
      </c>
      <c r="K528" s="4" t="str">
        <f>HYPERLINK("http://legacy.baseballprospectus.com/fantasy/dc/index.php?tm=PIT","PIT")</f>
        <v>PIT</v>
      </c>
      <c r="L528" t="s">
        <v>100</v>
      </c>
      <c r="M528" t="s">
        <v>34</v>
      </c>
      <c r="N528">
        <v>25</v>
      </c>
      <c r="O528">
        <v>62</v>
      </c>
      <c r="P528">
        <v>19</v>
      </c>
      <c r="Q528">
        <v>53</v>
      </c>
      <c r="R528">
        <v>7</v>
      </c>
      <c r="S528">
        <v>8</v>
      </c>
      <c r="T528">
        <v>2</v>
      </c>
      <c r="U528">
        <v>0</v>
      </c>
      <c r="V528">
        <v>2</v>
      </c>
      <c r="W528">
        <v>12</v>
      </c>
      <c r="X528">
        <v>20</v>
      </c>
      <c r="Y528">
        <v>7</v>
      </c>
      <c r="Z528">
        <v>8</v>
      </c>
      <c r="AA528">
        <v>0</v>
      </c>
      <c r="AB528">
        <v>0</v>
      </c>
      <c r="AC528">
        <v>16</v>
      </c>
      <c r="AD528">
        <v>1</v>
      </c>
      <c r="AE528">
        <v>0</v>
      </c>
      <c r="AF528">
        <v>1</v>
      </c>
      <c r="AG528">
        <v>1</v>
      </c>
      <c r="AH528">
        <v>1</v>
      </c>
      <c r="AI528" s="5">
        <v>0.22600000000000001</v>
      </c>
      <c r="AJ528" s="5">
        <v>0.32800000000000001</v>
      </c>
      <c r="AK528" s="5">
        <v>0.377</v>
      </c>
      <c r="AL528" s="5">
        <v>0.25700000000000001</v>
      </c>
      <c r="AM528" s="5">
        <v>0.3</v>
      </c>
      <c r="AN528">
        <v>-0.1</v>
      </c>
      <c r="AO528">
        <v>0.37</v>
      </c>
      <c r="AP528">
        <v>1.66</v>
      </c>
      <c r="AQ528">
        <v>-0.21</v>
      </c>
      <c r="AR528">
        <v>0.7</v>
      </c>
      <c r="AS528" t="s">
        <v>1795</v>
      </c>
      <c r="AT528">
        <v>0.2</v>
      </c>
      <c r="AU528">
        <v>1.7</v>
      </c>
      <c r="AV528">
        <v>7</v>
      </c>
      <c r="AW528">
        <v>22</v>
      </c>
      <c r="AX528">
        <v>13</v>
      </c>
      <c r="AY528">
        <v>32</v>
      </c>
      <c r="AZ528" t="s">
        <v>4215</v>
      </c>
      <c r="BA528">
        <v>56</v>
      </c>
      <c r="BB528" t="s">
        <v>35</v>
      </c>
      <c r="BC528" t="s">
        <v>35</v>
      </c>
      <c r="BD528" s="4">
        <f>HYPERLINK("http://mlb.mlb.com/team/player.jsp?player_id=621559",621559)</f>
        <v>621559</v>
      </c>
      <c r="BE528">
        <v>1543</v>
      </c>
      <c r="BF528">
        <v>543</v>
      </c>
      <c r="BG528">
        <v>140</v>
      </c>
      <c r="BH528">
        <v>120</v>
      </c>
    </row>
    <row r="529" spans="1:60" x14ac:dyDescent="0.3">
      <c r="A529" s="4">
        <f>HYPERLINK("http://legacy.baseballprospectus.com/p/104096",104096)</f>
        <v>104096</v>
      </c>
      <c r="B529" t="s">
        <v>1399</v>
      </c>
      <c r="C529" t="s">
        <v>304</v>
      </c>
      <c r="D529" s="10">
        <v>35584</v>
      </c>
      <c r="E529" t="s">
        <v>53</v>
      </c>
      <c r="F529" t="s">
        <v>33</v>
      </c>
      <c r="G529" t="s">
        <v>33</v>
      </c>
      <c r="H529">
        <v>69</v>
      </c>
      <c r="I529">
        <v>160</v>
      </c>
      <c r="J529">
        <v>2018</v>
      </c>
      <c r="K529" s="4" t="str">
        <f>HYPERLINK("http://legacy.baseballprospectus.com/fantasy/dc/index.php?tm=SDN","SDN")</f>
        <v>SDN</v>
      </c>
      <c r="L529" t="s">
        <v>100</v>
      </c>
      <c r="M529" t="s">
        <v>34</v>
      </c>
      <c r="N529">
        <v>21</v>
      </c>
      <c r="O529">
        <v>66</v>
      </c>
      <c r="P529">
        <v>20</v>
      </c>
      <c r="Q529">
        <v>58</v>
      </c>
      <c r="R529">
        <v>7</v>
      </c>
      <c r="S529">
        <v>11</v>
      </c>
      <c r="T529">
        <v>3</v>
      </c>
      <c r="U529">
        <v>0</v>
      </c>
      <c r="V529">
        <v>1</v>
      </c>
      <c r="W529">
        <v>15</v>
      </c>
      <c r="X529">
        <v>21</v>
      </c>
      <c r="Y529">
        <v>7</v>
      </c>
      <c r="Z529">
        <v>6</v>
      </c>
      <c r="AA529">
        <v>0</v>
      </c>
      <c r="AB529">
        <v>1</v>
      </c>
      <c r="AC529">
        <v>10</v>
      </c>
      <c r="AD529">
        <v>1</v>
      </c>
      <c r="AE529">
        <v>0</v>
      </c>
      <c r="AF529">
        <v>2</v>
      </c>
      <c r="AG529">
        <v>0</v>
      </c>
      <c r="AH529">
        <v>0</v>
      </c>
      <c r="AI529" s="5">
        <v>0.25900000000000001</v>
      </c>
      <c r="AJ529" s="5">
        <v>0.33800000000000002</v>
      </c>
      <c r="AK529" s="5">
        <v>0.36199999999999999</v>
      </c>
      <c r="AL529" s="5">
        <v>0.25900000000000001</v>
      </c>
      <c r="AM529" s="5">
        <v>0.29299999999999998</v>
      </c>
      <c r="AN529">
        <v>-0.1</v>
      </c>
      <c r="AO529">
        <v>0.45</v>
      </c>
      <c r="AP529">
        <v>1.77</v>
      </c>
      <c r="AQ529">
        <v>-0.1</v>
      </c>
      <c r="AR529">
        <v>0.1</v>
      </c>
      <c r="AS529" t="s">
        <v>61</v>
      </c>
      <c r="AT529">
        <v>0.2</v>
      </c>
      <c r="AU529">
        <v>2</v>
      </c>
      <c r="AV529">
        <v>4</v>
      </c>
      <c r="AW529">
        <v>18</v>
      </c>
      <c r="AX529">
        <v>2</v>
      </c>
      <c r="AY529">
        <v>9</v>
      </c>
      <c r="AZ529" t="s">
        <v>3722</v>
      </c>
      <c r="BA529">
        <v>27</v>
      </c>
      <c r="BB529" t="s">
        <v>35</v>
      </c>
      <c r="BC529" t="s">
        <v>35</v>
      </c>
      <c r="BD529" s="4">
        <f>HYPERLINK("http://mlb.mlb.com/team/player.jsp?player_id=649966",649966)</f>
        <v>649966</v>
      </c>
      <c r="BE529">
        <v>1482</v>
      </c>
      <c r="BF529">
        <v>482</v>
      </c>
      <c r="BG529">
        <v>0</v>
      </c>
      <c r="BH529">
        <v>0</v>
      </c>
    </row>
    <row r="530" spans="1:60" x14ac:dyDescent="0.3">
      <c r="A530" s="4">
        <f>HYPERLINK("http://legacy.baseballprospectus.com/p/106259",106259)</f>
        <v>106259</v>
      </c>
      <c r="B530" t="s">
        <v>1741</v>
      </c>
      <c r="C530" t="s">
        <v>262</v>
      </c>
      <c r="D530" s="10">
        <v>34453</v>
      </c>
      <c r="E530" t="s">
        <v>58</v>
      </c>
      <c r="F530" t="s">
        <v>33</v>
      </c>
      <c r="G530" t="s">
        <v>33</v>
      </c>
      <c r="H530">
        <v>70</v>
      </c>
      <c r="I530">
        <v>180</v>
      </c>
      <c r="J530">
        <v>2018</v>
      </c>
      <c r="K530" s="4" t="str">
        <f>HYPERLINK("http://legacy.baseballprospectus.com/fantasy/dc/index.php?tm=PHI","PHI")</f>
        <v>PHI</v>
      </c>
      <c r="L530" t="s">
        <v>100</v>
      </c>
      <c r="M530" t="s">
        <v>34</v>
      </c>
      <c r="N530">
        <v>24</v>
      </c>
      <c r="O530">
        <v>68</v>
      </c>
      <c r="P530">
        <v>21</v>
      </c>
      <c r="Q530">
        <v>63</v>
      </c>
      <c r="R530">
        <v>9</v>
      </c>
      <c r="S530">
        <v>10</v>
      </c>
      <c r="T530">
        <v>3</v>
      </c>
      <c r="U530">
        <v>0</v>
      </c>
      <c r="V530">
        <v>2</v>
      </c>
      <c r="W530">
        <v>15</v>
      </c>
      <c r="X530">
        <v>24</v>
      </c>
      <c r="Y530">
        <v>7</v>
      </c>
      <c r="Z530">
        <v>4</v>
      </c>
      <c r="AA530">
        <v>0</v>
      </c>
      <c r="AB530">
        <v>1</v>
      </c>
      <c r="AC530">
        <v>16</v>
      </c>
      <c r="AD530">
        <v>0</v>
      </c>
      <c r="AE530">
        <v>0</v>
      </c>
      <c r="AF530">
        <v>2</v>
      </c>
      <c r="AG530">
        <v>2</v>
      </c>
      <c r="AH530">
        <v>0</v>
      </c>
      <c r="AI530" s="5">
        <v>0.23799999999999999</v>
      </c>
      <c r="AJ530" s="5">
        <v>0.29399999999999998</v>
      </c>
      <c r="AK530" s="5">
        <v>0.38100000000000001</v>
      </c>
      <c r="AL530" s="5">
        <v>0.247</v>
      </c>
      <c r="AM530" s="5">
        <v>0.29499999999999998</v>
      </c>
      <c r="AN530">
        <v>0.3</v>
      </c>
      <c r="AO530">
        <v>0.35</v>
      </c>
      <c r="AP530">
        <v>1.83</v>
      </c>
      <c r="AQ530">
        <v>-0.92</v>
      </c>
      <c r="AR530">
        <v>0.6</v>
      </c>
      <c r="AS530" t="s">
        <v>69</v>
      </c>
      <c r="AT530">
        <v>0.2</v>
      </c>
      <c r="AU530">
        <v>1.5</v>
      </c>
      <c r="AV530">
        <v>4</v>
      </c>
      <c r="AW530">
        <v>18</v>
      </c>
      <c r="AX530">
        <v>4</v>
      </c>
      <c r="AY530">
        <v>24</v>
      </c>
      <c r="AZ530" t="s">
        <v>4224</v>
      </c>
      <c r="BA530">
        <v>40</v>
      </c>
      <c r="BB530" t="s">
        <v>35</v>
      </c>
      <c r="BC530" t="s">
        <v>35</v>
      </c>
      <c r="BD530" s="4">
        <f>HYPERLINK("http://mlb.mlb.com/team/player.jsp?player_id=664068",664068)</f>
        <v>664068</v>
      </c>
      <c r="BE530">
        <v>1477</v>
      </c>
      <c r="BF530">
        <v>477</v>
      </c>
      <c r="BG530">
        <v>0</v>
      </c>
      <c r="BH530">
        <v>0</v>
      </c>
    </row>
    <row r="531" spans="1:60" x14ac:dyDescent="0.3">
      <c r="A531" s="4">
        <f>HYPERLINK("http://legacy.baseballprospectus.com/p/41409",41409)</f>
        <v>41409</v>
      </c>
      <c r="B531" t="s">
        <v>587</v>
      </c>
      <c r="C531" t="s">
        <v>102</v>
      </c>
      <c r="D531" s="10">
        <v>29693</v>
      </c>
      <c r="E531" t="s">
        <v>59</v>
      </c>
      <c r="F531" t="s">
        <v>33</v>
      </c>
      <c r="G531" t="s">
        <v>33</v>
      </c>
      <c r="H531">
        <v>72</v>
      </c>
      <c r="I531">
        <v>185</v>
      </c>
      <c r="J531">
        <v>2018</v>
      </c>
      <c r="K531" s="4" t="str">
        <f>HYPERLINK("http://legacy.baseballprospectus.com/fantasy/dc/index.php?tm=WAS","WAS")</f>
        <v>WAS</v>
      </c>
      <c r="L531" t="s">
        <v>100</v>
      </c>
      <c r="M531" t="s">
        <v>34</v>
      </c>
      <c r="N531">
        <v>37</v>
      </c>
      <c r="O531">
        <v>250</v>
      </c>
      <c r="P531" t="s">
        <v>1680</v>
      </c>
      <c r="Q531">
        <v>220</v>
      </c>
      <c r="R531">
        <v>29</v>
      </c>
      <c r="S531">
        <v>31</v>
      </c>
      <c r="T531">
        <v>10</v>
      </c>
      <c r="U531">
        <v>1</v>
      </c>
      <c r="V531">
        <v>9</v>
      </c>
      <c r="W531">
        <v>51</v>
      </c>
      <c r="X531">
        <v>90</v>
      </c>
      <c r="Y531">
        <v>33</v>
      </c>
      <c r="Z531">
        <v>25</v>
      </c>
      <c r="AA531">
        <v>1</v>
      </c>
      <c r="AB531">
        <v>3</v>
      </c>
      <c r="AC531">
        <v>70</v>
      </c>
      <c r="AD531">
        <v>0</v>
      </c>
      <c r="AE531">
        <v>2</v>
      </c>
      <c r="AF531">
        <v>6</v>
      </c>
      <c r="AG531">
        <v>0</v>
      </c>
      <c r="AH531">
        <v>0</v>
      </c>
      <c r="AI531" s="5">
        <v>0.23599999999999999</v>
      </c>
      <c r="AJ531" s="5">
        <v>0.31900000000000001</v>
      </c>
      <c r="AK531" s="5">
        <v>0.41899999999999998</v>
      </c>
      <c r="AL531" s="5">
        <v>0.245</v>
      </c>
      <c r="AM531" s="5">
        <v>0.29699999999999999</v>
      </c>
      <c r="AN531">
        <v>0.6</v>
      </c>
      <c r="AO531">
        <v>0.31</v>
      </c>
      <c r="AP531">
        <v>7</v>
      </c>
      <c r="AQ531">
        <v>-3.95</v>
      </c>
      <c r="AR531">
        <v>-2.8</v>
      </c>
      <c r="AS531" t="s">
        <v>4071</v>
      </c>
      <c r="AT531">
        <v>0.1</v>
      </c>
      <c r="AU531">
        <v>3.9</v>
      </c>
      <c r="AV531">
        <v>1</v>
      </c>
      <c r="AW531">
        <v>22</v>
      </c>
      <c r="AX531">
        <v>13</v>
      </c>
      <c r="AY531">
        <v>17</v>
      </c>
      <c r="AZ531" t="s">
        <v>4131</v>
      </c>
      <c r="BA531">
        <v>73</v>
      </c>
      <c r="BB531" t="s">
        <v>36</v>
      </c>
      <c r="BC531" t="s">
        <v>36</v>
      </c>
      <c r="BD531" s="4">
        <f>HYPERLINK("http://mlb.mlb.com/team/player.jsp?player_id=430605",430605)</f>
        <v>430605</v>
      </c>
      <c r="BE531">
        <v>0</v>
      </c>
      <c r="BF531">
        <v>0</v>
      </c>
      <c r="BG531">
        <v>69</v>
      </c>
      <c r="BH531">
        <v>65</v>
      </c>
    </row>
    <row r="532" spans="1:60" x14ac:dyDescent="0.3">
      <c r="A532" s="4">
        <f>HYPERLINK("http://legacy.baseballprospectus.com/p/43102",43102)</f>
        <v>43102</v>
      </c>
      <c r="B532" t="s">
        <v>642</v>
      </c>
      <c r="C532" t="s">
        <v>643</v>
      </c>
      <c r="D532" s="10">
        <v>30336</v>
      </c>
      <c r="E532" t="s">
        <v>54</v>
      </c>
      <c r="F532" t="s">
        <v>33</v>
      </c>
      <c r="G532" t="s">
        <v>33</v>
      </c>
      <c r="H532">
        <v>73</v>
      </c>
      <c r="I532">
        <v>225</v>
      </c>
      <c r="J532">
        <v>2018</v>
      </c>
      <c r="K532" s="4" t="str">
        <f>HYPERLINK("http://legacy.baseballprospectus.com/fantasy/dc/index.php?tm=CHA","CHA")</f>
        <v>CHA</v>
      </c>
      <c r="L532" t="s">
        <v>95</v>
      </c>
      <c r="M532" t="s">
        <v>34</v>
      </c>
      <c r="N532">
        <v>35</v>
      </c>
      <c r="O532">
        <v>250</v>
      </c>
      <c r="P532" t="s">
        <v>1680</v>
      </c>
      <c r="Q532">
        <v>223</v>
      </c>
      <c r="R532">
        <v>29</v>
      </c>
      <c r="S532">
        <v>30</v>
      </c>
      <c r="T532">
        <v>11</v>
      </c>
      <c r="U532">
        <v>0</v>
      </c>
      <c r="V532">
        <v>10</v>
      </c>
      <c r="W532">
        <v>51</v>
      </c>
      <c r="X532">
        <v>92</v>
      </c>
      <c r="Y532">
        <v>32</v>
      </c>
      <c r="Z532">
        <v>23</v>
      </c>
      <c r="AA532">
        <v>0</v>
      </c>
      <c r="AB532">
        <v>2</v>
      </c>
      <c r="AC532">
        <v>72</v>
      </c>
      <c r="AD532">
        <v>2</v>
      </c>
      <c r="AE532">
        <v>1</v>
      </c>
      <c r="AF532">
        <v>7</v>
      </c>
      <c r="AG532">
        <v>0</v>
      </c>
      <c r="AH532">
        <v>0</v>
      </c>
      <c r="AI532" s="5">
        <v>0.22900000000000001</v>
      </c>
      <c r="AJ532" s="5">
        <v>0.30399999999999999</v>
      </c>
      <c r="AK532" s="5">
        <v>0.41699999999999998</v>
      </c>
      <c r="AL532" s="5">
        <v>0.24</v>
      </c>
      <c r="AM532" s="5">
        <v>0.28499999999999998</v>
      </c>
      <c r="AN532">
        <v>-0.4</v>
      </c>
      <c r="AO532">
        <v>5.44</v>
      </c>
      <c r="AP532">
        <v>7</v>
      </c>
      <c r="AQ532">
        <v>-5.15</v>
      </c>
      <c r="AR532">
        <v>-6.2</v>
      </c>
      <c r="AS532" t="s">
        <v>2182</v>
      </c>
      <c r="AT532">
        <v>0.1</v>
      </c>
      <c r="AU532">
        <v>6.9</v>
      </c>
      <c r="AV532">
        <v>1</v>
      </c>
      <c r="AW532">
        <v>25</v>
      </c>
      <c r="AX532">
        <v>19</v>
      </c>
      <c r="AY532">
        <v>23</v>
      </c>
      <c r="AZ532" t="s">
        <v>4225</v>
      </c>
      <c r="BA532">
        <v>82</v>
      </c>
      <c r="BB532" t="s">
        <v>36</v>
      </c>
      <c r="BC532" t="s">
        <v>36</v>
      </c>
      <c r="BD532" s="4">
        <f>HYPERLINK("http://mlb.mlb.com/team/player.jsp?player_id=434567",434567)</f>
        <v>434567</v>
      </c>
      <c r="BE532">
        <v>0</v>
      </c>
      <c r="BF532">
        <v>0</v>
      </c>
      <c r="BG532">
        <v>48</v>
      </c>
      <c r="BH532">
        <v>42</v>
      </c>
    </row>
    <row r="533" spans="1:60" x14ac:dyDescent="0.3">
      <c r="A533" s="4">
        <f>HYPERLINK("http://legacy.baseballprospectus.com/p/43258",43258)</f>
        <v>43258</v>
      </c>
      <c r="B533" t="s">
        <v>652</v>
      </c>
      <c r="C533" t="s">
        <v>234</v>
      </c>
      <c r="D533" s="10">
        <v>30001</v>
      </c>
      <c r="E533" t="s">
        <v>54</v>
      </c>
      <c r="F533" t="s">
        <v>33</v>
      </c>
      <c r="G533" t="s">
        <v>33</v>
      </c>
      <c r="H533">
        <v>76</v>
      </c>
      <c r="I533">
        <v>200</v>
      </c>
      <c r="J533">
        <v>2018</v>
      </c>
      <c r="K533" s="4" t="str">
        <f>HYPERLINK("http://legacy.baseballprospectus.com/fantasy/dc/index.php?tm=ATL","ATL")</f>
        <v>ATL</v>
      </c>
      <c r="L533" t="s">
        <v>100</v>
      </c>
      <c r="M533" t="s">
        <v>34</v>
      </c>
      <c r="N533">
        <v>36</v>
      </c>
      <c r="O533">
        <v>250</v>
      </c>
      <c r="P533" t="s">
        <v>1680</v>
      </c>
      <c r="Q533">
        <v>222</v>
      </c>
      <c r="R533">
        <v>22</v>
      </c>
      <c r="S533">
        <v>41</v>
      </c>
      <c r="T533">
        <v>8</v>
      </c>
      <c r="U533">
        <v>1</v>
      </c>
      <c r="V533">
        <v>2</v>
      </c>
      <c r="W533">
        <v>52</v>
      </c>
      <c r="X533">
        <v>68</v>
      </c>
      <c r="Y533">
        <v>20</v>
      </c>
      <c r="Z533">
        <v>20</v>
      </c>
      <c r="AA533">
        <v>1</v>
      </c>
      <c r="AB533">
        <v>4</v>
      </c>
      <c r="AC533">
        <v>40</v>
      </c>
      <c r="AD533">
        <v>3</v>
      </c>
      <c r="AE533">
        <v>2</v>
      </c>
      <c r="AF533">
        <v>6</v>
      </c>
      <c r="AG533">
        <v>0</v>
      </c>
      <c r="AH533">
        <v>0</v>
      </c>
      <c r="AI533" s="5">
        <v>0.23799999999999999</v>
      </c>
      <c r="AJ533" s="5">
        <v>0.309</v>
      </c>
      <c r="AK533" s="5">
        <v>0.313</v>
      </c>
      <c r="AL533" s="5">
        <v>0.216</v>
      </c>
      <c r="AM533" s="5">
        <v>0.27300000000000002</v>
      </c>
      <c r="AN533">
        <v>0.3</v>
      </c>
      <c r="AO533">
        <v>5.51</v>
      </c>
      <c r="AP533">
        <v>7</v>
      </c>
      <c r="AQ533">
        <v>-11.66</v>
      </c>
      <c r="AR533">
        <v>-0.3</v>
      </c>
      <c r="AS533" t="s">
        <v>55</v>
      </c>
      <c r="AT533">
        <v>0.1</v>
      </c>
      <c r="AU533">
        <v>1.1000000000000001</v>
      </c>
      <c r="AV533">
        <v>0</v>
      </c>
      <c r="AW533">
        <v>23</v>
      </c>
      <c r="AX533">
        <v>11</v>
      </c>
      <c r="AY533">
        <v>31</v>
      </c>
      <c r="AZ533" t="s">
        <v>4226</v>
      </c>
      <c r="BA533">
        <v>74</v>
      </c>
      <c r="BB533" t="s">
        <v>36</v>
      </c>
      <c r="BC533" t="s">
        <v>36</v>
      </c>
      <c r="BD533" s="4">
        <f>HYPERLINK("http://mlb.mlb.com/team/player.jsp?player_id=455755",455755)</f>
        <v>455755</v>
      </c>
      <c r="BE533">
        <v>0</v>
      </c>
      <c r="BF533">
        <v>0</v>
      </c>
      <c r="BG533">
        <v>144</v>
      </c>
      <c r="BH533">
        <v>131</v>
      </c>
    </row>
    <row r="534" spans="1:60" x14ac:dyDescent="0.3">
      <c r="A534" s="4">
        <f>HYPERLINK("http://legacy.baseballprospectus.com/p/45374",45374)</f>
        <v>45374</v>
      </c>
      <c r="B534" t="s">
        <v>674</v>
      </c>
      <c r="C534" t="s">
        <v>1288</v>
      </c>
      <c r="D534" s="10">
        <v>30915</v>
      </c>
      <c r="E534" t="s">
        <v>59</v>
      </c>
      <c r="F534" t="s">
        <v>33</v>
      </c>
      <c r="G534" t="s">
        <v>33</v>
      </c>
      <c r="H534">
        <v>75</v>
      </c>
      <c r="I534">
        <v>185</v>
      </c>
      <c r="J534">
        <v>2018</v>
      </c>
      <c r="K534" s="4" t="str">
        <f>HYPERLINK("http://legacy.baseballprospectus.com/fantasy/dc/index.php?tm=SFN","SFN")</f>
        <v>SFN</v>
      </c>
      <c r="L534" t="s">
        <v>95</v>
      </c>
      <c r="M534" t="s">
        <v>34</v>
      </c>
      <c r="N534">
        <v>33</v>
      </c>
      <c r="O534">
        <v>250</v>
      </c>
      <c r="P534" t="s">
        <v>1680</v>
      </c>
      <c r="Q534">
        <v>224</v>
      </c>
      <c r="R534">
        <v>29</v>
      </c>
      <c r="S534">
        <v>32</v>
      </c>
      <c r="T534">
        <v>9</v>
      </c>
      <c r="U534">
        <v>1</v>
      </c>
      <c r="V534">
        <v>7</v>
      </c>
      <c r="W534">
        <v>49</v>
      </c>
      <c r="X534">
        <v>81</v>
      </c>
      <c r="Y534">
        <v>26</v>
      </c>
      <c r="Z534">
        <v>23</v>
      </c>
      <c r="AA534">
        <v>1</v>
      </c>
      <c r="AB534">
        <v>1</v>
      </c>
      <c r="AC534">
        <v>76</v>
      </c>
      <c r="AD534">
        <v>1</v>
      </c>
      <c r="AE534">
        <v>2</v>
      </c>
      <c r="AF534">
        <v>5</v>
      </c>
      <c r="AG534">
        <v>10</v>
      </c>
      <c r="AH534">
        <v>3</v>
      </c>
      <c r="AI534" s="5">
        <v>0.218</v>
      </c>
      <c r="AJ534" s="5">
        <v>0.29099999999999998</v>
      </c>
      <c r="AK534" s="5">
        <v>0.36299999999999999</v>
      </c>
      <c r="AL534" s="5">
        <v>0.222</v>
      </c>
      <c r="AM534" s="5">
        <v>0.29299999999999998</v>
      </c>
      <c r="AN534">
        <v>1.1000000000000001</v>
      </c>
      <c r="AO534">
        <v>2.06</v>
      </c>
      <c r="AP534">
        <v>7</v>
      </c>
      <c r="AQ534">
        <v>-9.93</v>
      </c>
      <c r="AR534">
        <v>0.5</v>
      </c>
      <c r="AS534" t="s">
        <v>4862</v>
      </c>
      <c r="AT534">
        <v>0.1</v>
      </c>
      <c r="AU534">
        <v>0.2</v>
      </c>
      <c r="AV534">
        <v>3</v>
      </c>
      <c r="AW534">
        <v>36</v>
      </c>
      <c r="AX534">
        <v>13</v>
      </c>
      <c r="AY534">
        <v>25</v>
      </c>
      <c r="AZ534" t="s">
        <v>4227</v>
      </c>
      <c r="BA534">
        <v>81</v>
      </c>
      <c r="BB534" t="s">
        <v>36</v>
      </c>
      <c r="BC534" t="s">
        <v>36</v>
      </c>
      <c r="BD534" s="4">
        <f>HYPERLINK("http://mlb.mlb.com/team/player.jsp?player_id=425834",425834)</f>
        <v>425834</v>
      </c>
      <c r="BE534">
        <v>0</v>
      </c>
      <c r="BF534">
        <v>0</v>
      </c>
      <c r="BG534">
        <v>0</v>
      </c>
      <c r="BH534">
        <v>0</v>
      </c>
    </row>
    <row r="535" spans="1:60" x14ac:dyDescent="0.3">
      <c r="A535" s="4">
        <f>HYPERLINK("http://legacy.baseballprospectus.com/p/45606",45606)</f>
        <v>45606</v>
      </c>
      <c r="B535" t="s">
        <v>210</v>
      </c>
      <c r="C535" t="s">
        <v>308</v>
      </c>
      <c r="D535" s="10">
        <v>30391</v>
      </c>
      <c r="E535" t="s">
        <v>58</v>
      </c>
      <c r="F535" t="s">
        <v>9</v>
      </c>
      <c r="G535" t="s">
        <v>33</v>
      </c>
      <c r="H535">
        <v>72</v>
      </c>
      <c r="I535">
        <v>200</v>
      </c>
      <c r="J535">
        <v>2018</v>
      </c>
      <c r="K535" s="4" t="str">
        <f>HYPERLINK("http://legacy.baseballprospectus.com/fantasy/dc/index.php?tm=WAS","WAS")</f>
        <v>WAS</v>
      </c>
      <c r="L535" t="s">
        <v>100</v>
      </c>
      <c r="M535" t="s">
        <v>34</v>
      </c>
      <c r="N535">
        <v>35</v>
      </c>
      <c r="O535">
        <v>250</v>
      </c>
      <c r="P535" t="s">
        <v>1680</v>
      </c>
      <c r="Q535">
        <v>222</v>
      </c>
      <c r="R535">
        <v>27</v>
      </c>
      <c r="S535">
        <v>30</v>
      </c>
      <c r="T535">
        <v>12</v>
      </c>
      <c r="U535">
        <v>1</v>
      </c>
      <c r="V535">
        <v>8</v>
      </c>
      <c r="W535">
        <v>51</v>
      </c>
      <c r="X535">
        <v>89</v>
      </c>
      <c r="Y535">
        <v>29</v>
      </c>
      <c r="Z535">
        <v>24</v>
      </c>
      <c r="AA535">
        <v>1</v>
      </c>
      <c r="AB535">
        <v>1</v>
      </c>
      <c r="AC535">
        <v>56</v>
      </c>
      <c r="AD535">
        <v>1</v>
      </c>
      <c r="AE535">
        <v>2</v>
      </c>
      <c r="AF535">
        <v>5</v>
      </c>
      <c r="AG535">
        <v>1</v>
      </c>
      <c r="AH535">
        <v>1</v>
      </c>
      <c r="AI535" s="5">
        <v>0.22700000000000001</v>
      </c>
      <c r="AJ535" s="5">
        <v>0.30199999999999999</v>
      </c>
      <c r="AK535" s="5">
        <v>0.39900000000000002</v>
      </c>
      <c r="AL535" s="5">
        <v>0.23200000000000001</v>
      </c>
      <c r="AM535" s="5">
        <v>0.26400000000000001</v>
      </c>
      <c r="AN535">
        <v>-0.9</v>
      </c>
      <c r="AO535">
        <v>3.07</v>
      </c>
      <c r="AP535">
        <v>7</v>
      </c>
      <c r="AQ535">
        <v>-7.39</v>
      </c>
      <c r="AR535">
        <v>-0.7</v>
      </c>
      <c r="AS535" t="s">
        <v>4880</v>
      </c>
      <c r="AT535">
        <v>0.1</v>
      </c>
      <c r="AU535">
        <v>1.8</v>
      </c>
      <c r="AV535">
        <v>0</v>
      </c>
      <c r="AW535">
        <v>30</v>
      </c>
      <c r="AX535">
        <v>16</v>
      </c>
      <c r="AY535">
        <v>27</v>
      </c>
      <c r="AZ535" t="s">
        <v>4228</v>
      </c>
      <c r="BA535">
        <v>75</v>
      </c>
      <c r="BB535" t="s">
        <v>36</v>
      </c>
      <c r="BC535" t="s">
        <v>36</v>
      </c>
      <c r="BD535" s="4">
        <f>HYPERLINK("http://mlb.mlb.com/team/player.jsp?player_id=452220",452220)</f>
        <v>452220</v>
      </c>
      <c r="BE535">
        <v>0</v>
      </c>
      <c r="BF535">
        <v>0</v>
      </c>
      <c r="BG535">
        <v>106</v>
      </c>
      <c r="BH535">
        <v>95</v>
      </c>
    </row>
    <row r="536" spans="1:60" x14ac:dyDescent="0.3">
      <c r="A536" s="4">
        <f>HYPERLINK("http://legacy.baseballprospectus.com/p/49200",49200)</f>
        <v>49200</v>
      </c>
      <c r="B536" t="s">
        <v>990</v>
      </c>
      <c r="C536" t="s">
        <v>247</v>
      </c>
      <c r="D536" s="10">
        <v>31192</v>
      </c>
      <c r="E536" t="s">
        <v>65</v>
      </c>
      <c r="F536" t="s">
        <v>37</v>
      </c>
      <c r="G536" t="s">
        <v>33</v>
      </c>
      <c r="H536">
        <v>70</v>
      </c>
      <c r="I536">
        <v>195</v>
      </c>
      <c r="J536">
        <v>2018</v>
      </c>
      <c r="K536" s="4" t="str">
        <f>HYPERLINK("http://legacy.baseballprospectus.com/fantasy/dc/index.php?tm=ANA","ANA")</f>
        <v>ANA</v>
      </c>
      <c r="L536" t="s">
        <v>95</v>
      </c>
      <c r="M536" t="s">
        <v>34</v>
      </c>
      <c r="N536">
        <v>33</v>
      </c>
      <c r="O536">
        <v>250</v>
      </c>
      <c r="P536" t="s">
        <v>1680</v>
      </c>
      <c r="Q536">
        <v>221</v>
      </c>
      <c r="R536">
        <v>33</v>
      </c>
      <c r="S536">
        <v>37</v>
      </c>
      <c r="T536">
        <v>9</v>
      </c>
      <c r="U536">
        <v>2</v>
      </c>
      <c r="V536">
        <v>4</v>
      </c>
      <c r="W536">
        <v>52</v>
      </c>
      <c r="X536">
        <v>77</v>
      </c>
      <c r="Y536">
        <v>19</v>
      </c>
      <c r="Z536">
        <v>20</v>
      </c>
      <c r="AA536">
        <v>1</v>
      </c>
      <c r="AB536">
        <v>3</v>
      </c>
      <c r="AC536">
        <v>49</v>
      </c>
      <c r="AD536">
        <v>4</v>
      </c>
      <c r="AE536">
        <v>1</v>
      </c>
      <c r="AF536">
        <v>6</v>
      </c>
      <c r="AG536">
        <v>15</v>
      </c>
      <c r="AH536">
        <v>4</v>
      </c>
      <c r="AI536" s="5">
        <v>0.23400000000000001</v>
      </c>
      <c r="AJ536" s="5">
        <v>0.307</v>
      </c>
      <c r="AK536" s="5">
        <v>0.34599999999999997</v>
      </c>
      <c r="AL536" s="5">
        <v>0.22500000000000001</v>
      </c>
      <c r="AM536" s="5">
        <v>0.27500000000000002</v>
      </c>
      <c r="AN536">
        <v>1.1000000000000001</v>
      </c>
      <c r="AO536">
        <v>2.0299999999999998</v>
      </c>
      <c r="AP536">
        <v>7</v>
      </c>
      <c r="AQ536">
        <v>-9.3000000000000007</v>
      </c>
      <c r="AR536">
        <v>-0.3</v>
      </c>
      <c r="AS536" t="s">
        <v>4230</v>
      </c>
      <c r="AT536">
        <v>0.1</v>
      </c>
      <c r="AU536">
        <v>0.8</v>
      </c>
      <c r="AV536">
        <v>2</v>
      </c>
      <c r="AW536">
        <v>23</v>
      </c>
      <c r="AX536">
        <v>15</v>
      </c>
      <c r="AY536">
        <v>30</v>
      </c>
      <c r="AZ536" t="s">
        <v>4231</v>
      </c>
      <c r="BA536">
        <v>67</v>
      </c>
      <c r="BB536" t="s">
        <v>36</v>
      </c>
      <c r="BC536" t="s">
        <v>36</v>
      </c>
      <c r="BD536" s="4">
        <f>HYPERLINK("http://mlb.mlb.com/team/player.jsp?player_id=458913",458913)</f>
        <v>458913</v>
      </c>
      <c r="BE536">
        <v>0</v>
      </c>
      <c r="BF536">
        <v>0</v>
      </c>
      <c r="BG536">
        <v>125</v>
      </c>
      <c r="BH536">
        <v>110</v>
      </c>
    </row>
    <row r="537" spans="1:60" x14ac:dyDescent="0.3">
      <c r="A537" s="4">
        <f>HYPERLINK("http://legacy.baseballprospectus.com/p/52499",52499)</f>
        <v>52499</v>
      </c>
      <c r="B537" t="s">
        <v>609</v>
      </c>
      <c r="C537" t="s">
        <v>223</v>
      </c>
      <c r="D537" s="10">
        <v>31787</v>
      </c>
      <c r="E537" t="s">
        <v>54</v>
      </c>
      <c r="F537" t="s">
        <v>33</v>
      </c>
      <c r="G537" t="s">
        <v>33</v>
      </c>
      <c r="H537">
        <v>70</v>
      </c>
      <c r="I537">
        <v>190</v>
      </c>
      <c r="J537">
        <v>2018</v>
      </c>
      <c r="K537" s="4" t="str">
        <f>HYPERLINK("http://legacy.baseballprospectus.com/fantasy/dc/index.php?tm=SLN","SLN")</f>
        <v>SLN</v>
      </c>
      <c r="L537" t="s">
        <v>100</v>
      </c>
      <c r="M537" t="s">
        <v>34</v>
      </c>
      <c r="N537">
        <v>31</v>
      </c>
      <c r="O537">
        <v>250</v>
      </c>
      <c r="P537" t="s">
        <v>1680</v>
      </c>
      <c r="Q537">
        <v>229</v>
      </c>
      <c r="R537">
        <v>22</v>
      </c>
      <c r="S537">
        <v>39</v>
      </c>
      <c r="T537">
        <v>11</v>
      </c>
      <c r="U537">
        <v>0</v>
      </c>
      <c r="V537">
        <v>3</v>
      </c>
      <c r="W537">
        <v>53</v>
      </c>
      <c r="X537">
        <v>73</v>
      </c>
      <c r="Y537">
        <v>21</v>
      </c>
      <c r="Z537">
        <v>14</v>
      </c>
      <c r="AA537">
        <v>1</v>
      </c>
      <c r="AB537">
        <v>3</v>
      </c>
      <c r="AC537">
        <v>47</v>
      </c>
      <c r="AD537">
        <v>2</v>
      </c>
      <c r="AE537">
        <v>2</v>
      </c>
      <c r="AF537">
        <v>8</v>
      </c>
      <c r="AG537">
        <v>1</v>
      </c>
      <c r="AH537">
        <v>0</v>
      </c>
      <c r="AI537" s="5">
        <v>0.23100000000000001</v>
      </c>
      <c r="AJ537" s="5">
        <v>0.28199999999999997</v>
      </c>
      <c r="AK537" s="5">
        <v>0.32400000000000001</v>
      </c>
      <c r="AL537" s="5">
        <v>0.20699999999999999</v>
      </c>
      <c r="AM537" s="5">
        <v>0.27300000000000002</v>
      </c>
      <c r="AN537">
        <v>-0.4</v>
      </c>
      <c r="AO537">
        <v>5.51</v>
      </c>
      <c r="AP537">
        <v>7</v>
      </c>
      <c r="AQ537">
        <v>-13.81</v>
      </c>
      <c r="AR537">
        <v>2.4</v>
      </c>
      <c r="AS537" t="s">
        <v>1017</v>
      </c>
      <c r="AT537">
        <v>0.1</v>
      </c>
      <c r="AU537">
        <v>-1.7</v>
      </c>
      <c r="AV537">
        <v>3</v>
      </c>
      <c r="AW537">
        <v>11</v>
      </c>
      <c r="AX537">
        <v>19</v>
      </c>
      <c r="AY537">
        <v>29</v>
      </c>
      <c r="AZ537" t="s">
        <v>4235</v>
      </c>
      <c r="BA537">
        <v>48</v>
      </c>
      <c r="BB537" t="s">
        <v>36</v>
      </c>
      <c r="BC537" t="s">
        <v>35</v>
      </c>
      <c r="BD537" s="4">
        <f>HYPERLINK("http://mlb.mlb.com/team/player.jsp?player_id=451705",451705)</f>
        <v>451705</v>
      </c>
      <c r="BE537">
        <v>0</v>
      </c>
      <c r="BF537">
        <v>0</v>
      </c>
      <c r="BG537">
        <v>3</v>
      </c>
      <c r="BH537">
        <v>3</v>
      </c>
    </row>
    <row r="538" spans="1:60" x14ac:dyDescent="0.3">
      <c r="A538" s="4">
        <f>HYPERLINK("http://legacy.baseballprospectus.com/p/55889",55889)</f>
        <v>55889</v>
      </c>
      <c r="B538" t="s">
        <v>122</v>
      </c>
      <c r="C538" t="s">
        <v>123</v>
      </c>
      <c r="D538" s="10">
        <v>32604</v>
      </c>
      <c r="E538" t="s">
        <v>58</v>
      </c>
      <c r="F538" t="s">
        <v>9</v>
      </c>
      <c r="G538" t="s">
        <v>33</v>
      </c>
      <c r="H538">
        <v>66</v>
      </c>
      <c r="I538">
        <v>160</v>
      </c>
      <c r="J538">
        <v>2018</v>
      </c>
      <c r="K538" s="4" t="str">
        <f>HYPERLINK("http://legacy.baseballprospectus.com/fantasy/dc/index.php?tm=PHI","PHI")</f>
        <v>PHI</v>
      </c>
      <c r="L538" t="s">
        <v>100</v>
      </c>
      <c r="M538" t="s">
        <v>34</v>
      </c>
      <c r="N538">
        <v>29</v>
      </c>
      <c r="O538">
        <v>151</v>
      </c>
      <c r="P538" t="s">
        <v>1680</v>
      </c>
      <c r="Q538">
        <v>138</v>
      </c>
      <c r="R538">
        <v>16</v>
      </c>
      <c r="S538">
        <v>25</v>
      </c>
      <c r="T538">
        <v>6</v>
      </c>
      <c r="U538">
        <v>1</v>
      </c>
      <c r="V538">
        <v>3</v>
      </c>
      <c r="W538">
        <v>35</v>
      </c>
      <c r="X538">
        <v>52</v>
      </c>
      <c r="Y538">
        <v>15</v>
      </c>
      <c r="Z538">
        <v>10</v>
      </c>
      <c r="AA538">
        <v>1</v>
      </c>
      <c r="AB538">
        <v>1</v>
      </c>
      <c r="AC538">
        <v>24</v>
      </c>
      <c r="AD538">
        <v>1</v>
      </c>
      <c r="AE538">
        <v>1</v>
      </c>
      <c r="AF538">
        <v>4</v>
      </c>
      <c r="AG538">
        <v>3</v>
      </c>
      <c r="AH538">
        <v>1</v>
      </c>
      <c r="AI538" s="5">
        <v>0.253</v>
      </c>
      <c r="AJ538" s="5">
        <v>0.30399999999999999</v>
      </c>
      <c r="AK538" s="5">
        <v>0.375</v>
      </c>
      <c r="AL538" s="5">
        <v>0.215</v>
      </c>
      <c r="AM538" s="5">
        <v>0.28000000000000003</v>
      </c>
      <c r="AN538">
        <v>-0.1</v>
      </c>
      <c r="AO538">
        <v>2.2799999999999998</v>
      </c>
      <c r="AP538">
        <v>4.2300000000000004</v>
      </c>
      <c r="AQ538">
        <v>-7.08</v>
      </c>
      <c r="AR538">
        <v>1.4</v>
      </c>
      <c r="AS538" t="s">
        <v>1846</v>
      </c>
      <c r="AT538">
        <v>0.1</v>
      </c>
      <c r="AU538">
        <v>-0.7</v>
      </c>
      <c r="AV538">
        <v>3</v>
      </c>
      <c r="AW538">
        <v>51</v>
      </c>
      <c r="AX538">
        <v>5</v>
      </c>
      <c r="AY538">
        <v>20</v>
      </c>
      <c r="AZ538" t="s">
        <v>4534</v>
      </c>
      <c r="BA538">
        <v>88</v>
      </c>
      <c r="BB538" t="s">
        <v>36</v>
      </c>
      <c r="BC538" t="s">
        <v>36</v>
      </c>
      <c r="BD538" s="4">
        <f>HYPERLINK("http://mlb.mlb.com/team/player.jsp?player_id=506560",506560)</f>
        <v>506560</v>
      </c>
      <c r="BE538">
        <v>690</v>
      </c>
      <c r="BF538">
        <v>1690</v>
      </c>
      <c r="BG538">
        <v>176</v>
      </c>
      <c r="BH538">
        <v>168</v>
      </c>
    </row>
    <row r="539" spans="1:60" x14ac:dyDescent="0.3">
      <c r="A539" s="4">
        <f>HYPERLINK("http://legacy.baseballprospectus.com/p/57244",57244)</f>
        <v>57244</v>
      </c>
      <c r="B539" t="s">
        <v>642</v>
      </c>
      <c r="C539" t="s">
        <v>644</v>
      </c>
      <c r="D539" s="10">
        <v>32567</v>
      </c>
      <c r="E539" t="s">
        <v>50</v>
      </c>
      <c r="F539" t="s">
        <v>33</v>
      </c>
      <c r="G539" t="s">
        <v>33</v>
      </c>
      <c r="H539">
        <v>73</v>
      </c>
      <c r="I539">
        <v>210</v>
      </c>
      <c r="J539">
        <v>2018</v>
      </c>
      <c r="K539" s="4" t="str">
        <f>HYPERLINK("http://legacy.baseballprospectus.com/fantasy/dc/index.php?tm=WAS","WAS")</f>
        <v>WAS</v>
      </c>
      <c r="L539" t="s">
        <v>100</v>
      </c>
      <c r="M539" t="s">
        <v>34</v>
      </c>
      <c r="N539">
        <v>29</v>
      </c>
      <c r="O539">
        <v>250</v>
      </c>
      <c r="P539" t="s">
        <v>1680</v>
      </c>
      <c r="Q539">
        <v>230</v>
      </c>
      <c r="R539">
        <v>27</v>
      </c>
      <c r="S539">
        <v>39</v>
      </c>
      <c r="T539">
        <v>12</v>
      </c>
      <c r="U539">
        <v>0</v>
      </c>
      <c r="V539">
        <v>8</v>
      </c>
      <c r="W539">
        <v>59</v>
      </c>
      <c r="X539">
        <v>95</v>
      </c>
      <c r="Y539">
        <v>32</v>
      </c>
      <c r="Z539">
        <v>16</v>
      </c>
      <c r="AA539">
        <v>2</v>
      </c>
      <c r="AB539">
        <v>2</v>
      </c>
      <c r="AC539">
        <v>58</v>
      </c>
      <c r="AD539">
        <v>0</v>
      </c>
      <c r="AE539">
        <v>1</v>
      </c>
      <c r="AF539">
        <v>10</v>
      </c>
      <c r="AG539">
        <v>0</v>
      </c>
      <c r="AH539">
        <v>0</v>
      </c>
      <c r="AI539" s="5">
        <v>0.25800000000000001</v>
      </c>
      <c r="AJ539" s="5">
        <v>0.311</v>
      </c>
      <c r="AK539" s="5">
        <v>0.41899999999999998</v>
      </c>
      <c r="AL539" s="5">
        <v>0.24199999999999999</v>
      </c>
      <c r="AM539" s="5">
        <v>0.309</v>
      </c>
      <c r="AN539">
        <v>-0.5</v>
      </c>
      <c r="AO539">
        <v>-0.89</v>
      </c>
      <c r="AP539">
        <v>7</v>
      </c>
      <c r="AQ539">
        <v>-4.79</v>
      </c>
      <c r="AR539">
        <v>0.2</v>
      </c>
      <c r="AS539" t="s">
        <v>4236</v>
      </c>
      <c r="AT539">
        <v>0.1</v>
      </c>
      <c r="AU539">
        <v>0.9</v>
      </c>
      <c r="AV539">
        <v>0</v>
      </c>
      <c r="AW539">
        <v>1</v>
      </c>
      <c r="AX539">
        <v>3</v>
      </c>
      <c r="AY539">
        <v>11</v>
      </c>
      <c r="AZ539" t="s">
        <v>4237</v>
      </c>
      <c r="BA539">
        <v>11</v>
      </c>
      <c r="BB539" t="s">
        <v>36</v>
      </c>
      <c r="BC539" t="s">
        <v>35</v>
      </c>
      <c r="BD539" s="4">
        <f>HYPERLINK("http://mlb.mlb.com/team/player.jsp?player_id=519304",519304)</f>
        <v>519304</v>
      </c>
      <c r="BE539">
        <v>0</v>
      </c>
      <c r="BF539">
        <v>0</v>
      </c>
      <c r="BG539">
        <v>0</v>
      </c>
      <c r="BH539">
        <v>0</v>
      </c>
    </row>
    <row r="540" spans="1:60" x14ac:dyDescent="0.3">
      <c r="A540" s="4">
        <f>HYPERLINK("http://legacy.baseballprospectus.com/p/57843",57843)</f>
        <v>57843</v>
      </c>
      <c r="B540" t="s">
        <v>334</v>
      </c>
      <c r="C540" t="s">
        <v>102</v>
      </c>
      <c r="D540" s="10">
        <v>31620</v>
      </c>
      <c r="E540" t="s">
        <v>51</v>
      </c>
      <c r="F540" t="s">
        <v>9</v>
      </c>
      <c r="G540" t="s">
        <v>33</v>
      </c>
      <c r="H540">
        <v>75</v>
      </c>
      <c r="I540">
        <v>220</v>
      </c>
      <c r="J540">
        <v>2018</v>
      </c>
      <c r="K540" s="4" t="str">
        <f>HYPERLINK("http://legacy.baseballprospectus.com/fantasy/dc/index.php?tm=ATL","ATL")</f>
        <v>ATL</v>
      </c>
      <c r="L540" t="s">
        <v>95</v>
      </c>
      <c r="M540" t="s">
        <v>34</v>
      </c>
      <c r="N540">
        <v>31</v>
      </c>
      <c r="O540">
        <v>250</v>
      </c>
      <c r="P540" t="s">
        <v>1680</v>
      </c>
      <c r="Q540">
        <v>221</v>
      </c>
      <c r="R540">
        <v>28</v>
      </c>
      <c r="S540">
        <v>33</v>
      </c>
      <c r="T540">
        <v>10</v>
      </c>
      <c r="U540">
        <v>1</v>
      </c>
      <c r="V540">
        <v>7</v>
      </c>
      <c r="W540">
        <v>51</v>
      </c>
      <c r="X540">
        <v>84</v>
      </c>
      <c r="Y540">
        <v>28</v>
      </c>
      <c r="Z540">
        <v>23</v>
      </c>
      <c r="AA540">
        <v>2</v>
      </c>
      <c r="AB540">
        <v>3</v>
      </c>
      <c r="AC540">
        <v>61</v>
      </c>
      <c r="AD540">
        <v>1</v>
      </c>
      <c r="AE540">
        <v>1</v>
      </c>
      <c r="AF540">
        <v>6</v>
      </c>
      <c r="AG540">
        <v>1</v>
      </c>
      <c r="AH540">
        <v>0</v>
      </c>
      <c r="AI540" s="5">
        <v>0.22900000000000001</v>
      </c>
      <c r="AJ540" s="5">
        <v>0.308</v>
      </c>
      <c r="AK540" s="5">
        <v>0.38100000000000001</v>
      </c>
      <c r="AL540" s="5">
        <v>0.23100000000000001</v>
      </c>
      <c r="AM540" s="5">
        <v>0.27900000000000003</v>
      </c>
      <c r="AN540">
        <v>0.7</v>
      </c>
      <c r="AO540">
        <v>2.4</v>
      </c>
      <c r="AP540">
        <v>7</v>
      </c>
      <c r="AQ540">
        <v>-7.69</v>
      </c>
      <c r="AR540">
        <v>-1.7</v>
      </c>
      <c r="AS540" t="s">
        <v>4238</v>
      </c>
      <c r="AT540">
        <v>0.1</v>
      </c>
      <c r="AU540">
        <v>2.4</v>
      </c>
      <c r="AV540">
        <v>2</v>
      </c>
      <c r="AW540">
        <v>39</v>
      </c>
      <c r="AX540">
        <v>13</v>
      </c>
      <c r="AY540">
        <v>21</v>
      </c>
      <c r="AZ540" t="s">
        <v>4239</v>
      </c>
      <c r="BA540">
        <v>91</v>
      </c>
      <c r="BB540" t="s">
        <v>36</v>
      </c>
      <c r="BC540" t="s">
        <v>36</v>
      </c>
      <c r="BD540" s="4">
        <f>HYPERLINK("http://mlb.mlb.com/team/player.jsp?player_id=475247",475247)</f>
        <v>475247</v>
      </c>
      <c r="BE540">
        <v>1731</v>
      </c>
      <c r="BF540">
        <v>731</v>
      </c>
      <c r="BG540">
        <v>43</v>
      </c>
      <c r="BH540">
        <v>38</v>
      </c>
    </row>
    <row r="541" spans="1:60" x14ac:dyDescent="0.3">
      <c r="A541" s="4">
        <f>HYPERLINK("http://legacy.baseballprospectus.com/p/58057",58057)</f>
        <v>58057</v>
      </c>
      <c r="B541" t="s">
        <v>158</v>
      </c>
      <c r="C541" t="s">
        <v>160</v>
      </c>
      <c r="D541" s="10">
        <v>31671</v>
      </c>
      <c r="E541" t="s">
        <v>58</v>
      </c>
      <c r="F541" t="s">
        <v>33</v>
      </c>
      <c r="G541" t="s">
        <v>33</v>
      </c>
      <c r="H541">
        <v>72</v>
      </c>
      <c r="I541">
        <v>190</v>
      </c>
      <c r="J541">
        <v>2018</v>
      </c>
      <c r="K541" s="4" t="str">
        <f>HYPERLINK("http://legacy.baseballprospectus.com/fantasy/dc/index.php?tm=SEA","SEA")</f>
        <v>SEA</v>
      </c>
      <c r="L541" t="s">
        <v>95</v>
      </c>
      <c r="M541" t="s">
        <v>34</v>
      </c>
      <c r="N541">
        <v>31</v>
      </c>
      <c r="O541">
        <v>250</v>
      </c>
      <c r="P541" t="s">
        <v>1680</v>
      </c>
      <c r="Q541">
        <v>227</v>
      </c>
      <c r="R541">
        <v>24</v>
      </c>
      <c r="S541">
        <v>35</v>
      </c>
      <c r="T541">
        <v>12</v>
      </c>
      <c r="U541">
        <v>0</v>
      </c>
      <c r="V541">
        <v>6</v>
      </c>
      <c r="W541">
        <v>53</v>
      </c>
      <c r="X541">
        <v>83</v>
      </c>
      <c r="Y541">
        <v>27</v>
      </c>
      <c r="Z541">
        <v>18</v>
      </c>
      <c r="AA541">
        <v>1</v>
      </c>
      <c r="AB541">
        <v>3</v>
      </c>
      <c r="AC541">
        <v>45</v>
      </c>
      <c r="AD541">
        <v>1</v>
      </c>
      <c r="AE541">
        <v>2</v>
      </c>
      <c r="AF541">
        <v>8</v>
      </c>
      <c r="AG541">
        <v>1</v>
      </c>
      <c r="AH541">
        <v>0</v>
      </c>
      <c r="AI541" s="5">
        <v>0.23300000000000001</v>
      </c>
      <c r="AJ541" s="5">
        <v>0.29499999999999998</v>
      </c>
      <c r="AK541" s="5">
        <v>0.36499999999999999</v>
      </c>
      <c r="AL541" s="5">
        <v>0.22600000000000001</v>
      </c>
      <c r="AM541" s="5">
        <v>0.26400000000000001</v>
      </c>
      <c r="AN541">
        <v>0.4</v>
      </c>
      <c r="AO541">
        <v>3.14</v>
      </c>
      <c r="AP541">
        <v>7</v>
      </c>
      <c r="AQ541">
        <v>-8.83</v>
      </c>
      <c r="AR541">
        <v>-0.7</v>
      </c>
      <c r="AS541" t="s">
        <v>4867</v>
      </c>
      <c r="AT541">
        <v>0.1</v>
      </c>
      <c r="AU541">
        <v>1.7</v>
      </c>
      <c r="AV541">
        <v>0</v>
      </c>
      <c r="AW541">
        <v>43</v>
      </c>
      <c r="AX541">
        <v>5</v>
      </c>
      <c r="AY541">
        <v>18</v>
      </c>
      <c r="AZ541" t="s">
        <v>4240</v>
      </c>
      <c r="BA541">
        <v>88</v>
      </c>
      <c r="BB541" t="s">
        <v>36</v>
      </c>
      <c r="BC541" t="s">
        <v>36</v>
      </c>
      <c r="BD541" s="4">
        <f>HYPERLINK("http://mlb.mlb.com/team/player.jsp?player_id=493596",493596)</f>
        <v>493596</v>
      </c>
      <c r="BE541">
        <v>0</v>
      </c>
      <c r="BF541">
        <v>0</v>
      </c>
      <c r="BG541">
        <v>18</v>
      </c>
      <c r="BH541">
        <v>17</v>
      </c>
    </row>
    <row r="542" spans="1:60" x14ac:dyDescent="0.3">
      <c r="A542" s="4">
        <f>HYPERLINK("http://legacy.baseballprospectus.com/p/58261",58261)</f>
        <v>58261</v>
      </c>
      <c r="B542" t="s">
        <v>4151</v>
      </c>
      <c r="C542" t="s">
        <v>165</v>
      </c>
      <c r="D542" s="10">
        <v>32450</v>
      </c>
      <c r="E542" t="s">
        <v>57</v>
      </c>
      <c r="F542" t="s">
        <v>9</v>
      </c>
      <c r="G542" t="s">
        <v>33</v>
      </c>
      <c r="H542">
        <v>72</v>
      </c>
      <c r="I542">
        <v>220</v>
      </c>
      <c r="J542">
        <v>2018</v>
      </c>
      <c r="K542" s="4" t="str">
        <f>HYPERLINK("http://legacy.baseballprospectus.com/fantasy/dc/index.php?tm=SFN","SFN")</f>
        <v>SFN</v>
      </c>
      <c r="L542" t="s">
        <v>100</v>
      </c>
      <c r="M542" t="s">
        <v>34</v>
      </c>
      <c r="N542">
        <v>29</v>
      </c>
      <c r="O542">
        <v>250</v>
      </c>
      <c r="P542" t="s">
        <v>1680</v>
      </c>
      <c r="Q542">
        <v>217</v>
      </c>
      <c r="R542">
        <v>27</v>
      </c>
      <c r="S542">
        <v>31</v>
      </c>
      <c r="T542">
        <v>11</v>
      </c>
      <c r="U542">
        <v>1</v>
      </c>
      <c r="V542">
        <v>6</v>
      </c>
      <c r="W542">
        <v>49</v>
      </c>
      <c r="X542">
        <v>80</v>
      </c>
      <c r="Y542">
        <v>27</v>
      </c>
      <c r="Z542">
        <v>29</v>
      </c>
      <c r="AA542">
        <v>2</v>
      </c>
      <c r="AB542">
        <v>2</v>
      </c>
      <c r="AC542">
        <v>67</v>
      </c>
      <c r="AD542">
        <v>1</v>
      </c>
      <c r="AE542">
        <v>1</v>
      </c>
      <c r="AF542">
        <v>5</v>
      </c>
      <c r="AG542">
        <v>3</v>
      </c>
      <c r="AH542">
        <v>1</v>
      </c>
      <c r="AI542" s="5">
        <v>0.223</v>
      </c>
      <c r="AJ542" s="5">
        <v>0.317</v>
      </c>
      <c r="AK542" s="5">
        <v>0.36199999999999999</v>
      </c>
      <c r="AL542" s="5">
        <v>0.23899999999999999</v>
      </c>
      <c r="AM542" s="5">
        <v>0.28799999999999998</v>
      </c>
      <c r="AN542">
        <v>0</v>
      </c>
      <c r="AO542">
        <v>0.6</v>
      </c>
      <c r="AP542">
        <v>7</v>
      </c>
      <c r="AQ542">
        <v>-5.51</v>
      </c>
      <c r="AR542">
        <v>-0.7</v>
      </c>
      <c r="AS542" t="s">
        <v>4152</v>
      </c>
      <c r="AT542">
        <v>0.1</v>
      </c>
      <c r="AU542">
        <v>2.1</v>
      </c>
      <c r="AV542">
        <v>0</v>
      </c>
      <c r="AW542">
        <v>4</v>
      </c>
      <c r="AX542">
        <v>9</v>
      </c>
      <c r="AY542">
        <v>18</v>
      </c>
      <c r="AZ542" t="s">
        <v>4153</v>
      </c>
      <c r="BA542">
        <v>22</v>
      </c>
      <c r="BB542" t="s">
        <v>36</v>
      </c>
      <c r="BC542" t="s">
        <v>35</v>
      </c>
      <c r="BD542" s="4">
        <f>HYPERLINK("http://mlb.mlb.com/team/player.jsp?player_id=519037",519037)</f>
        <v>519037</v>
      </c>
      <c r="BE542">
        <v>0</v>
      </c>
      <c r="BF542">
        <v>0</v>
      </c>
      <c r="BG542">
        <v>43</v>
      </c>
      <c r="BH542">
        <v>38</v>
      </c>
    </row>
    <row r="543" spans="1:60" x14ac:dyDescent="0.3">
      <c r="A543" s="4">
        <f>HYPERLINK("http://legacy.baseballprospectus.com/p/60238",60238)</f>
        <v>60238</v>
      </c>
      <c r="B543" t="s">
        <v>1747</v>
      </c>
      <c r="C543" t="s">
        <v>97</v>
      </c>
      <c r="D543" s="10">
        <v>32002</v>
      </c>
      <c r="E543" t="s">
        <v>54</v>
      </c>
      <c r="F543" t="s">
        <v>33</v>
      </c>
      <c r="G543" t="s">
        <v>33</v>
      </c>
      <c r="H543">
        <v>72</v>
      </c>
      <c r="I543">
        <v>200</v>
      </c>
      <c r="J543">
        <v>2018</v>
      </c>
      <c r="K543" s="4" t="str">
        <f>HYPERLINK("http://legacy.baseballprospectus.com/fantasy/dc/index.php?tm=OAK","OAK")</f>
        <v>OAK</v>
      </c>
      <c r="L543" t="s">
        <v>95</v>
      </c>
      <c r="M543" t="s">
        <v>34</v>
      </c>
      <c r="N543">
        <v>30</v>
      </c>
      <c r="O543">
        <v>97</v>
      </c>
      <c r="P543" t="s">
        <v>1680</v>
      </c>
      <c r="Q543">
        <v>87</v>
      </c>
      <c r="R543">
        <v>12</v>
      </c>
      <c r="S543">
        <v>11</v>
      </c>
      <c r="T543">
        <v>5</v>
      </c>
      <c r="U543">
        <v>0</v>
      </c>
      <c r="V543">
        <v>4</v>
      </c>
      <c r="W543">
        <v>20</v>
      </c>
      <c r="X543">
        <v>37</v>
      </c>
      <c r="Y543">
        <v>13</v>
      </c>
      <c r="Z543">
        <v>8</v>
      </c>
      <c r="AA543">
        <v>0</v>
      </c>
      <c r="AB543">
        <v>1</v>
      </c>
      <c r="AC543">
        <v>23</v>
      </c>
      <c r="AD543">
        <v>0</v>
      </c>
      <c r="AE543">
        <v>1</v>
      </c>
      <c r="AF543">
        <v>3</v>
      </c>
      <c r="AG543">
        <v>0</v>
      </c>
      <c r="AH543">
        <v>0</v>
      </c>
      <c r="AI543" s="5">
        <v>0.23100000000000001</v>
      </c>
      <c r="AJ543" s="5">
        <v>0.30199999999999999</v>
      </c>
      <c r="AK543" s="5">
        <v>0.439</v>
      </c>
      <c r="AL543" s="5">
        <v>0.248</v>
      </c>
      <c r="AM543" s="5">
        <v>0.25700000000000001</v>
      </c>
      <c r="AN543">
        <v>-0.1</v>
      </c>
      <c r="AO543">
        <v>2.14</v>
      </c>
      <c r="AP543">
        <v>2.72</v>
      </c>
      <c r="AQ543">
        <v>-1.26</v>
      </c>
      <c r="AR543">
        <v>-2.8</v>
      </c>
      <c r="AS543" t="s">
        <v>1746</v>
      </c>
      <c r="AT543">
        <v>0.1</v>
      </c>
      <c r="AU543">
        <v>3.5</v>
      </c>
      <c r="AV543">
        <v>6</v>
      </c>
      <c r="AW543">
        <v>21</v>
      </c>
      <c r="AX543">
        <v>7</v>
      </c>
      <c r="AY543">
        <v>19</v>
      </c>
      <c r="AZ543" t="s">
        <v>4346</v>
      </c>
      <c r="BA543">
        <v>51</v>
      </c>
      <c r="BB543" t="s">
        <v>36</v>
      </c>
      <c r="BC543" t="s">
        <v>36</v>
      </c>
      <c r="BD543" s="4">
        <f>HYPERLINK("http://mlb.mlb.com/team/player.jsp?player_id=572863",572863)</f>
        <v>572863</v>
      </c>
      <c r="BE543">
        <v>377</v>
      </c>
      <c r="BF543">
        <v>1377</v>
      </c>
      <c r="BG543">
        <v>126</v>
      </c>
      <c r="BH543">
        <v>112</v>
      </c>
    </row>
    <row r="544" spans="1:60" x14ac:dyDescent="0.3">
      <c r="A544" s="4">
        <f>HYPERLINK("http://legacy.baseballprospectus.com/p/67082",67082)</f>
        <v>67082</v>
      </c>
      <c r="B544" t="s">
        <v>1708</v>
      </c>
      <c r="C544" t="s">
        <v>1709</v>
      </c>
      <c r="D544" s="10">
        <v>33718</v>
      </c>
      <c r="E544" t="s">
        <v>50</v>
      </c>
      <c r="F544" t="s">
        <v>33</v>
      </c>
      <c r="G544" t="s">
        <v>33</v>
      </c>
      <c r="H544">
        <v>73</v>
      </c>
      <c r="I544">
        <v>225</v>
      </c>
      <c r="J544">
        <v>2018</v>
      </c>
      <c r="K544" s="4" t="str">
        <f>HYPERLINK("http://legacy.baseballprospectus.com/fantasy/dc/index.php?tm=SLN","SLN")</f>
        <v>SLN</v>
      </c>
      <c r="L544" t="s">
        <v>100</v>
      </c>
      <c r="M544" t="s">
        <v>34</v>
      </c>
      <c r="N544">
        <v>26</v>
      </c>
      <c r="O544">
        <v>250</v>
      </c>
      <c r="P544" t="s">
        <v>1680</v>
      </c>
      <c r="Q544">
        <v>223</v>
      </c>
      <c r="R544">
        <v>27</v>
      </c>
      <c r="S544">
        <v>37</v>
      </c>
      <c r="T544">
        <v>13</v>
      </c>
      <c r="U544">
        <v>1</v>
      </c>
      <c r="V544">
        <v>7</v>
      </c>
      <c r="W544">
        <v>58</v>
      </c>
      <c r="X544">
        <v>94</v>
      </c>
      <c r="Y544">
        <v>31</v>
      </c>
      <c r="Z544">
        <v>21</v>
      </c>
      <c r="AA544">
        <v>2</v>
      </c>
      <c r="AB544">
        <v>4</v>
      </c>
      <c r="AC544">
        <v>49</v>
      </c>
      <c r="AD544">
        <v>1</v>
      </c>
      <c r="AE544">
        <v>2</v>
      </c>
      <c r="AF544">
        <v>7</v>
      </c>
      <c r="AG544">
        <v>0</v>
      </c>
      <c r="AH544">
        <v>0</v>
      </c>
      <c r="AI544" s="5">
        <v>0.26200000000000001</v>
      </c>
      <c r="AJ544" s="5">
        <v>0.33400000000000002</v>
      </c>
      <c r="AK544" s="5">
        <v>0.42599999999999999</v>
      </c>
      <c r="AL544" s="5">
        <v>0.254</v>
      </c>
      <c r="AM544" s="5">
        <v>0.30299999999999999</v>
      </c>
      <c r="AN544">
        <v>-0.5</v>
      </c>
      <c r="AO544">
        <v>-1.93</v>
      </c>
      <c r="AP544">
        <v>7</v>
      </c>
      <c r="AQ544">
        <v>-1.57</v>
      </c>
      <c r="AR544">
        <v>-2</v>
      </c>
      <c r="AS544" t="s">
        <v>4140</v>
      </c>
      <c r="AT544">
        <v>0.1</v>
      </c>
      <c r="AU544">
        <v>3</v>
      </c>
      <c r="AV544">
        <v>3</v>
      </c>
      <c r="AW544">
        <v>10</v>
      </c>
      <c r="AX544">
        <v>15</v>
      </c>
      <c r="AY544">
        <v>26</v>
      </c>
      <c r="AZ544" t="s">
        <v>4241</v>
      </c>
      <c r="BA544">
        <v>31</v>
      </c>
      <c r="BB544" t="s">
        <v>36</v>
      </c>
      <c r="BC544" t="s">
        <v>35</v>
      </c>
      <c r="BD544" s="4">
        <f>HYPERLINK("http://mlb.mlb.com/team/player.jsp?player_id=592660",592660)</f>
        <v>592660</v>
      </c>
      <c r="BE544">
        <v>0</v>
      </c>
      <c r="BF544">
        <v>0</v>
      </c>
      <c r="BG544">
        <v>0</v>
      </c>
      <c r="BH544">
        <v>0</v>
      </c>
    </row>
    <row r="545" spans="1:60" x14ac:dyDescent="0.3">
      <c r="A545" s="4">
        <f>HYPERLINK("http://legacy.baseballprospectus.com/p/67105",67105)</f>
        <v>67105</v>
      </c>
      <c r="B545" t="s">
        <v>613</v>
      </c>
      <c r="C545" t="s">
        <v>150</v>
      </c>
      <c r="D545" s="10">
        <v>32619</v>
      </c>
      <c r="E545" t="s">
        <v>51</v>
      </c>
      <c r="F545" t="s">
        <v>33</v>
      </c>
      <c r="G545" t="s">
        <v>33</v>
      </c>
      <c r="H545">
        <v>73</v>
      </c>
      <c r="I545">
        <v>190</v>
      </c>
      <c r="J545">
        <v>2018</v>
      </c>
      <c r="K545" s="4" t="str">
        <f>HYPERLINK("http://legacy.baseballprospectus.com/fantasy/dc/index.php?tm=SFN","SFN")</f>
        <v>SFN</v>
      </c>
      <c r="L545" t="s">
        <v>95</v>
      </c>
      <c r="M545" t="s">
        <v>34</v>
      </c>
      <c r="N545">
        <v>29</v>
      </c>
      <c r="O545">
        <v>250</v>
      </c>
      <c r="P545" t="s">
        <v>1680</v>
      </c>
      <c r="Q545">
        <v>225</v>
      </c>
      <c r="R545">
        <v>25</v>
      </c>
      <c r="S545">
        <v>38</v>
      </c>
      <c r="T545">
        <v>11</v>
      </c>
      <c r="U545">
        <v>1</v>
      </c>
      <c r="V545">
        <v>4</v>
      </c>
      <c r="W545">
        <v>54</v>
      </c>
      <c r="X545">
        <v>79</v>
      </c>
      <c r="Y545">
        <v>23</v>
      </c>
      <c r="Z545">
        <v>18</v>
      </c>
      <c r="AA545">
        <v>1</v>
      </c>
      <c r="AB545">
        <v>4</v>
      </c>
      <c r="AC545">
        <v>63</v>
      </c>
      <c r="AD545">
        <v>2</v>
      </c>
      <c r="AE545">
        <v>2</v>
      </c>
      <c r="AF545">
        <v>5</v>
      </c>
      <c r="AG545">
        <v>2</v>
      </c>
      <c r="AH545">
        <v>1</v>
      </c>
      <c r="AI545" s="5">
        <v>0.24399999999999999</v>
      </c>
      <c r="AJ545" s="5">
        <v>0.308</v>
      </c>
      <c r="AK545" s="5">
        <v>0.35899999999999999</v>
      </c>
      <c r="AL545" s="5">
        <v>0.22700000000000001</v>
      </c>
      <c r="AM545" s="5">
        <v>0.315</v>
      </c>
      <c r="AN545">
        <v>0.2</v>
      </c>
      <c r="AO545">
        <v>2.06</v>
      </c>
      <c r="AP545">
        <v>7</v>
      </c>
      <c r="AQ545">
        <v>-8.6300000000000008</v>
      </c>
      <c r="AR545">
        <v>0.5</v>
      </c>
      <c r="AS545" t="s">
        <v>4916</v>
      </c>
      <c r="AT545">
        <v>0.1</v>
      </c>
      <c r="AU545">
        <v>0.6</v>
      </c>
      <c r="AV545">
        <v>0</v>
      </c>
      <c r="AW545">
        <v>31</v>
      </c>
      <c r="AX545">
        <v>17</v>
      </c>
      <c r="AY545">
        <v>27</v>
      </c>
      <c r="AZ545" t="s">
        <v>4242</v>
      </c>
      <c r="BA545">
        <v>74</v>
      </c>
      <c r="BB545" t="s">
        <v>36</v>
      </c>
      <c r="BC545" t="s">
        <v>36</v>
      </c>
      <c r="BD545" s="4">
        <f>HYPERLINK("http://mlb.mlb.com/team/player.jsp?player_id=592710",592710)</f>
        <v>592710</v>
      </c>
      <c r="BE545">
        <v>0</v>
      </c>
      <c r="BF545">
        <v>0</v>
      </c>
      <c r="BG545">
        <v>118</v>
      </c>
      <c r="BH545">
        <v>107</v>
      </c>
    </row>
    <row r="546" spans="1:60" x14ac:dyDescent="0.3">
      <c r="A546" s="4">
        <f>HYPERLINK("http://legacy.baseballprospectus.com/p/67762",67762)</f>
        <v>67762</v>
      </c>
      <c r="B546" t="s">
        <v>1096</v>
      </c>
      <c r="C546" t="s">
        <v>760</v>
      </c>
      <c r="D546" s="10">
        <v>32419</v>
      </c>
      <c r="E546" t="s">
        <v>58</v>
      </c>
      <c r="F546" t="s">
        <v>33</v>
      </c>
      <c r="G546" t="s">
        <v>33</v>
      </c>
      <c r="H546">
        <v>73</v>
      </c>
      <c r="I546">
        <v>200</v>
      </c>
      <c r="J546">
        <v>2018</v>
      </c>
      <c r="K546" s="4" t="str">
        <f>HYPERLINK("http://legacy.baseballprospectus.com/fantasy/dc/index.php?tm=CIN","CIN")</f>
        <v>CIN</v>
      </c>
      <c r="L546" t="s">
        <v>95</v>
      </c>
      <c r="M546" t="s">
        <v>34</v>
      </c>
      <c r="N546">
        <v>29</v>
      </c>
      <c r="O546">
        <v>250</v>
      </c>
      <c r="P546" t="s">
        <v>1680</v>
      </c>
      <c r="Q546">
        <v>229</v>
      </c>
      <c r="R546">
        <v>24</v>
      </c>
      <c r="S546">
        <v>43</v>
      </c>
      <c r="T546">
        <v>12</v>
      </c>
      <c r="U546">
        <v>1</v>
      </c>
      <c r="V546">
        <v>4</v>
      </c>
      <c r="W546">
        <v>60</v>
      </c>
      <c r="X546">
        <v>86</v>
      </c>
      <c r="Y546">
        <v>26</v>
      </c>
      <c r="Z546">
        <v>15</v>
      </c>
      <c r="AA546">
        <v>1</v>
      </c>
      <c r="AB546">
        <v>2</v>
      </c>
      <c r="AC546">
        <v>48</v>
      </c>
      <c r="AD546">
        <v>3</v>
      </c>
      <c r="AE546">
        <v>1</v>
      </c>
      <c r="AF546">
        <v>6</v>
      </c>
      <c r="AG546">
        <v>2</v>
      </c>
      <c r="AH546">
        <v>1</v>
      </c>
      <c r="AI546" s="5">
        <v>0.26600000000000001</v>
      </c>
      <c r="AJ546" s="5">
        <v>0.316</v>
      </c>
      <c r="AK546" s="5">
        <v>0.38600000000000001</v>
      </c>
      <c r="AL546" s="5">
        <v>0.23300000000000001</v>
      </c>
      <c r="AM546" s="5">
        <v>0.312</v>
      </c>
      <c r="AN546">
        <v>0.5</v>
      </c>
      <c r="AO546">
        <v>2.85</v>
      </c>
      <c r="AP546">
        <v>7</v>
      </c>
      <c r="AQ546">
        <v>-7.08</v>
      </c>
      <c r="AR546">
        <v>-2.2999999999999998</v>
      </c>
      <c r="AS546" t="s">
        <v>1874</v>
      </c>
      <c r="AT546">
        <v>0.1</v>
      </c>
      <c r="AU546">
        <v>3.2</v>
      </c>
      <c r="AV546">
        <v>3</v>
      </c>
      <c r="AW546">
        <v>19</v>
      </c>
      <c r="AX546">
        <v>13</v>
      </c>
      <c r="AY546">
        <v>20</v>
      </c>
      <c r="AZ546" t="s">
        <v>4243</v>
      </c>
      <c r="BA546">
        <v>50</v>
      </c>
      <c r="BB546" t="s">
        <v>36</v>
      </c>
      <c r="BC546" t="s">
        <v>36</v>
      </c>
      <c r="BD546" s="4">
        <f>HYPERLINK("http://mlb.mlb.com/team/player.jsp?player_id=594838",594838)</f>
        <v>594838</v>
      </c>
      <c r="BE546">
        <v>0</v>
      </c>
      <c r="BF546">
        <v>0</v>
      </c>
      <c r="BG546">
        <v>50</v>
      </c>
      <c r="BH546">
        <v>48</v>
      </c>
    </row>
    <row r="547" spans="1:60" x14ac:dyDescent="0.3">
      <c r="A547" s="4">
        <f>HYPERLINK("http://legacy.baseballprospectus.com/p/68883",68883)</f>
        <v>68883</v>
      </c>
      <c r="B547" t="s">
        <v>1916</v>
      </c>
      <c r="C547" t="s">
        <v>125</v>
      </c>
      <c r="D547" s="10">
        <v>33357</v>
      </c>
      <c r="E547" t="s">
        <v>65</v>
      </c>
      <c r="F547" t="s">
        <v>9</v>
      </c>
      <c r="G547" t="s">
        <v>9</v>
      </c>
      <c r="H547">
        <v>73</v>
      </c>
      <c r="I547">
        <v>200</v>
      </c>
      <c r="J547">
        <v>2018</v>
      </c>
      <c r="K547" s="4" t="str">
        <f>HYPERLINK("http://legacy.baseballprospectus.com/fantasy/dc/index.php?tm=CHN","CHN")</f>
        <v>CHN</v>
      </c>
      <c r="L547" t="s">
        <v>100</v>
      </c>
      <c r="M547" t="s">
        <v>34</v>
      </c>
      <c r="N547">
        <v>27</v>
      </c>
      <c r="O547">
        <v>250</v>
      </c>
      <c r="P547" t="s">
        <v>1680</v>
      </c>
      <c r="Q547">
        <v>224</v>
      </c>
      <c r="R547">
        <v>34</v>
      </c>
      <c r="S547">
        <v>30</v>
      </c>
      <c r="T547">
        <v>11</v>
      </c>
      <c r="U547">
        <v>2</v>
      </c>
      <c r="V547">
        <v>7</v>
      </c>
      <c r="W547">
        <v>50</v>
      </c>
      <c r="X547">
        <v>86</v>
      </c>
      <c r="Y547">
        <v>24</v>
      </c>
      <c r="Z547">
        <v>17</v>
      </c>
      <c r="AA547">
        <v>1</v>
      </c>
      <c r="AB547">
        <v>4</v>
      </c>
      <c r="AC547">
        <v>67</v>
      </c>
      <c r="AD547">
        <v>3</v>
      </c>
      <c r="AE547">
        <v>1</v>
      </c>
      <c r="AF547">
        <v>5</v>
      </c>
      <c r="AG547">
        <v>12</v>
      </c>
      <c r="AH547">
        <v>3</v>
      </c>
      <c r="AI547" s="5">
        <v>0.22500000000000001</v>
      </c>
      <c r="AJ547" s="5">
        <v>0.28899999999999998</v>
      </c>
      <c r="AK547" s="5">
        <v>0.38400000000000001</v>
      </c>
      <c r="AL547" s="5">
        <v>0.219</v>
      </c>
      <c r="AM547" s="5">
        <v>0.28000000000000003</v>
      </c>
      <c r="AN547">
        <v>1.4</v>
      </c>
      <c r="AO547">
        <v>3.11</v>
      </c>
      <c r="AP547">
        <v>7</v>
      </c>
      <c r="AQ547">
        <v>-10.72</v>
      </c>
      <c r="AR547">
        <v>-0.2</v>
      </c>
      <c r="AS547" t="s">
        <v>1699</v>
      </c>
      <c r="AT547">
        <v>0.1</v>
      </c>
      <c r="AU547">
        <v>0.8</v>
      </c>
      <c r="AV547">
        <v>0</v>
      </c>
      <c r="AW547">
        <v>7</v>
      </c>
      <c r="AX547">
        <v>4</v>
      </c>
      <c r="AY547">
        <v>10</v>
      </c>
      <c r="AZ547" t="s">
        <v>4244</v>
      </c>
      <c r="BA547">
        <v>17</v>
      </c>
      <c r="BB547" t="s">
        <v>36</v>
      </c>
      <c r="BC547" t="s">
        <v>35</v>
      </c>
      <c r="BD547" s="4">
        <f>HYPERLINK("http://mlb.mlb.com/team/player.jsp?player_id=595238",595238)</f>
        <v>595238</v>
      </c>
      <c r="BE547">
        <v>0</v>
      </c>
      <c r="BF547">
        <v>0</v>
      </c>
      <c r="BG547">
        <v>20</v>
      </c>
      <c r="BH547">
        <v>20</v>
      </c>
    </row>
    <row r="548" spans="1:60" x14ac:dyDescent="0.3">
      <c r="A548" s="4">
        <f>HYPERLINK("http://legacy.baseballprospectus.com/p/69255",69255)</f>
        <v>69255</v>
      </c>
      <c r="B548" t="s">
        <v>4245</v>
      </c>
      <c r="C548" t="s">
        <v>119</v>
      </c>
      <c r="D548" s="10">
        <v>33971</v>
      </c>
      <c r="E548" t="s">
        <v>59</v>
      </c>
      <c r="F548" t="s">
        <v>9</v>
      </c>
      <c r="G548" t="s">
        <v>9</v>
      </c>
      <c r="H548">
        <v>73</v>
      </c>
      <c r="I548">
        <v>185</v>
      </c>
      <c r="J548">
        <v>2018</v>
      </c>
      <c r="K548" s="4" t="str">
        <f>HYPERLINK("http://legacy.baseballprospectus.com/fantasy/dc/index.php?tm=WAS","WAS")</f>
        <v>WAS</v>
      </c>
      <c r="L548" t="s">
        <v>100</v>
      </c>
      <c r="M548" t="s">
        <v>34</v>
      </c>
      <c r="N548">
        <v>25</v>
      </c>
      <c r="O548">
        <v>250</v>
      </c>
      <c r="P548" t="s">
        <v>1680</v>
      </c>
      <c r="Q548">
        <v>226</v>
      </c>
      <c r="R548">
        <v>27</v>
      </c>
      <c r="S548">
        <v>35</v>
      </c>
      <c r="T548">
        <v>13</v>
      </c>
      <c r="U548">
        <v>1</v>
      </c>
      <c r="V548">
        <v>9</v>
      </c>
      <c r="W548">
        <v>58</v>
      </c>
      <c r="X548">
        <v>100</v>
      </c>
      <c r="Y548">
        <v>32</v>
      </c>
      <c r="Z548">
        <v>20</v>
      </c>
      <c r="AA548">
        <v>2</v>
      </c>
      <c r="AB548">
        <v>2</v>
      </c>
      <c r="AC548">
        <v>63</v>
      </c>
      <c r="AD548">
        <v>1</v>
      </c>
      <c r="AE548">
        <v>2</v>
      </c>
      <c r="AF548">
        <v>6</v>
      </c>
      <c r="AG548">
        <v>0</v>
      </c>
      <c r="AH548">
        <v>0</v>
      </c>
      <c r="AI548" s="5">
        <v>0.254</v>
      </c>
      <c r="AJ548" s="5">
        <v>0.318</v>
      </c>
      <c r="AK548" s="5">
        <v>0.43099999999999999</v>
      </c>
      <c r="AL548" s="5">
        <v>0.246</v>
      </c>
      <c r="AM548" s="5">
        <v>0.311</v>
      </c>
      <c r="AN548">
        <v>-0.4</v>
      </c>
      <c r="AO548">
        <v>-0.44</v>
      </c>
      <c r="AP548">
        <v>7</v>
      </c>
      <c r="AQ548">
        <v>-3.78</v>
      </c>
      <c r="AR548">
        <v>-1.8</v>
      </c>
      <c r="AS548" t="s">
        <v>4246</v>
      </c>
      <c r="AT548">
        <v>0.1</v>
      </c>
      <c r="AU548">
        <v>2.2999999999999998</v>
      </c>
      <c r="AV548">
        <v>3</v>
      </c>
      <c r="AW548">
        <v>14</v>
      </c>
      <c r="AX548">
        <v>12</v>
      </c>
      <c r="AY548">
        <v>21</v>
      </c>
      <c r="AZ548" t="s">
        <v>4247</v>
      </c>
      <c r="BA548">
        <v>34</v>
      </c>
      <c r="BB548" t="s">
        <v>36</v>
      </c>
      <c r="BC548" t="s">
        <v>35</v>
      </c>
      <c r="BD548" s="4">
        <f>HYPERLINK("http://mlb.mlb.com/team/player.jsp?player_id=592530",592530)</f>
        <v>592530</v>
      </c>
      <c r="BE548">
        <v>0</v>
      </c>
      <c r="BF548">
        <v>0</v>
      </c>
      <c r="BG548">
        <v>0</v>
      </c>
      <c r="BH548">
        <v>0</v>
      </c>
    </row>
    <row r="549" spans="1:60" x14ac:dyDescent="0.3">
      <c r="A549" s="4">
        <f>HYPERLINK("http://legacy.baseballprospectus.com/p/69634",69634)</f>
        <v>69634</v>
      </c>
      <c r="B549" t="s">
        <v>1176</v>
      </c>
      <c r="C549" t="s">
        <v>1778</v>
      </c>
      <c r="D549" s="10">
        <v>34446</v>
      </c>
      <c r="E549" t="s">
        <v>57</v>
      </c>
      <c r="F549" t="s">
        <v>33</v>
      </c>
      <c r="G549" t="s">
        <v>33</v>
      </c>
      <c r="H549">
        <v>76</v>
      </c>
      <c r="I549">
        <v>220</v>
      </c>
      <c r="J549">
        <v>2018</v>
      </c>
      <c r="K549" s="4" t="str">
        <f>HYPERLINK("http://legacy.baseballprospectus.com/fantasy/dc/index.php?tm=CIN","CIN")</f>
        <v>CIN</v>
      </c>
      <c r="L549" t="s">
        <v>100</v>
      </c>
      <c r="M549" t="s">
        <v>34</v>
      </c>
      <c r="N549">
        <v>24</v>
      </c>
      <c r="O549">
        <v>250</v>
      </c>
      <c r="P549" t="s">
        <v>1680</v>
      </c>
      <c r="Q549">
        <v>231</v>
      </c>
      <c r="R549">
        <v>28</v>
      </c>
      <c r="S549">
        <v>28</v>
      </c>
      <c r="T549">
        <v>10</v>
      </c>
      <c r="U549">
        <v>2</v>
      </c>
      <c r="V549">
        <v>11</v>
      </c>
      <c r="W549">
        <v>51</v>
      </c>
      <c r="X549">
        <v>98</v>
      </c>
      <c r="Y549">
        <v>34</v>
      </c>
      <c r="Z549">
        <v>15</v>
      </c>
      <c r="AA549">
        <v>2</v>
      </c>
      <c r="AB549">
        <v>3</v>
      </c>
      <c r="AC549">
        <v>75</v>
      </c>
      <c r="AD549">
        <v>0</v>
      </c>
      <c r="AE549">
        <v>1</v>
      </c>
      <c r="AF549">
        <v>6</v>
      </c>
      <c r="AG549">
        <v>3</v>
      </c>
      <c r="AH549">
        <v>1</v>
      </c>
      <c r="AI549" s="5">
        <v>0.22</v>
      </c>
      <c r="AJ549" s="5">
        <v>0.27300000000000002</v>
      </c>
      <c r="AK549" s="5">
        <v>0.42599999999999999</v>
      </c>
      <c r="AL549" s="5">
        <v>0.22700000000000001</v>
      </c>
      <c r="AM549" s="5">
        <v>0.27</v>
      </c>
      <c r="AN549">
        <v>0.2</v>
      </c>
      <c r="AO549">
        <v>-0.12</v>
      </c>
      <c r="AP549">
        <v>7</v>
      </c>
      <c r="AQ549">
        <v>-8.6199999999999992</v>
      </c>
      <c r="AR549">
        <v>2.6</v>
      </c>
      <c r="AS549" t="s">
        <v>1018</v>
      </c>
      <c r="AT549">
        <v>0.1</v>
      </c>
      <c r="AU549">
        <v>-1.6</v>
      </c>
      <c r="AV549">
        <v>9</v>
      </c>
      <c r="AW549">
        <v>15</v>
      </c>
      <c r="AX549">
        <v>0</v>
      </c>
      <c r="AY549">
        <v>15</v>
      </c>
      <c r="AZ549" t="s">
        <v>4248</v>
      </c>
      <c r="BA549">
        <v>20</v>
      </c>
      <c r="BB549" t="s">
        <v>36</v>
      </c>
      <c r="BC549" t="s">
        <v>35</v>
      </c>
      <c r="BD549" s="4">
        <f>HYPERLINK("http://mlb.mlb.com/team/player.jsp?player_id=606157",606157)</f>
        <v>606157</v>
      </c>
      <c r="BE549">
        <v>1660</v>
      </c>
      <c r="BF549">
        <v>660</v>
      </c>
      <c r="BG549">
        <v>0</v>
      </c>
      <c r="BH549">
        <v>0</v>
      </c>
    </row>
    <row r="550" spans="1:60" x14ac:dyDescent="0.3">
      <c r="A550" s="4">
        <f>HYPERLINK("http://legacy.baseballprospectus.com/p/70767",70767)</f>
        <v>70767</v>
      </c>
      <c r="B550" t="s">
        <v>1121</v>
      </c>
      <c r="C550" t="s">
        <v>258</v>
      </c>
      <c r="D550" s="10">
        <v>33897</v>
      </c>
      <c r="E550" t="s">
        <v>59</v>
      </c>
      <c r="F550" t="s">
        <v>33</v>
      </c>
      <c r="G550" t="s">
        <v>33</v>
      </c>
      <c r="H550">
        <v>76</v>
      </c>
      <c r="I550">
        <v>180</v>
      </c>
      <c r="J550">
        <v>2018</v>
      </c>
      <c r="K550" s="4" t="str">
        <f>HYPERLINK("http://legacy.baseballprospectus.com/fantasy/dc/index.php?tm=CIN","CIN")</f>
        <v>CIN</v>
      </c>
      <c r="L550" t="s">
        <v>100</v>
      </c>
      <c r="M550" t="s">
        <v>34</v>
      </c>
      <c r="N550">
        <v>25</v>
      </c>
      <c r="O550">
        <v>250</v>
      </c>
      <c r="P550" t="s">
        <v>1680</v>
      </c>
      <c r="Q550">
        <v>222</v>
      </c>
      <c r="R550">
        <v>33</v>
      </c>
      <c r="S550">
        <v>35</v>
      </c>
      <c r="T550">
        <v>9</v>
      </c>
      <c r="U550">
        <v>2</v>
      </c>
      <c r="V550">
        <v>7</v>
      </c>
      <c r="W550">
        <v>53</v>
      </c>
      <c r="X550">
        <v>87</v>
      </c>
      <c r="Y550">
        <v>26</v>
      </c>
      <c r="Z550">
        <v>22</v>
      </c>
      <c r="AA550">
        <v>1</v>
      </c>
      <c r="AB550">
        <v>4</v>
      </c>
      <c r="AC550">
        <v>56</v>
      </c>
      <c r="AD550">
        <v>1</v>
      </c>
      <c r="AE550">
        <v>1</v>
      </c>
      <c r="AF550">
        <v>5</v>
      </c>
      <c r="AG550">
        <v>6</v>
      </c>
      <c r="AH550">
        <v>2</v>
      </c>
      <c r="AI550" s="5">
        <v>0.24099999999999999</v>
      </c>
      <c r="AJ550" s="5">
        <v>0.31900000000000001</v>
      </c>
      <c r="AK550" s="5">
        <v>0.40300000000000002</v>
      </c>
      <c r="AL550" s="5">
        <v>0.24</v>
      </c>
      <c r="AM550" s="5">
        <v>0.28599999999999998</v>
      </c>
      <c r="AN550">
        <v>0.1</v>
      </c>
      <c r="AO550">
        <v>1.78</v>
      </c>
      <c r="AP550">
        <v>7</v>
      </c>
      <c r="AQ550">
        <v>-5.15</v>
      </c>
      <c r="AR550">
        <v>-2.7</v>
      </c>
      <c r="AS550" t="s">
        <v>4863</v>
      </c>
      <c r="AT550">
        <v>0.1</v>
      </c>
      <c r="AU550">
        <v>3.8</v>
      </c>
      <c r="AV550">
        <v>10</v>
      </c>
      <c r="AW550">
        <v>28</v>
      </c>
      <c r="AX550">
        <v>7</v>
      </c>
      <c r="AY550">
        <v>26</v>
      </c>
      <c r="AZ550" t="s">
        <v>4161</v>
      </c>
      <c r="BA550">
        <v>52</v>
      </c>
      <c r="BB550" t="s">
        <v>36</v>
      </c>
      <c r="BC550" t="s">
        <v>36</v>
      </c>
      <c r="BD550" s="4">
        <f>HYPERLINK("http://mlb.mlb.com/team/player.jsp?player_id=595963",595963)</f>
        <v>595963</v>
      </c>
      <c r="BE550">
        <v>0</v>
      </c>
      <c r="BF550">
        <v>0</v>
      </c>
      <c r="BG550">
        <v>0</v>
      </c>
      <c r="BH550">
        <v>0</v>
      </c>
    </row>
    <row r="551" spans="1:60" x14ac:dyDescent="0.3">
      <c r="A551" s="4">
        <f>HYPERLINK("http://legacy.baseballprospectus.com/p/70770",70770)</f>
        <v>70770</v>
      </c>
      <c r="B551" t="s">
        <v>637</v>
      </c>
      <c r="C551" t="s">
        <v>2214</v>
      </c>
      <c r="D551" s="10">
        <v>33903</v>
      </c>
      <c r="E551" t="s">
        <v>57</v>
      </c>
      <c r="F551" t="s">
        <v>9</v>
      </c>
      <c r="G551" t="s">
        <v>33</v>
      </c>
      <c r="H551">
        <v>71</v>
      </c>
      <c r="I551">
        <v>195</v>
      </c>
      <c r="J551">
        <v>2018</v>
      </c>
      <c r="K551" s="4" t="str">
        <f>HYPERLINK("http://legacy.baseballprospectus.com/fantasy/dc/index.php?tm=TOR","TOR")</f>
        <v>TOR</v>
      </c>
      <c r="L551" t="s">
        <v>95</v>
      </c>
      <c r="M551" t="s">
        <v>34</v>
      </c>
      <c r="N551">
        <v>25</v>
      </c>
      <c r="O551">
        <v>250</v>
      </c>
      <c r="P551" t="s">
        <v>1680</v>
      </c>
      <c r="Q551">
        <v>224</v>
      </c>
      <c r="R551">
        <v>28</v>
      </c>
      <c r="S551">
        <v>36</v>
      </c>
      <c r="T551">
        <v>12</v>
      </c>
      <c r="U551">
        <v>1</v>
      </c>
      <c r="V551">
        <v>7</v>
      </c>
      <c r="W551">
        <v>56</v>
      </c>
      <c r="X551">
        <v>91</v>
      </c>
      <c r="Y551">
        <v>30</v>
      </c>
      <c r="Z551">
        <v>22</v>
      </c>
      <c r="AA551">
        <v>1</v>
      </c>
      <c r="AB551">
        <v>2</v>
      </c>
      <c r="AC551">
        <v>53</v>
      </c>
      <c r="AD551">
        <v>0</v>
      </c>
      <c r="AE551">
        <v>2</v>
      </c>
      <c r="AF551">
        <v>6</v>
      </c>
      <c r="AG551">
        <v>3</v>
      </c>
      <c r="AH551">
        <v>2</v>
      </c>
      <c r="AI551" s="5">
        <v>0.248</v>
      </c>
      <c r="AJ551" s="5">
        <v>0.318</v>
      </c>
      <c r="AK551" s="5">
        <v>0.40600000000000003</v>
      </c>
      <c r="AL551" s="5">
        <v>0.245</v>
      </c>
      <c r="AM551" s="5">
        <v>0.29199999999999998</v>
      </c>
      <c r="AN551">
        <v>-0.4</v>
      </c>
      <c r="AO551">
        <v>0.48</v>
      </c>
      <c r="AP551">
        <v>7</v>
      </c>
      <c r="AQ551">
        <v>-3.96</v>
      </c>
      <c r="AR551">
        <v>-2.5</v>
      </c>
      <c r="AS551" t="s">
        <v>1380</v>
      </c>
      <c r="AT551">
        <v>0.1</v>
      </c>
      <c r="AU551">
        <v>3.1</v>
      </c>
      <c r="AV551">
        <v>1</v>
      </c>
      <c r="AW551">
        <v>9</v>
      </c>
      <c r="AX551">
        <v>11</v>
      </c>
      <c r="AY551">
        <v>22</v>
      </c>
      <c r="AZ551" t="s">
        <v>4249</v>
      </c>
      <c r="BA551">
        <v>28</v>
      </c>
      <c r="BB551" t="s">
        <v>36</v>
      </c>
      <c r="BC551" t="s">
        <v>35</v>
      </c>
      <c r="BD551" s="4">
        <f>HYPERLINK("http://mlb.mlb.com/team/player.jsp?player_id=596105",596105)</f>
        <v>596105</v>
      </c>
      <c r="BE551">
        <v>629</v>
      </c>
      <c r="BF551">
        <v>1629</v>
      </c>
      <c r="BG551">
        <v>29</v>
      </c>
      <c r="BH551">
        <v>27</v>
      </c>
    </row>
    <row r="552" spans="1:60" x14ac:dyDescent="0.3">
      <c r="A552" s="4">
        <f>HYPERLINK("http://legacy.baseballprospectus.com/p/70781",70781)</f>
        <v>70781</v>
      </c>
      <c r="B552" t="s">
        <v>270</v>
      </c>
      <c r="C552" t="s">
        <v>459</v>
      </c>
      <c r="D552" s="10">
        <v>34017</v>
      </c>
      <c r="E552" t="s">
        <v>50</v>
      </c>
      <c r="F552" t="s">
        <v>33</v>
      </c>
      <c r="G552" t="s">
        <v>33</v>
      </c>
      <c r="H552">
        <v>77</v>
      </c>
      <c r="I552">
        <v>245</v>
      </c>
      <c r="J552">
        <v>2018</v>
      </c>
      <c r="K552" s="4" t="str">
        <f>HYPERLINK("http://legacy.baseballprospectus.com/fantasy/dc/index.php?tm=ARI","ARI")</f>
        <v>ARI</v>
      </c>
      <c r="L552" t="s">
        <v>100</v>
      </c>
      <c r="M552" t="s">
        <v>34</v>
      </c>
      <c r="N552">
        <v>25</v>
      </c>
      <c r="O552">
        <v>250</v>
      </c>
      <c r="P552" t="s">
        <v>1680</v>
      </c>
      <c r="Q552">
        <v>230</v>
      </c>
      <c r="R552">
        <v>29</v>
      </c>
      <c r="S552">
        <v>28</v>
      </c>
      <c r="T552">
        <v>13</v>
      </c>
      <c r="U552">
        <v>0</v>
      </c>
      <c r="V552">
        <v>12</v>
      </c>
      <c r="W552">
        <v>53</v>
      </c>
      <c r="X552">
        <v>102</v>
      </c>
      <c r="Y552">
        <v>37</v>
      </c>
      <c r="Z552">
        <v>16</v>
      </c>
      <c r="AA552">
        <v>2</v>
      </c>
      <c r="AB552">
        <v>2</v>
      </c>
      <c r="AC552">
        <v>74</v>
      </c>
      <c r="AD552">
        <v>0</v>
      </c>
      <c r="AE552">
        <v>2</v>
      </c>
      <c r="AF552">
        <v>6</v>
      </c>
      <c r="AG552">
        <v>0</v>
      </c>
      <c r="AH552">
        <v>0</v>
      </c>
      <c r="AI552" s="5">
        <v>0.23300000000000001</v>
      </c>
      <c r="AJ552" s="5">
        <v>0.28699999999999998</v>
      </c>
      <c r="AK552" s="5">
        <v>0.45300000000000001</v>
      </c>
      <c r="AL552" s="5">
        <v>0.24399999999999999</v>
      </c>
      <c r="AM552" s="5">
        <v>0.28299999999999997</v>
      </c>
      <c r="AN552">
        <v>-0.5</v>
      </c>
      <c r="AO552">
        <v>-2.29</v>
      </c>
      <c r="AP552">
        <v>7</v>
      </c>
      <c r="AQ552">
        <v>-4.08</v>
      </c>
      <c r="AR552">
        <v>0.4</v>
      </c>
      <c r="AS552" t="s">
        <v>2200</v>
      </c>
      <c r="AT552">
        <v>0.1</v>
      </c>
      <c r="AU552">
        <v>0.2</v>
      </c>
      <c r="AV552">
        <v>3</v>
      </c>
      <c r="AW552">
        <v>18</v>
      </c>
      <c r="AX552">
        <v>2</v>
      </c>
      <c r="AY552">
        <v>12</v>
      </c>
      <c r="AZ552" t="s">
        <v>4250</v>
      </c>
      <c r="BA552">
        <v>24</v>
      </c>
      <c r="BB552" t="s">
        <v>36</v>
      </c>
      <c r="BC552" t="s">
        <v>35</v>
      </c>
      <c r="BD552" s="4">
        <f>HYPERLINK("http://mlb.mlb.com/team/player.jsp?player_id=605196",605196)</f>
        <v>605196</v>
      </c>
      <c r="BE552">
        <v>0</v>
      </c>
      <c r="BF552">
        <v>0</v>
      </c>
      <c r="BG552">
        <v>0</v>
      </c>
      <c r="BH552">
        <v>0</v>
      </c>
    </row>
    <row r="553" spans="1:60" x14ac:dyDescent="0.3">
      <c r="A553" s="4">
        <f>HYPERLINK("http://legacy.baseballprospectus.com/p/70810",70810)</f>
        <v>70810</v>
      </c>
      <c r="B553" t="s">
        <v>1442</v>
      </c>
      <c r="C553" t="s">
        <v>458</v>
      </c>
      <c r="D553" s="10">
        <v>34038</v>
      </c>
      <c r="E553" t="s">
        <v>54</v>
      </c>
      <c r="F553" t="s">
        <v>33</v>
      </c>
      <c r="G553" t="s">
        <v>33</v>
      </c>
      <c r="H553">
        <v>74</v>
      </c>
      <c r="I553">
        <v>191</v>
      </c>
      <c r="J553">
        <v>2018</v>
      </c>
      <c r="K553" s="4" t="str">
        <f>HYPERLINK("http://legacy.baseballprospectus.com/fantasy/dc/index.php?tm=TOR","TOR")</f>
        <v>TOR</v>
      </c>
      <c r="L553" t="s">
        <v>95</v>
      </c>
      <c r="M553" t="s">
        <v>34</v>
      </c>
      <c r="N553">
        <v>25</v>
      </c>
      <c r="O553">
        <v>250</v>
      </c>
      <c r="P553" t="s">
        <v>1680</v>
      </c>
      <c r="Q553">
        <v>230</v>
      </c>
      <c r="R553">
        <v>27</v>
      </c>
      <c r="S553">
        <v>34</v>
      </c>
      <c r="T553">
        <v>11</v>
      </c>
      <c r="U553">
        <v>1</v>
      </c>
      <c r="V553">
        <v>9</v>
      </c>
      <c r="W553">
        <v>55</v>
      </c>
      <c r="X553">
        <v>95</v>
      </c>
      <c r="Y553">
        <v>33</v>
      </c>
      <c r="Z553">
        <v>16</v>
      </c>
      <c r="AA553">
        <v>1</v>
      </c>
      <c r="AB553">
        <v>2</v>
      </c>
      <c r="AC553">
        <v>68</v>
      </c>
      <c r="AD553">
        <v>1</v>
      </c>
      <c r="AE553">
        <v>2</v>
      </c>
      <c r="AF553">
        <v>6</v>
      </c>
      <c r="AG553">
        <v>0</v>
      </c>
      <c r="AH553">
        <v>0</v>
      </c>
      <c r="AI553" s="5">
        <v>0.23799999999999999</v>
      </c>
      <c r="AJ553" s="5">
        <v>0.28999999999999998</v>
      </c>
      <c r="AK553" s="5">
        <v>0.41499999999999998</v>
      </c>
      <c r="AL553" s="5">
        <v>0.23599999999999999</v>
      </c>
      <c r="AM553" s="5">
        <v>0.29299999999999998</v>
      </c>
      <c r="AN553">
        <v>-0.4</v>
      </c>
      <c r="AO553">
        <v>1.6</v>
      </c>
      <c r="AP553">
        <v>7</v>
      </c>
      <c r="AQ553">
        <v>-6.23</v>
      </c>
      <c r="AR553">
        <v>-0.7</v>
      </c>
      <c r="AS553" t="s">
        <v>1938</v>
      </c>
      <c r="AT553">
        <v>0.1</v>
      </c>
      <c r="AU553">
        <v>1.9</v>
      </c>
      <c r="AV553">
        <v>4</v>
      </c>
      <c r="AW553">
        <v>5</v>
      </c>
      <c r="AX553">
        <v>2</v>
      </c>
      <c r="AY553">
        <v>8</v>
      </c>
      <c r="AZ553" t="s">
        <v>4162</v>
      </c>
      <c r="BA553">
        <v>10</v>
      </c>
      <c r="BB553" t="s">
        <v>36</v>
      </c>
      <c r="BC553" t="s">
        <v>35</v>
      </c>
      <c r="BD553" s="4">
        <f>HYPERLINK("http://mlb.mlb.com/team/player.jsp?player_id=596069",596069)</f>
        <v>596069</v>
      </c>
      <c r="BE553">
        <v>400</v>
      </c>
      <c r="BF553">
        <v>1400</v>
      </c>
      <c r="BG553">
        <v>0</v>
      </c>
      <c r="BH553">
        <v>0</v>
      </c>
    </row>
    <row r="554" spans="1:60" x14ac:dyDescent="0.3">
      <c r="A554" s="4">
        <f>HYPERLINK("http://legacy.baseballprospectus.com/p/100268",100268)</f>
        <v>100268</v>
      </c>
      <c r="B554" t="s">
        <v>120</v>
      </c>
      <c r="C554" t="s">
        <v>1881</v>
      </c>
      <c r="D554" s="10">
        <v>34622</v>
      </c>
      <c r="E554" t="s">
        <v>58</v>
      </c>
      <c r="F554" t="s">
        <v>9</v>
      </c>
      <c r="G554" t="s">
        <v>33</v>
      </c>
      <c r="H554">
        <v>71</v>
      </c>
      <c r="I554">
        <v>165</v>
      </c>
      <c r="J554">
        <v>2018</v>
      </c>
      <c r="K554" s="4" t="str">
        <f>HYPERLINK("http://legacy.baseballprospectus.com/fantasy/dc/index.php?tm=TEX","TEX")</f>
        <v>TEX</v>
      </c>
      <c r="L554" t="s">
        <v>100</v>
      </c>
      <c r="M554" t="s">
        <v>34</v>
      </c>
      <c r="N554">
        <v>23</v>
      </c>
      <c r="O554">
        <v>250</v>
      </c>
      <c r="P554" t="s">
        <v>1680</v>
      </c>
      <c r="Q554">
        <v>225</v>
      </c>
      <c r="R554">
        <v>29</v>
      </c>
      <c r="S554">
        <v>33</v>
      </c>
      <c r="T554">
        <v>12</v>
      </c>
      <c r="U554">
        <v>1</v>
      </c>
      <c r="V554">
        <v>7</v>
      </c>
      <c r="W554">
        <v>53</v>
      </c>
      <c r="X554">
        <v>88</v>
      </c>
      <c r="Y554">
        <v>27</v>
      </c>
      <c r="Z554">
        <v>20</v>
      </c>
      <c r="AA554">
        <v>1</v>
      </c>
      <c r="AB554">
        <v>3</v>
      </c>
      <c r="AC554">
        <v>72</v>
      </c>
      <c r="AD554">
        <v>1</v>
      </c>
      <c r="AE554">
        <v>2</v>
      </c>
      <c r="AF554">
        <v>5</v>
      </c>
      <c r="AG554">
        <v>8</v>
      </c>
      <c r="AH554">
        <v>3</v>
      </c>
      <c r="AI554" s="5">
        <v>0.23200000000000001</v>
      </c>
      <c r="AJ554" s="5">
        <v>0.3</v>
      </c>
      <c r="AK554" s="5">
        <v>0.38200000000000001</v>
      </c>
      <c r="AL554" s="5">
        <v>0.23100000000000001</v>
      </c>
      <c r="AM554" s="5">
        <v>0.30599999999999999</v>
      </c>
      <c r="AN554">
        <v>0.2</v>
      </c>
      <c r="AO554">
        <v>3.22</v>
      </c>
      <c r="AP554">
        <v>7</v>
      </c>
      <c r="AQ554">
        <v>-7.52</v>
      </c>
      <c r="AR554">
        <v>-2.2000000000000002</v>
      </c>
      <c r="AS554" t="s">
        <v>1027</v>
      </c>
      <c r="AT554">
        <v>0.1</v>
      </c>
      <c r="AU554">
        <v>2.9</v>
      </c>
      <c r="AV554">
        <v>4</v>
      </c>
      <c r="AW554">
        <v>8</v>
      </c>
      <c r="AX554">
        <v>6</v>
      </c>
      <c r="AY554">
        <v>12</v>
      </c>
      <c r="AZ554" t="s">
        <v>4255</v>
      </c>
      <c r="BA554">
        <v>18</v>
      </c>
      <c r="BB554" t="s">
        <v>36</v>
      </c>
      <c r="BC554" t="s">
        <v>35</v>
      </c>
      <c r="BD554" s="4">
        <f>HYPERLINK("http://mlb.mlb.com/team/player.jsp?player_id=608421",608421)</f>
        <v>608421</v>
      </c>
      <c r="BE554">
        <v>1479</v>
      </c>
      <c r="BF554">
        <v>479</v>
      </c>
      <c r="BG554">
        <v>0</v>
      </c>
      <c r="BH554">
        <v>0</v>
      </c>
    </row>
    <row r="555" spans="1:60" x14ac:dyDescent="0.3">
      <c r="A555" s="4">
        <f>HYPERLINK("http://legacy.baseballprospectus.com/p/100671",100671)</f>
        <v>100671</v>
      </c>
      <c r="B555" t="s">
        <v>1109</v>
      </c>
      <c r="C555" t="s">
        <v>136</v>
      </c>
      <c r="D555" s="10">
        <v>34256</v>
      </c>
      <c r="E555" t="s">
        <v>59</v>
      </c>
      <c r="F555" t="s">
        <v>33</v>
      </c>
      <c r="G555" t="s">
        <v>33</v>
      </c>
      <c r="H555">
        <v>73</v>
      </c>
      <c r="I555">
        <v>190</v>
      </c>
      <c r="J555">
        <v>2018</v>
      </c>
      <c r="K555" s="4" t="str">
        <f>HYPERLINK("http://legacy.baseballprospectus.com/fantasy/dc/index.php?tm=MIA","MIA")</f>
        <v>MIA</v>
      </c>
      <c r="L555" t="s">
        <v>100</v>
      </c>
      <c r="M555" t="s">
        <v>34</v>
      </c>
      <c r="N555">
        <v>24</v>
      </c>
      <c r="O555">
        <v>250</v>
      </c>
      <c r="P555" t="s">
        <v>1680</v>
      </c>
      <c r="Q555">
        <v>230</v>
      </c>
      <c r="R555">
        <v>25</v>
      </c>
      <c r="S555">
        <v>36</v>
      </c>
      <c r="T555">
        <v>11</v>
      </c>
      <c r="U555">
        <v>1</v>
      </c>
      <c r="V555">
        <v>7</v>
      </c>
      <c r="W555">
        <v>55</v>
      </c>
      <c r="X555">
        <v>89</v>
      </c>
      <c r="Y555">
        <v>30</v>
      </c>
      <c r="Z555">
        <v>17</v>
      </c>
      <c r="AA555">
        <v>1</v>
      </c>
      <c r="AB555">
        <v>1</v>
      </c>
      <c r="AC555">
        <v>57</v>
      </c>
      <c r="AD555">
        <v>1</v>
      </c>
      <c r="AE555">
        <v>1</v>
      </c>
      <c r="AF555">
        <v>6</v>
      </c>
      <c r="AG555">
        <v>1</v>
      </c>
      <c r="AH555">
        <v>1</v>
      </c>
      <c r="AI555" s="5">
        <v>0.24399999999999999</v>
      </c>
      <c r="AJ555" s="5">
        <v>0.29699999999999999</v>
      </c>
      <c r="AK555" s="5">
        <v>0.39900000000000002</v>
      </c>
      <c r="AL555" s="5">
        <v>0.23899999999999999</v>
      </c>
      <c r="AM555" s="5">
        <v>0.28999999999999998</v>
      </c>
      <c r="AN555">
        <v>-0.3</v>
      </c>
      <c r="AO555">
        <v>1.1599999999999999</v>
      </c>
      <c r="AP555">
        <v>7</v>
      </c>
      <c r="AQ555">
        <v>-5.54</v>
      </c>
      <c r="AR555">
        <v>-1</v>
      </c>
      <c r="AS555" t="s">
        <v>70</v>
      </c>
      <c r="AT555">
        <v>0.1</v>
      </c>
      <c r="AU555">
        <v>2.4</v>
      </c>
      <c r="AV555">
        <v>1</v>
      </c>
      <c r="AW555">
        <v>6</v>
      </c>
      <c r="AX555">
        <v>12</v>
      </c>
      <c r="AY555">
        <v>22</v>
      </c>
      <c r="AZ555" t="s">
        <v>4169</v>
      </c>
      <c r="BA555">
        <v>25</v>
      </c>
      <c r="BB555" t="s">
        <v>36</v>
      </c>
      <c r="BC555" t="s">
        <v>35</v>
      </c>
      <c r="BD555" s="4">
        <f>HYPERLINK("http://mlb.mlb.com/team/player.jsp?player_id=621573",621573)</f>
        <v>621573</v>
      </c>
      <c r="BE555">
        <v>0</v>
      </c>
      <c r="BF555">
        <v>0</v>
      </c>
      <c r="BG555">
        <v>0</v>
      </c>
      <c r="BH555">
        <v>0</v>
      </c>
    </row>
    <row r="556" spans="1:60" x14ac:dyDescent="0.3">
      <c r="A556" s="4">
        <f>HYPERLINK("http://legacy.baseballprospectus.com/p/100803",100803)</f>
        <v>100803</v>
      </c>
      <c r="B556" t="s">
        <v>877</v>
      </c>
      <c r="C556" t="s">
        <v>141</v>
      </c>
      <c r="D556" s="10">
        <v>33256</v>
      </c>
      <c r="E556" t="s">
        <v>53</v>
      </c>
      <c r="F556" t="s">
        <v>33</v>
      </c>
      <c r="G556" t="s">
        <v>33</v>
      </c>
      <c r="H556">
        <v>73</v>
      </c>
      <c r="I556">
        <v>200</v>
      </c>
      <c r="J556">
        <v>2018</v>
      </c>
      <c r="K556" s="4" t="str">
        <f>HYPERLINK("http://legacy.baseballprospectus.com/fantasy/dc/index.php?tm=SLN","SLN")</f>
        <v>SLN</v>
      </c>
      <c r="L556" t="s">
        <v>100</v>
      </c>
      <c r="M556" t="s">
        <v>34</v>
      </c>
      <c r="N556">
        <v>27</v>
      </c>
      <c r="O556">
        <v>250</v>
      </c>
      <c r="P556" t="s">
        <v>1680</v>
      </c>
      <c r="Q556">
        <v>227</v>
      </c>
      <c r="R556">
        <v>25</v>
      </c>
      <c r="S556">
        <v>38</v>
      </c>
      <c r="T556">
        <v>12</v>
      </c>
      <c r="U556">
        <v>1</v>
      </c>
      <c r="V556">
        <v>5</v>
      </c>
      <c r="W556">
        <v>56</v>
      </c>
      <c r="X556">
        <v>85</v>
      </c>
      <c r="Y556">
        <v>26</v>
      </c>
      <c r="Z556">
        <v>17</v>
      </c>
      <c r="AA556">
        <v>1</v>
      </c>
      <c r="AB556">
        <v>3</v>
      </c>
      <c r="AC556">
        <v>46</v>
      </c>
      <c r="AD556">
        <v>2</v>
      </c>
      <c r="AE556">
        <v>2</v>
      </c>
      <c r="AF556">
        <v>7</v>
      </c>
      <c r="AG556">
        <v>0</v>
      </c>
      <c r="AH556">
        <v>0</v>
      </c>
      <c r="AI556" s="5">
        <v>0.249</v>
      </c>
      <c r="AJ556" s="5">
        <v>0.30599999999999999</v>
      </c>
      <c r="AK556" s="5">
        <v>0.379</v>
      </c>
      <c r="AL556" s="5">
        <v>0.23200000000000001</v>
      </c>
      <c r="AM556" s="5">
        <v>0.28499999999999998</v>
      </c>
      <c r="AN556">
        <v>-0.4</v>
      </c>
      <c r="AO556">
        <v>3.68</v>
      </c>
      <c r="AP556">
        <v>7</v>
      </c>
      <c r="AQ556">
        <v>-7.3</v>
      </c>
      <c r="AR556">
        <v>-1.7</v>
      </c>
      <c r="AS556" t="s">
        <v>2181</v>
      </c>
      <c r="AT556">
        <v>0.1</v>
      </c>
      <c r="AU556">
        <v>3</v>
      </c>
      <c r="AV556">
        <v>6</v>
      </c>
      <c r="AW556">
        <v>11</v>
      </c>
      <c r="AX556">
        <v>4</v>
      </c>
      <c r="AY556">
        <v>16</v>
      </c>
      <c r="AZ556" t="s">
        <v>4171</v>
      </c>
      <c r="BA556">
        <v>27</v>
      </c>
      <c r="BB556" t="s">
        <v>36</v>
      </c>
      <c r="BC556" t="s">
        <v>35</v>
      </c>
      <c r="BD556" s="4">
        <f>HYPERLINK("http://mlb.mlb.com/team/player.jsp?player_id=622270",622270)</f>
        <v>622270</v>
      </c>
      <c r="BE556">
        <v>0</v>
      </c>
      <c r="BF556">
        <v>0</v>
      </c>
      <c r="BG556">
        <v>49</v>
      </c>
      <c r="BH556">
        <v>46</v>
      </c>
    </row>
    <row r="557" spans="1:60" x14ac:dyDescent="0.3">
      <c r="A557" s="4">
        <f>HYPERLINK("http://legacy.baseballprospectus.com/p/102700",102700)</f>
        <v>102700</v>
      </c>
      <c r="B557" t="s">
        <v>1705</v>
      </c>
      <c r="C557" t="s">
        <v>125</v>
      </c>
      <c r="D557" s="10">
        <v>34792</v>
      </c>
      <c r="E557" t="s">
        <v>54</v>
      </c>
      <c r="F557" t="s">
        <v>33</v>
      </c>
      <c r="G557" t="s">
        <v>33</v>
      </c>
      <c r="H557">
        <v>74</v>
      </c>
      <c r="I557">
        <v>230</v>
      </c>
      <c r="J557">
        <v>2018</v>
      </c>
      <c r="K557" s="4" t="str">
        <f>HYPERLINK("http://legacy.baseballprospectus.com/fantasy/dc/index.php?tm=MIL","MIL")</f>
        <v>MIL</v>
      </c>
      <c r="L557" t="s">
        <v>100</v>
      </c>
      <c r="M557" t="s">
        <v>34</v>
      </c>
      <c r="N557">
        <v>23</v>
      </c>
      <c r="O557">
        <v>250</v>
      </c>
      <c r="P557" t="s">
        <v>1680</v>
      </c>
      <c r="Q557">
        <v>226</v>
      </c>
      <c r="R557">
        <v>27</v>
      </c>
      <c r="S557">
        <v>31</v>
      </c>
      <c r="T557">
        <v>11</v>
      </c>
      <c r="U557">
        <v>0</v>
      </c>
      <c r="V557">
        <v>9</v>
      </c>
      <c r="W557">
        <v>51</v>
      </c>
      <c r="X557">
        <v>89</v>
      </c>
      <c r="Y557">
        <v>31</v>
      </c>
      <c r="Z557">
        <v>16</v>
      </c>
      <c r="AA557">
        <v>2</v>
      </c>
      <c r="AB557">
        <v>6</v>
      </c>
      <c r="AC557">
        <v>74</v>
      </c>
      <c r="AD557">
        <v>1</v>
      </c>
      <c r="AE557">
        <v>1</v>
      </c>
      <c r="AF557">
        <v>7</v>
      </c>
      <c r="AG557">
        <v>2</v>
      </c>
      <c r="AH557">
        <v>1</v>
      </c>
      <c r="AI557" s="5">
        <v>0.22800000000000001</v>
      </c>
      <c r="AJ557" s="5">
        <v>0.29599999999999999</v>
      </c>
      <c r="AK557" s="5">
        <v>0.39800000000000002</v>
      </c>
      <c r="AL557" s="5">
        <v>0.23400000000000001</v>
      </c>
      <c r="AM557" s="5">
        <v>0.29499999999999998</v>
      </c>
      <c r="AN557">
        <v>-0.3</v>
      </c>
      <c r="AO557">
        <v>4.41</v>
      </c>
      <c r="AP557">
        <v>7</v>
      </c>
      <c r="AQ557">
        <v>-6.88</v>
      </c>
      <c r="AR557">
        <v>-3.1</v>
      </c>
      <c r="AS557" t="s">
        <v>1923</v>
      </c>
      <c r="AT557">
        <v>0.1</v>
      </c>
      <c r="AU557">
        <v>4.3</v>
      </c>
      <c r="AV557">
        <v>4</v>
      </c>
      <c r="AW557">
        <v>9</v>
      </c>
      <c r="AX557">
        <v>4</v>
      </c>
      <c r="AY557">
        <v>13</v>
      </c>
      <c r="AZ557" t="s">
        <v>4174</v>
      </c>
      <c r="BA557">
        <v>21</v>
      </c>
      <c r="BB557" t="s">
        <v>36</v>
      </c>
      <c r="BC557" t="s">
        <v>35</v>
      </c>
      <c r="BD557" s="4">
        <f>HYPERLINK("http://mlb.mlb.com/team/player.jsp?player_id=641924",641924)</f>
        <v>641924</v>
      </c>
      <c r="BE557">
        <v>1412</v>
      </c>
      <c r="BF557">
        <v>412</v>
      </c>
      <c r="BG557">
        <v>0</v>
      </c>
      <c r="BH557">
        <v>0</v>
      </c>
    </row>
    <row r="558" spans="1:60" x14ac:dyDescent="0.3">
      <c r="A558" s="4">
        <f>HYPERLINK("http://legacy.baseballprospectus.com/p/102966",102966)</f>
        <v>102966</v>
      </c>
      <c r="B558" t="s">
        <v>1754</v>
      </c>
      <c r="C558" t="s">
        <v>304</v>
      </c>
      <c r="D558" s="10">
        <v>35051</v>
      </c>
      <c r="E558" t="s">
        <v>65</v>
      </c>
      <c r="F558" t="s">
        <v>9</v>
      </c>
      <c r="G558" t="s">
        <v>9</v>
      </c>
      <c r="H558">
        <v>73</v>
      </c>
      <c r="I558">
        <v>175</v>
      </c>
      <c r="J558">
        <v>2018</v>
      </c>
      <c r="K558" s="4" t="str">
        <f>HYPERLINK("http://legacy.baseballprospectus.com/fantasy/dc/index.php?tm=SEA","SEA")</f>
        <v>SEA</v>
      </c>
      <c r="L558" t="s">
        <v>95</v>
      </c>
      <c r="M558" t="s">
        <v>34</v>
      </c>
      <c r="N558">
        <v>22</v>
      </c>
      <c r="O558">
        <v>250</v>
      </c>
      <c r="P558" t="s">
        <v>1680</v>
      </c>
      <c r="Q558">
        <v>224</v>
      </c>
      <c r="R558">
        <v>24</v>
      </c>
      <c r="S558">
        <v>29</v>
      </c>
      <c r="T558">
        <v>8</v>
      </c>
      <c r="U558">
        <v>3</v>
      </c>
      <c r="V558">
        <v>7</v>
      </c>
      <c r="W558">
        <v>47</v>
      </c>
      <c r="X558">
        <v>82</v>
      </c>
      <c r="Y558">
        <v>27</v>
      </c>
      <c r="Z558">
        <v>20</v>
      </c>
      <c r="AA558">
        <v>1</v>
      </c>
      <c r="AB558">
        <v>1</v>
      </c>
      <c r="AC558">
        <v>76</v>
      </c>
      <c r="AD558">
        <v>4</v>
      </c>
      <c r="AE558">
        <v>1</v>
      </c>
      <c r="AF558">
        <v>6</v>
      </c>
      <c r="AG558">
        <v>2</v>
      </c>
      <c r="AH558">
        <v>1</v>
      </c>
      <c r="AI558" s="5">
        <v>0.21</v>
      </c>
      <c r="AJ558" s="5">
        <v>0.27500000000000002</v>
      </c>
      <c r="AK558" s="5">
        <v>0.36199999999999999</v>
      </c>
      <c r="AL558" s="5">
        <v>0.216</v>
      </c>
      <c r="AM558" s="5">
        <v>0.27500000000000002</v>
      </c>
      <c r="AN558">
        <v>0.1</v>
      </c>
      <c r="AO558">
        <v>2.68</v>
      </c>
      <c r="AP558">
        <v>7</v>
      </c>
      <c r="AQ558">
        <v>-11.67</v>
      </c>
      <c r="AR558">
        <v>3.2</v>
      </c>
      <c r="AS558" t="s">
        <v>4175</v>
      </c>
      <c r="AT558">
        <v>0.1</v>
      </c>
      <c r="AU558">
        <v>-1.9</v>
      </c>
      <c r="AV558">
        <v>4</v>
      </c>
      <c r="AW558">
        <v>7</v>
      </c>
      <c r="AX558">
        <v>2</v>
      </c>
      <c r="AY558">
        <v>9</v>
      </c>
      <c r="AZ558" t="s">
        <v>4176</v>
      </c>
      <c r="BA558">
        <v>15</v>
      </c>
      <c r="BB558" t="s">
        <v>36</v>
      </c>
      <c r="BC558" t="s">
        <v>35</v>
      </c>
      <c r="BD558" s="4">
        <f>HYPERLINK("http://mlb.mlb.com/team/player.jsp?player_id=642451",642451)</f>
        <v>642451</v>
      </c>
      <c r="BE558">
        <v>0</v>
      </c>
      <c r="BF558">
        <v>0</v>
      </c>
      <c r="BG558">
        <v>0</v>
      </c>
      <c r="BH558">
        <v>0</v>
      </c>
    </row>
    <row r="559" spans="1:60" x14ac:dyDescent="0.3">
      <c r="A559" s="4">
        <f>HYPERLINK("http://legacy.baseballprospectus.com/p/105978",105978)</f>
        <v>105978</v>
      </c>
      <c r="B559" t="s">
        <v>1903</v>
      </c>
      <c r="C559" t="s">
        <v>103</v>
      </c>
      <c r="D559" s="10">
        <v>34485</v>
      </c>
      <c r="E559" t="s">
        <v>58</v>
      </c>
      <c r="F559" t="s">
        <v>33</v>
      </c>
      <c r="G559" t="s">
        <v>33</v>
      </c>
      <c r="H559">
        <v>70</v>
      </c>
      <c r="I559">
        <v>175</v>
      </c>
      <c r="J559">
        <v>2018</v>
      </c>
      <c r="K559" s="4" t="str">
        <f>HYPERLINK("http://legacy.baseballprospectus.com/fantasy/dc/index.php?tm=ANA","ANA")</f>
        <v>ANA</v>
      </c>
      <c r="L559" t="s">
        <v>95</v>
      </c>
      <c r="M559" t="s">
        <v>34</v>
      </c>
      <c r="N559">
        <v>24</v>
      </c>
      <c r="O559">
        <v>250</v>
      </c>
      <c r="P559" t="s">
        <v>1680</v>
      </c>
      <c r="Q559">
        <v>232</v>
      </c>
      <c r="R559">
        <v>29</v>
      </c>
      <c r="S559">
        <v>41</v>
      </c>
      <c r="T559">
        <v>10</v>
      </c>
      <c r="U559">
        <v>1</v>
      </c>
      <c r="V559">
        <v>5</v>
      </c>
      <c r="W559">
        <v>57</v>
      </c>
      <c r="X559">
        <v>84</v>
      </c>
      <c r="Y559">
        <v>23</v>
      </c>
      <c r="Z559">
        <v>13</v>
      </c>
      <c r="AA559">
        <v>1</v>
      </c>
      <c r="AB559">
        <v>2</v>
      </c>
      <c r="AC559">
        <v>43</v>
      </c>
      <c r="AD559">
        <v>2</v>
      </c>
      <c r="AE559">
        <v>1</v>
      </c>
      <c r="AF559">
        <v>7</v>
      </c>
      <c r="AG559">
        <v>6</v>
      </c>
      <c r="AH559">
        <v>2</v>
      </c>
      <c r="AI559" s="5">
        <v>0.247</v>
      </c>
      <c r="AJ559" s="5">
        <v>0.29199999999999998</v>
      </c>
      <c r="AK559" s="5">
        <v>0.36599999999999999</v>
      </c>
      <c r="AL559" s="5">
        <v>0.22500000000000001</v>
      </c>
      <c r="AM559" s="5">
        <v>0.27800000000000002</v>
      </c>
      <c r="AN559">
        <v>0.3</v>
      </c>
      <c r="AO559">
        <v>3.79</v>
      </c>
      <c r="AP559">
        <v>7</v>
      </c>
      <c r="AQ559">
        <v>-9.1999999999999993</v>
      </c>
      <c r="AR559">
        <v>-0.7</v>
      </c>
      <c r="AS559" t="s">
        <v>4182</v>
      </c>
      <c r="AT559">
        <v>0.1</v>
      </c>
      <c r="AU559">
        <v>1.9</v>
      </c>
      <c r="AV559">
        <v>3</v>
      </c>
      <c r="AW559">
        <v>12</v>
      </c>
      <c r="AX559">
        <v>5</v>
      </c>
      <c r="AY559">
        <v>28</v>
      </c>
      <c r="AZ559" t="s">
        <v>4183</v>
      </c>
      <c r="BA559">
        <v>37</v>
      </c>
      <c r="BB559" t="s">
        <v>36</v>
      </c>
      <c r="BC559" t="s">
        <v>35</v>
      </c>
      <c r="BD559" s="4">
        <f>HYPERLINK("http://mlb.mlb.com/team/player.jsp?player_id=664058",664058)</f>
        <v>664058</v>
      </c>
      <c r="BE559">
        <v>532</v>
      </c>
      <c r="BF559">
        <v>1532</v>
      </c>
      <c r="BG559">
        <v>0</v>
      </c>
      <c r="BH559">
        <v>0</v>
      </c>
    </row>
    <row r="560" spans="1:60" x14ac:dyDescent="0.3">
      <c r="A560" s="4">
        <f>HYPERLINK("http://legacy.baseballprospectus.com/p/106531",106531)</f>
        <v>106531</v>
      </c>
      <c r="B560" t="s">
        <v>4258</v>
      </c>
      <c r="C560" t="s">
        <v>173</v>
      </c>
      <c r="D560" s="10">
        <v>34393</v>
      </c>
      <c r="E560" t="s">
        <v>50</v>
      </c>
      <c r="F560" t="s">
        <v>33</v>
      </c>
      <c r="G560" t="s">
        <v>33</v>
      </c>
      <c r="H560">
        <v>75</v>
      </c>
      <c r="I560">
        <v>230</v>
      </c>
      <c r="J560">
        <v>2018</v>
      </c>
      <c r="K560" s="4" t="str">
        <f>HYPERLINK("http://legacy.baseballprospectus.com/fantasy/dc/index.php?tm=COL","COL")</f>
        <v>COL</v>
      </c>
      <c r="L560" t="s">
        <v>100</v>
      </c>
      <c r="M560" t="s">
        <v>34</v>
      </c>
      <c r="N560">
        <v>24</v>
      </c>
      <c r="O560">
        <v>250</v>
      </c>
      <c r="P560" t="s">
        <v>1680</v>
      </c>
      <c r="Q560">
        <v>223</v>
      </c>
      <c r="R560">
        <v>27</v>
      </c>
      <c r="S560">
        <v>35</v>
      </c>
      <c r="T560">
        <v>14</v>
      </c>
      <c r="U560">
        <v>1</v>
      </c>
      <c r="V560">
        <v>7</v>
      </c>
      <c r="W560">
        <v>57</v>
      </c>
      <c r="X560">
        <v>94</v>
      </c>
      <c r="Y560">
        <v>31</v>
      </c>
      <c r="Z560">
        <v>23</v>
      </c>
      <c r="AA560">
        <v>2</v>
      </c>
      <c r="AB560">
        <v>2</v>
      </c>
      <c r="AC560">
        <v>50</v>
      </c>
      <c r="AD560">
        <v>0</v>
      </c>
      <c r="AE560">
        <v>2</v>
      </c>
      <c r="AF560">
        <v>7</v>
      </c>
      <c r="AG560">
        <v>0</v>
      </c>
      <c r="AH560">
        <v>0</v>
      </c>
      <c r="AI560" s="5">
        <v>0.25800000000000001</v>
      </c>
      <c r="AJ560" s="5">
        <v>0.33100000000000002</v>
      </c>
      <c r="AK560" s="5">
        <v>0.42699999999999999</v>
      </c>
      <c r="AL560" s="5">
        <v>0.247</v>
      </c>
      <c r="AM560" s="5">
        <v>0.29899999999999999</v>
      </c>
      <c r="AN560">
        <v>-0.5</v>
      </c>
      <c r="AO560">
        <v>-2.2799999999999998</v>
      </c>
      <c r="AP560">
        <v>7</v>
      </c>
      <c r="AQ560">
        <v>-3.5</v>
      </c>
      <c r="AR560">
        <v>-0.1</v>
      </c>
      <c r="AS560" t="s">
        <v>1004</v>
      </c>
      <c r="AT560">
        <v>0.1</v>
      </c>
      <c r="AU560">
        <v>0.7</v>
      </c>
      <c r="AV560">
        <v>4</v>
      </c>
      <c r="AW560">
        <v>10</v>
      </c>
      <c r="AX560">
        <v>3</v>
      </c>
      <c r="AY560">
        <v>13</v>
      </c>
      <c r="AZ560" t="s">
        <v>4259</v>
      </c>
      <c r="BA560">
        <v>18</v>
      </c>
      <c r="BB560" t="s">
        <v>36</v>
      </c>
      <c r="BC560" t="s">
        <v>35</v>
      </c>
      <c r="BD560" s="4">
        <f>HYPERLINK("http://mlb.mlb.com/team/player.jsp?player_id=621521",621521)</f>
        <v>621521</v>
      </c>
      <c r="BE560">
        <v>1763</v>
      </c>
      <c r="BF560">
        <v>763</v>
      </c>
      <c r="BG560">
        <v>0</v>
      </c>
      <c r="BH560">
        <v>0</v>
      </c>
    </row>
    <row r="561" spans="1:60" x14ac:dyDescent="0.3">
      <c r="A561" s="4">
        <f>HYPERLINK("http://legacy.baseballprospectus.com/p/108350",108350)</f>
        <v>108350</v>
      </c>
      <c r="B561" t="s">
        <v>551</v>
      </c>
      <c r="C561" t="s">
        <v>4263</v>
      </c>
      <c r="D561" s="10">
        <v>36209</v>
      </c>
      <c r="E561" t="s">
        <v>53</v>
      </c>
      <c r="F561" t="s">
        <v>33</v>
      </c>
      <c r="G561" t="s">
        <v>33</v>
      </c>
      <c r="H561">
        <v>71</v>
      </c>
      <c r="I561">
        <v>175</v>
      </c>
      <c r="J561">
        <v>2018</v>
      </c>
      <c r="K561" s="4" t="str">
        <f>HYPERLINK("http://legacy.baseballprospectus.com/fantasy/dc/index.php?tm=DET","DET")</f>
        <v>DET</v>
      </c>
      <c r="L561" t="s">
        <v>95</v>
      </c>
      <c r="M561" t="s">
        <v>34</v>
      </c>
      <c r="N561">
        <v>19</v>
      </c>
      <c r="O561">
        <v>250</v>
      </c>
      <c r="P561" t="s">
        <v>1680</v>
      </c>
      <c r="Q561">
        <v>228</v>
      </c>
      <c r="R561">
        <v>25</v>
      </c>
      <c r="S561">
        <v>34</v>
      </c>
      <c r="T561">
        <v>12</v>
      </c>
      <c r="U561">
        <v>1</v>
      </c>
      <c r="V561">
        <v>8</v>
      </c>
      <c r="W561">
        <v>55</v>
      </c>
      <c r="X561">
        <v>93</v>
      </c>
      <c r="Y561">
        <v>30</v>
      </c>
      <c r="Z561">
        <v>15</v>
      </c>
      <c r="AA561">
        <v>1</v>
      </c>
      <c r="AB561">
        <v>5</v>
      </c>
      <c r="AC561">
        <v>51</v>
      </c>
      <c r="AD561">
        <v>1</v>
      </c>
      <c r="AE561">
        <v>1</v>
      </c>
      <c r="AF561">
        <v>6</v>
      </c>
      <c r="AG561">
        <v>0</v>
      </c>
      <c r="AH561">
        <v>0</v>
      </c>
      <c r="AI561" s="5">
        <v>0.23699999999999999</v>
      </c>
      <c r="AJ561" s="5">
        <v>0.29599999999999999</v>
      </c>
      <c r="AK561" s="5">
        <v>0.39500000000000002</v>
      </c>
      <c r="AL561" s="5">
        <v>0.22600000000000001</v>
      </c>
      <c r="AM561" s="5">
        <v>0.27</v>
      </c>
      <c r="AN561">
        <v>-0.4</v>
      </c>
      <c r="AO561">
        <v>3.82</v>
      </c>
      <c r="AP561">
        <v>7</v>
      </c>
      <c r="AQ561">
        <v>-9.0500000000000007</v>
      </c>
      <c r="AR561">
        <v>-0.8</v>
      </c>
      <c r="AS561" t="s">
        <v>4264</v>
      </c>
      <c r="AT561">
        <v>0.1</v>
      </c>
      <c r="AU561">
        <v>1.3</v>
      </c>
      <c r="AV561">
        <v>0</v>
      </c>
      <c r="AW561">
        <v>4</v>
      </c>
      <c r="AX561">
        <v>1</v>
      </c>
      <c r="AY561">
        <v>45</v>
      </c>
      <c r="AZ561" t="s">
        <v>4265</v>
      </c>
      <c r="BA561">
        <v>49</v>
      </c>
      <c r="BB561" t="s">
        <v>36</v>
      </c>
      <c r="BC561" t="s">
        <v>35</v>
      </c>
      <c r="BD561" s="4">
        <f>HYPERLINK("http://mlb.mlb.com/team/player.jsp?player_id=670623",670623)</f>
        <v>670623</v>
      </c>
      <c r="BE561">
        <v>537</v>
      </c>
      <c r="BF561">
        <v>1537</v>
      </c>
      <c r="BG561">
        <v>0</v>
      </c>
      <c r="BH561">
        <v>0</v>
      </c>
    </row>
    <row r="562" spans="1:60" x14ac:dyDescent="0.3">
      <c r="A562" s="4">
        <f>HYPERLINK("http://legacy.baseballprospectus.com/p/108682",108682)</f>
        <v>108682</v>
      </c>
      <c r="B562" t="s">
        <v>1989</v>
      </c>
      <c r="C562" t="s">
        <v>391</v>
      </c>
      <c r="D562" s="10">
        <v>35686</v>
      </c>
      <c r="E562" t="s">
        <v>59</v>
      </c>
      <c r="F562" t="s">
        <v>9</v>
      </c>
      <c r="G562" t="s">
        <v>9</v>
      </c>
      <c r="H562">
        <v>74</v>
      </c>
      <c r="I562">
        <v>195</v>
      </c>
      <c r="J562">
        <v>2018</v>
      </c>
      <c r="K562" s="4" t="str">
        <f>HYPERLINK("http://legacy.baseballprospectus.com/fantasy/dc/index.php?tm=CIN","CIN")</f>
        <v>CIN</v>
      </c>
      <c r="L562" t="s">
        <v>100</v>
      </c>
      <c r="M562" t="s">
        <v>34</v>
      </c>
      <c r="N562">
        <v>20</v>
      </c>
      <c r="O562">
        <v>250</v>
      </c>
      <c r="P562" t="s">
        <v>1680</v>
      </c>
      <c r="Q562">
        <v>224</v>
      </c>
      <c r="R562">
        <v>30</v>
      </c>
      <c r="S562">
        <v>32</v>
      </c>
      <c r="T562">
        <v>9</v>
      </c>
      <c r="U562">
        <v>2</v>
      </c>
      <c r="V562">
        <v>7</v>
      </c>
      <c r="W562">
        <v>50</v>
      </c>
      <c r="X562">
        <v>84</v>
      </c>
      <c r="Y562">
        <v>27</v>
      </c>
      <c r="Z562">
        <v>23</v>
      </c>
      <c r="AA562">
        <v>1</v>
      </c>
      <c r="AB562">
        <v>1</v>
      </c>
      <c r="AC562">
        <v>72</v>
      </c>
      <c r="AD562">
        <v>0</v>
      </c>
      <c r="AE562">
        <v>1</v>
      </c>
      <c r="AF562">
        <v>5</v>
      </c>
      <c r="AG562">
        <v>9</v>
      </c>
      <c r="AH562">
        <v>3</v>
      </c>
      <c r="AI562" s="5">
        <v>0.22500000000000001</v>
      </c>
      <c r="AJ562" s="5">
        <v>0.29899999999999999</v>
      </c>
      <c r="AK562" s="5">
        <v>0.376</v>
      </c>
      <c r="AL562" s="5">
        <v>0.22800000000000001</v>
      </c>
      <c r="AM562" s="5">
        <v>0.29499999999999998</v>
      </c>
      <c r="AN562">
        <v>0.8</v>
      </c>
      <c r="AO562">
        <v>1.52</v>
      </c>
      <c r="AP562">
        <v>7</v>
      </c>
      <c r="AQ562">
        <v>-8.5299999999999994</v>
      </c>
      <c r="AR562">
        <v>0.3</v>
      </c>
      <c r="AS562" t="s">
        <v>4915</v>
      </c>
      <c r="AT562">
        <v>0.1</v>
      </c>
      <c r="AU562">
        <v>0.8</v>
      </c>
      <c r="AV562">
        <v>4</v>
      </c>
      <c r="AW562">
        <v>15</v>
      </c>
      <c r="AX562">
        <v>0</v>
      </c>
      <c r="AY562">
        <v>7</v>
      </c>
      <c r="AZ562" t="s">
        <v>4186</v>
      </c>
      <c r="BA562">
        <v>17</v>
      </c>
      <c r="BB562" t="s">
        <v>36</v>
      </c>
      <c r="BC562" t="s">
        <v>35</v>
      </c>
      <c r="BD562" s="4">
        <f>HYPERLINK("http://mlb.mlb.com/team/player.jsp?player_id=666211",666211)</f>
        <v>666211</v>
      </c>
      <c r="BE562">
        <v>1661</v>
      </c>
      <c r="BF562">
        <v>661</v>
      </c>
      <c r="BG562">
        <v>0</v>
      </c>
      <c r="BH562">
        <v>0</v>
      </c>
    </row>
    <row r="563" spans="1:60" x14ac:dyDescent="0.3">
      <c r="A563" s="4">
        <f>HYPERLINK("http://legacy.baseballprospectus.com/p/110182",110182)</f>
        <v>110182</v>
      </c>
      <c r="B563" t="s">
        <v>472</v>
      </c>
      <c r="C563" t="s">
        <v>4187</v>
      </c>
      <c r="D563" s="10">
        <v>36316</v>
      </c>
      <c r="E563" t="s">
        <v>53</v>
      </c>
      <c r="F563" t="s">
        <v>33</v>
      </c>
      <c r="G563" t="s">
        <v>33</v>
      </c>
      <c r="H563">
        <v>74</v>
      </c>
      <c r="I563">
        <v>188</v>
      </c>
      <c r="J563">
        <v>2018</v>
      </c>
      <c r="K563" s="4" t="str">
        <f>HYPERLINK("http://legacy.baseballprospectus.com/fantasy/dc/index.php?tm=MIN","MIN")</f>
        <v>MIN</v>
      </c>
      <c r="L563" t="s">
        <v>95</v>
      </c>
      <c r="M563" t="s">
        <v>34</v>
      </c>
      <c r="N563">
        <v>19</v>
      </c>
      <c r="O563">
        <v>250</v>
      </c>
      <c r="P563" t="s">
        <v>1680</v>
      </c>
      <c r="Q563">
        <v>227</v>
      </c>
      <c r="R563">
        <v>29</v>
      </c>
      <c r="S563">
        <v>33</v>
      </c>
      <c r="T563">
        <v>10</v>
      </c>
      <c r="U563">
        <v>1</v>
      </c>
      <c r="V563">
        <v>7</v>
      </c>
      <c r="W563">
        <v>51</v>
      </c>
      <c r="X563">
        <v>84</v>
      </c>
      <c r="Y563">
        <v>24</v>
      </c>
      <c r="Z563">
        <v>18</v>
      </c>
      <c r="AA563">
        <v>1</v>
      </c>
      <c r="AB563">
        <v>3</v>
      </c>
      <c r="AC563">
        <v>69</v>
      </c>
      <c r="AD563">
        <v>1</v>
      </c>
      <c r="AE563">
        <v>1</v>
      </c>
      <c r="AF563">
        <v>5</v>
      </c>
      <c r="AG563">
        <v>4</v>
      </c>
      <c r="AH563">
        <v>1</v>
      </c>
      <c r="AI563" s="5">
        <v>0.223</v>
      </c>
      <c r="AJ563" s="5">
        <v>0.28599999999999998</v>
      </c>
      <c r="AK563" s="5">
        <v>0.36199999999999999</v>
      </c>
      <c r="AL563" s="5">
        <v>0.215</v>
      </c>
      <c r="AM563" s="5">
        <v>0.28599999999999998</v>
      </c>
      <c r="AN563">
        <v>0.1</v>
      </c>
      <c r="AO563">
        <v>4.16</v>
      </c>
      <c r="AP563">
        <v>7</v>
      </c>
      <c r="AQ563">
        <v>-11.91</v>
      </c>
      <c r="AR563">
        <v>1.6</v>
      </c>
      <c r="AS563" t="s">
        <v>67</v>
      </c>
      <c r="AT563">
        <v>0.1</v>
      </c>
      <c r="AU563">
        <v>-0.6</v>
      </c>
      <c r="AV563">
        <v>0</v>
      </c>
      <c r="AW563">
        <v>5</v>
      </c>
      <c r="AX563">
        <v>1</v>
      </c>
      <c r="AY563">
        <v>12</v>
      </c>
      <c r="AZ563" t="s">
        <v>4188</v>
      </c>
      <c r="BA563">
        <v>16</v>
      </c>
      <c r="BB563" t="s">
        <v>36</v>
      </c>
      <c r="BC563" t="s">
        <v>35</v>
      </c>
      <c r="BD563" s="4">
        <f>HYPERLINK("http://mlb.mlb.com/team/player.jsp?player_id=668904",668904)</f>
        <v>668904</v>
      </c>
      <c r="BE563">
        <v>542</v>
      </c>
      <c r="BF563">
        <v>1542</v>
      </c>
      <c r="BG563">
        <v>0</v>
      </c>
      <c r="BH563">
        <v>0</v>
      </c>
    </row>
    <row r="564" spans="1:60" x14ac:dyDescent="0.3">
      <c r="A564" s="4">
        <f>HYPERLINK("http://legacy.baseballprospectus.com/p/110715",110715)</f>
        <v>110715</v>
      </c>
      <c r="B564" t="s">
        <v>4268</v>
      </c>
      <c r="C564" t="s">
        <v>473</v>
      </c>
      <c r="D564" s="10">
        <v>34639</v>
      </c>
      <c r="E564" t="s">
        <v>59</v>
      </c>
      <c r="F564" t="s">
        <v>33</v>
      </c>
      <c r="G564" t="s">
        <v>33</v>
      </c>
      <c r="H564">
        <v>75</v>
      </c>
      <c r="I564">
        <v>215</v>
      </c>
      <c r="J564">
        <v>2018</v>
      </c>
      <c r="K564" s="4" t="str">
        <f>HYPERLINK("http://legacy.baseballprospectus.com/fantasy/dc/index.php?tm=MIN","MIN")</f>
        <v>MIN</v>
      </c>
      <c r="L564" t="s">
        <v>95</v>
      </c>
      <c r="M564" t="s">
        <v>34</v>
      </c>
      <c r="N564">
        <v>23</v>
      </c>
      <c r="O564">
        <v>250</v>
      </c>
      <c r="P564" t="s">
        <v>1680</v>
      </c>
      <c r="Q564">
        <v>225</v>
      </c>
      <c r="R564">
        <v>31</v>
      </c>
      <c r="S564">
        <v>29</v>
      </c>
      <c r="T564">
        <v>9</v>
      </c>
      <c r="U564">
        <v>1</v>
      </c>
      <c r="V564">
        <v>13</v>
      </c>
      <c r="W564">
        <v>52</v>
      </c>
      <c r="X564">
        <v>102</v>
      </c>
      <c r="Y564">
        <v>38</v>
      </c>
      <c r="Z564">
        <v>20</v>
      </c>
      <c r="AA564">
        <v>2</v>
      </c>
      <c r="AB564">
        <v>3</v>
      </c>
      <c r="AC564">
        <v>80</v>
      </c>
      <c r="AD564">
        <v>1</v>
      </c>
      <c r="AE564">
        <v>1</v>
      </c>
      <c r="AF564">
        <v>5</v>
      </c>
      <c r="AG564">
        <v>0</v>
      </c>
      <c r="AH564">
        <v>0</v>
      </c>
      <c r="AI564" s="5">
        <v>0.23300000000000001</v>
      </c>
      <c r="AJ564" s="5">
        <v>0.30199999999999999</v>
      </c>
      <c r="AK564" s="5">
        <v>0.45700000000000002</v>
      </c>
      <c r="AL564" s="5">
        <v>0.247</v>
      </c>
      <c r="AM564" s="5">
        <v>0.29099999999999998</v>
      </c>
      <c r="AN564">
        <v>-0.4</v>
      </c>
      <c r="AO564">
        <v>0.32</v>
      </c>
      <c r="AP564">
        <v>7</v>
      </c>
      <c r="AQ564">
        <v>-3.51</v>
      </c>
      <c r="AR564">
        <v>-2.5</v>
      </c>
      <c r="AS564" t="s">
        <v>4917</v>
      </c>
      <c r="AT564">
        <v>0.1</v>
      </c>
      <c r="AU564">
        <v>3.4</v>
      </c>
      <c r="AV564">
        <v>6</v>
      </c>
      <c r="AW564">
        <v>19</v>
      </c>
      <c r="AX564">
        <v>3</v>
      </c>
      <c r="AY564">
        <v>12</v>
      </c>
      <c r="AZ564" t="s">
        <v>4269</v>
      </c>
      <c r="BA564">
        <v>36</v>
      </c>
      <c r="BB564" t="s">
        <v>36</v>
      </c>
      <c r="BC564" t="s">
        <v>35</v>
      </c>
      <c r="BD564" s="4">
        <f>HYPERLINK("http://mlb.mlb.com/team/player.jsp?player_id=667670",667670)</f>
        <v>667670</v>
      </c>
      <c r="BE564">
        <v>661</v>
      </c>
      <c r="BF564">
        <v>1661</v>
      </c>
      <c r="BG564">
        <v>0</v>
      </c>
      <c r="BH564">
        <v>0</v>
      </c>
    </row>
    <row r="565" spans="1:60" x14ac:dyDescent="0.3">
      <c r="A565" s="4">
        <f>HYPERLINK("http://legacy.baseballprospectus.com/p/47236",47236)</f>
        <v>47236</v>
      </c>
      <c r="B565" t="s">
        <v>233</v>
      </c>
      <c r="C565" t="s">
        <v>234</v>
      </c>
      <c r="D565" s="10">
        <v>31764</v>
      </c>
      <c r="E565" t="s">
        <v>50</v>
      </c>
      <c r="F565" t="s">
        <v>33</v>
      </c>
      <c r="G565" t="s">
        <v>33</v>
      </c>
      <c r="H565">
        <v>76</v>
      </c>
      <c r="I565">
        <v>245</v>
      </c>
      <c r="J565">
        <v>2018</v>
      </c>
      <c r="K565" s="4" t="str">
        <f>HYPERLINK("http://legacy.baseballprospectus.com/fantasy/dc/index.php?tm=ANA","ANA")</f>
        <v>ANA</v>
      </c>
      <c r="L565" t="s">
        <v>95</v>
      </c>
      <c r="M565" t="s">
        <v>34</v>
      </c>
      <c r="N565">
        <v>31</v>
      </c>
      <c r="O565">
        <v>208</v>
      </c>
      <c r="P565">
        <v>53</v>
      </c>
      <c r="Q565">
        <v>182</v>
      </c>
      <c r="R565">
        <v>27</v>
      </c>
      <c r="S565">
        <v>20</v>
      </c>
      <c r="T565">
        <v>7</v>
      </c>
      <c r="U565">
        <v>0</v>
      </c>
      <c r="V565">
        <v>11</v>
      </c>
      <c r="W565">
        <v>38</v>
      </c>
      <c r="X565">
        <v>78</v>
      </c>
      <c r="Y565">
        <v>31</v>
      </c>
      <c r="Z565">
        <v>23</v>
      </c>
      <c r="AA565">
        <v>1</v>
      </c>
      <c r="AB565">
        <v>2</v>
      </c>
      <c r="AC565">
        <v>69</v>
      </c>
      <c r="AD565">
        <v>0</v>
      </c>
      <c r="AE565">
        <v>1</v>
      </c>
      <c r="AF565">
        <v>5</v>
      </c>
      <c r="AG565">
        <v>1</v>
      </c>
      <c r="AH565">
        <v>0</v>
      </c>
      <c r="AI565" s="5">
        <v>0.20899999999999999</v>
      </c>
      <c r="AJ565" s="5">
        <v>0.30299999999999999</v>
      </c>
      <c r="AK565" s="5">
        <v>0.42899999999999999</v>
      </c>
      <c r="AL565" s="5">
        <v>0.26100000000000001</v>
      </c>
      <c r="AM565" s="5">
        <v>0.26900000000000002</v>
      </c>
      <c r="AN565">
        <v>-0.4</v>
      </c>
      <c r="AO565">
        <v>-2.38</v>
      </c>
      <c r="AP565">
        <v>5.58</v>
      </c>
      <c r="AQ565">
        <v>0.11</v>
      </c>
      <c r="AR565">
        <v>-1.7</v>
      </c>
      <c r="AS565" t="s">
        <v>1023</v>
      </c>
      <c r="AT565">
        <v>0.1</v>
      </c>
      <c r="AU565">
        <v>2.9</v>
      </c>
      <c r="AV565">
        <v>5</v>
      </c>
      <c r="AW565">
        <v>42</v>
      </c>
      <c r="AX565">
        <v>7</v>
      </c>
      <c r="AY565">
        <v>11</v>
      </c>
      <c r="AZ565" t="s">
        <v>4141</v>
      </c>
      <c r="BA565">
        <v>96</v>
      </c>
      <c r="BB565" t="s">
        <v>35</v>
      </c>
      <c r="BC565" t="s">
        <v>36</v>
      </c>
      <c r="BD565" s="4">
        <f>HYPERLINK("http://mlb.mlb.com/team/player.jsp?player_id=474892",474892)</f>
        <v>474892</v>
      </c>
      <c r="BE565">
        <v>0</v>
      </c>
      <c r="BF565">
        <v>0</v>
      </c>
      <c r="BG565">
        <v>208</v>
      </c>
      <c r="BH565">
        <v>184</v>
      </c>
    </row>
    <row r="566" spans="1:60" x14ac:dyDescent="0.3">
      <c r="A566" s="4">
        <f>HYPERLINK("http://legacy.baseballprospectus.com/p/66004",66004)</f>
        <v>66004</v>
      </c>
      <c r="B566" t="s">
        <v>1084</v>
      </c>
      <c r="C566" t="s">
        <v>134</v>
      </c>
      <c r="D566" s="10">
        <v>33395</v>
      </c>
      <c r="E566" t="s">
        <v>58</v>
      </c>
      <c r="F566" t="s">
        <v>9</v>
      </c>
      <c r="G566" t="s">
        <v>33</v>
      </c>
      <c r="H566">
        <v>71</v>
      </c>
      <c r="I566">
        <v>195</v>
      </c>
      <c r="J566">
        <v>2018</v>
      </c>
      <c r="K566" s="4" t="str">
        <f>HYPERLINK("http://legacy.baseballprospectus.com/fantasy/dc/index.php?tm=ANA","ANA")</f>
        <v>ANA</v>
      </c>
      <c r="L566" t="s">
        <v>95</v>
      </c>
      <c r="M566" t="s">
        <v>34</v>
      </c>
      <c r="N566">
        <v>27</v>
      </c>
      <c r="O566">
        <v>93</v>
      </c>
      <c r="P566">
        <v>29</v>
      </c>
      <c r="Q566">
        <v>78</v>
      </c>
      <c r="R566">
        <v>10</v>
      </c>
      <c r="S566">
        <v>11</v>
      </c>
      <c r="T566">
        <v>4</v>
      </c>
      <c r="U566">
        <v>0</v>
      </c>
      <c r="V566">
        <v>2</v>
      </c>
      <c r="W566">
        <v>17</v>
      </c>
      <c r="X566">
        <v>27</v>
      </c>
      <c r="Y566">
        <v>8</v>
      </c>
      <c r="Z566">
        <v>12</v>
      </c>
      <c r="AA566">
        <v>0</v>
      </c>
      <c r="AB566">
        <v>1</v>
      </c>
      <c r="AC566">
        <v>25</v>
      </c>
      <c r="AD566">
        <v>2</v>
      </c>
      <c r="AE566">
        <v>1</v>
      </c>
      <c r="AF566">
        <v>2</v>
      </c>
      <c r="AG566">
        <v>1</v>
      </c>
      <c r="AH566">
        <v>1</v>
      </c>
      <c r="AI566" s="5">
        <v>0.218</v>
      </c>
      <c r="AJ566" s="5">
        <v>0.32600000000000001</v>
      </c>
      <c r="AK566" s="5">
        <v>0.34599999999999997</v>
      </c>
      <c r="AL566" s="5">
        <v>0.23</v>
      </c>
      <c r="AM566" s="5">
        <v>0.26800000000000002</v>
      </c>
      <c r="AN566">
        <v>-0.1</v>
      </c>
      <c r="AO566">
        <v>0.34</v>
      </c>
      <c r="AP566">
        <v>2.5</v>
      </c>
      <c r="AQ566">
        <v>-2.9</v>
      </c>
      <c r="AR566">
        <v>0.8</v>
      </c>
      <c r="AS566" t="s">
        <v>3850</v>
      </c>
      <c r="AT566">
        <v>0.1</v>
      </c>
      <c r="AU566">
        <v>-0.1</v>
      </c>
      <c r="AV566">
        <v>2</v>
      </c>
      <c r="AW566">
        <v>9</v>
      </c>
      <c r="AX566">
        <v>6</v>
      </c>
      <c r="AY566">
        <v>9</v>
      </c>
      <c r="AZ566" t="s">
        <v>4270</v>
      </c>
      <c r="BA566">
        <v>19</v>
      </c>
      <c r="BB566" t="s">
        <v>35</v>
      </c>
      <c r="BC566" t="s">
        <v>35</v>
      </c>
      <c r="BD566" s="4">
        <f>HYPERLINK("http://mlb.mlb.com/team/player.jsp?player_id=545337",545337)</f>
        <v>545337</v>
      </c>
      <c r="BE566">
        <v>527</v>
      </c>
      <c r="BF566">
        <v>1527</v>
      </c>
      <c r="BG566">
        <v>23</v>
      </c>
      <c r="BH566">
        <v>20</v>
      </c>
    </row>
    <row r="567" spans="1:60" x14ac:dyDescent="0.3">
      <c r="A567" s="4">
        <f>HYPERLINK("http://legacy.baseballprospectus.com/p/59074",59074)</f>
        <v>59074</v>
      </c>
      <c r="B567" t="s">
        <v>568</v>
      </c>
      <c r="C567" t="s">
        <v>165</v>
      </c>
      <c r="D567" s="10">
        <v>33173</v>
      </c>
      <c r="E567" t="s">
        <v>54</v>
      </c>
      <c r="F567" t="s">
        <v>33</v>
      </c>
      <c r="G567" t="s">
        <v>33</v>
      </c>
      <c r="H567">
        <v>72</v>
      </c>
      <c r="I567">
        <v>210</v>
      </c>
      <c r="J567">
        <v>2018</v>
      </c>
      <c r="K567" s="4" t="str">
        <f>HYPERLINK("http://legacy.baseballprospectus.com/fantasy/dc/index.php?tm=ANA","ANA")</f>
        <v>ANA</v>
      </c>
      <c r="L567" t="s">
        <v>95</v>
      </c>
      <c r="M567" t="s">
        <v>34</v>
      </c>
      <c r="N567">
        <v>27</v>
      </c>
      <c r="O567">
        <v>30</v>
      </c>
      <c r="P567">
        <v>9</v>
      </c>
      <c r="Q567">
        <v>27</v>
      </c>
      <c r="R567">
        <v>3</v>
      </c>
      <c r="S567">
        <v>5</v>
      </c>
      <c r="T567">
        <v>2</v>
      </c>
      <c r="U567">
        <v>0</v>
      </c>
      <c r="V567">
        <v>1</v>
      </c>
      <c r="W567">
        <v>8</v>
      </c>
      <c r="X567">
        <v>13</v>
      </c>
      <c r="Y567">
        <v>4</v>
      </c>
      <c r="Z567">
        <v>2</v>
      </c>
      <c r="AA567">
        <v>0</v>
      </c>
      <c r="AB567">
        <v>0</v>
      </c>
      <c r="AC567">
        <v>5</v>
      </c>
      <c r="AD567">
        <v>0</v>
      </c>
      <c r="AE567">
        <v>0</v>
      </c>
      <c r="AF567">
        <v>1</v>
      </c>
      <c r="AG567">
        <v>0</v>
      </c>
      <c r="AH567">
        <v>0</v>
      </c>
      <c r="AI567" s="5">
        <v>0.29599999999999999</v>
      </c>
      <c r="AJ567" s="5">
        <v>0.34499999999999997</v>
      </c>
      <c r="AK567" s="5">
        <v>0.48099999999999998</v>
      </c>
      <c r="AL567" s="5">
        <v>0.248</v>
      </c>
      <c r="AM567" s="5">
        <v>0.28599999999999998</v>
      </c>
      <c r="AN567">
        <v>0</v>
      </c>
      <c r="AO567">
        <v>0.23</v>
      </c>
      <c r="AP567">
        <v>0.81</v>
      </c>
      <c r="AQ567">
        <v>-0.38</v>
      </c>
      <c r="AR567">
        <v>0</v>
      </c>
      <c r="AS567" t="s">
        <v>55</v>
      </c>
      <c r="AT567">
        <v>0.1</v>
      </c>
      <c r="AU567">
        <v>0.6</v>
      </c>
      <c r="AV567">
        <v>5</v>
      </c>
      <c r="AW567">
        <v>37</v>
      </c>
      <c r="AX567">
        <v>9</v>
      </c>
      <c r="AY567">
        <v>19</v>
      </c>
      <c r="AZ567" t="s">
        <v>4271</v>
      </c>
      <c r="BA567">
        <v>91</v>
      </c>
      <c r="BB567" t="s">
        <v>35</v>
      </c>
      <c r="BC567" t="s">
        <v>36</v>
      </c>
      <c r="BD567" s="4">
        <f>HYPERLINK("http://mlb.mlb.com/team/player.jsp?player_id=542208",542208)</f>
        <v>542208</v>
      </c>
      <c r="BE567">
        <v>385</v>
      </c>
      <c r="BF567">
        <v>1385</v>
      </c>
      <c r="BG567">
        <v>21</v>
      </c>
      <c r="BH567">
        <v>20</v>
      </c>
    </row>
    <row r="568" spans="1:60" x14ac:dyDescent="0.3">
      <c r="A568" s="4">
        <f>HYPERLINK("http://legacy.baseballprospectus.com/p/41774",41774)</f>
        <v>41774</v>
      </c>
      <c r="B568" t="s">
        <v>602</v>
      </c>
      <c r="C568" t="s">
        <v>603</v>
      </c>
      <c r="D568" s="10">
        <v>30528</v>
      </c>
      <c r="E568" t="s">
        <v>54</v>
      </c>
      <c r="F568" t="s">
        <v>33</v>
      </c>
      <c r="G568" t="s">
        <v>33</v>
      </c>
      <c r="H568">
        <v>70</v>
      </c>
      <c r="I568">
        <v>215</v>
      </c>
      <c r="J568">
        <v>2018</v>
      </c>
      <c r="K568" s="4" t="str">
        <f>HYPERLINK("http://legacy.baseballprospectus.com/fantasy/dc/index.php?tm=ANA","ANA")</f>
        <v>ANA</v>
      </c>
      <c r="L568" t="s">
        <v>95</v>
      </c>
      <c r="M568" t="s">
        <v>34</v>
      </c>
      <c r="N568">
        <v>34</v>
      </c>
      <c r="O568">
        <v>120</v>
      </c>
      <c r="P568">
        <v>37</v>
      </c>
      <c r="Q568">
        <v>110</v>
      </c>
      <c r="R568">
        <v>12</v>
      </c>
      <c r="S568">
        <v>17</v>
      </c>
      <c r="T568">
        <v>5</v>
      </c>
      <c r="U568">
        <v>0</v>
      </c>
      <c r="V568">
        <v>3</v>
      </c>
      <c r="W568">
        <v>25</v>
      </c>
      <c r="X568">
        <v>39</v>
      </c>
      <c r="Y568">
        <v>12</v>
      </c>
      <c r="Z568">
        <v>7</v>
      </c>
      <c r="AA568">
        <v>1</v>
      </c>
      <c r="AB568">
        <v>1</v>
      </c>
      <c r="AC568">
        <v>29</v>
      </c>
      <c r="AD568">
        <v>1</v>
      </c>
      <c r="AE568">
        <v>1</v>
      </c>
      <c r="AF568">
        <v>3</v>
      </c>
      <c r="AG568">
        <v>0</v>
      </c>
      <c r="AH568">
        <v>0</v>
      </c>
      <c r="AI568" s="5">
        <v>0.22700000000000001</v>
      </c>
      <c r="AJ568" s="5">
        <v>0.27700000000000002</v>
      </c>
      <c r="AK568" s="5">
        <v>0.35499999999999998</v>
      </c>
      <c r="AL568" s="5">
        <v>0.223</v>
      </c>
      <c r="AM568" s="5">
        <v>0.27800000000000002</v>
      </c>
      <c r="AN568">
        <v>-0.3</v>
      </c>
      <c r="AO568">
        <v>0.91</v>
      </c>
      <c r="AP568">
        <v>3.22</v>
      </c>
      <c r="AQ568">
        <v>-4.68</v>
      </c>
      <c r="AR568">
        <v>1.6</v>
      </c>
      <c r="AS568" t="s">
        <v>1017</v>
      </c>
      <c r="AT568">
        <v>0.1</v>
      </c>
      <c r="AU568">
        <v>-0.8</v>
      </c>
      <c r="AV568">
        <v>7</v>
      </c>
      <c r="AW568">
        <v>30</v>
      </c>
      <c r="AX568">
        <v>17</v>
      </c>
      <c r="AY568">
        <v>27</v>
      </c>
      <c r="AZ568" t="s">
        <v>4272</v>
      </c>
      <c r="BA568">
        <v>81</v>
      </c>
      <c r="BB568" t="s">
        <v>35</v>
      </c>
      <c r="BC568" t="s">
        <v>36</v>
      </c>
      <c r="BD568" s="4">
        <f>HYPERLINK("http://mlb.mlb.com/team/player.jsp?player_id=425784",425784)</f>
        <v>425784</v>
      </c>
      <c r="BE568">
        <v>370</v>
      </c>
      <c r="BF568">
        <v>1370</v>
      </c>
      <c r="BG568">
        <v>237</v>
      </c>
      <c r="BH568">
        <v>218</v>
      </c>
    </row>
    <row r="569" spans="1:60" x14ac:dyDescent="0.3">
      <c r="A569" s="4">
        <f>HYPERLINK("http://legacy.baseballprospectus.com/p/67422",67422)</f>
        <v>67422</v>
      </c>
      <c r="B569" t="s">
        <v>1421</v>
      </c>
      <c r="C569" t="s">
        <v>1424</v>
      </c>
      <c r="D569" s="10">
        <v>33853</v>
      </c>
      <c r="E569" t="s">
        <v>57</v>
      </c>
      <c r="F569" t="s">
        <v>9</v>
      </c>
      <c r="G569" t="s">
        <v>9</v>
      </c>
      <c r="H569">
        <v>74</v>
      </c>
      <c r="I569">
        <v>205</v>
      </c>
      <c r="J569">
        <v>2018</v>
      </c>
      <c r="K569" s="4" t="str">
        <f>HYPERLINK("http://legacy.baseballprospectus.com/fantasy/dc/index.php?tm=ARI","ARI")</f>
        <v>ARI</v>
      </c>
      <c r="L569" t="s">
        <v>100</v>
      </c>
      <c r="M569" t="s">
        <v>34</v>
      </c>
      <c r="N569">
        <v>25</v>
      </c>
      <c r="O569">
        <v>111</v>
      </c>
      <c r="P569">
        <v>44</v>
      </c>
      <c r="Q569">
        <v>106</v>
      </c>
      <c r="R569">
        <v>11</v>
      </c>
      <c r="S569">
        <v>17</v>
      </c>
      <c r="T569">
        <v>4</v>
      </c>
      <c r="U569">
        <v>2</v>
      </c>
      <c r="V569">
        <v>2</v>
      </c>
      <c r="W569">
        <v>25</v>
      </c>
      <c r="X569">
        <v>39</v>
      </c>
      <c r="Y569">
        <v>11</v>
      </c>
      <c r="Z569">
        <v>4</v>
      </c>
      <c r="AA569">
        <v>0</v>
      </c>
      <c r="AB569">
        <v>0</v>
      </c>
      <c r="AC569">
        <v>27</v>
      </c>
      <c r="AD569">
        <v>0</v>
      </c>
      <c r="AE569">
        <v>0</v>
      </c>
      <c r="AF569">
        <v>2</v>
      </c>
      <c r="AG569">
        <v>2</v>
      </c>
      <c r="AH569">
        <v>1</v>
      </c>
      <c r="AI569" s="5">
        <v>0.23599999999999999</v>
      </c>
      <c r="AJ569" s="5">
        <v>0.26400000000000001</v>
      </c>
      <c r="AK569" s="5">
        <v>0.36799999999999999</v>
      </c>
      <c r="AL569" s="5">
        <v>0.23300000000000001</v>
      </c>
      <c r="AM569" s="5">
        <v>0.30599999999999999</v>
      </c>
      <c r="AN569">
        <v>0.3</v>
      </c>
      <c r="AO569">
        <v>-0.41</v>
      </c>
      <c r="AP569">
        <v>2.98</v>
      </c>
      <c r="AQ569">
        <v>-3.12</v>
      </c>
      <c r="AR569">
        <v>1.3</v>
      </c>
      <c r="AS569" t="s">
        <v>1546</v>
      </c>
      <c r="AT569">
        <v>0.1</v>
      </c>
      <c r="AU569">
        <v>-0.3</v>
      </c>
      <c r="AV569">
        <v>2</v>
      </c>
      <c r="AW569">
        <v>8</v>
      </c>
      <c r="AX569">
        <v>5</v>
      </c>
      <c r="AY569">
        <v>15</v>
      </c>
      <c r="AZ569" t="s">
        <v>4192</v>
      </c>
      <c r="BA569">
        <v>20</v>
      </c>
      <c r="BB569" t="s">
        <v>35</v>
      </c>
      <c r="BC569" t="s">
        <v>35</v>
      </c>
      <c r="BD569" s="4">
        <f>HYPERLINK("http://mlb.mlb.com/team/player.jsp?player_id=593647",593647)</f>
        <v>593647</v>
      </c>
      <c r="BE569">
        <v>1649</v>
      </c>
      <c r="BF569">
        <v>649</v>
      </c>
      <c r="BG569">
        <v>0</v>
      </c>
      <c r="BH569">
        <v>0</v>
      </c>
    </row>
    <row r="570" spans="1:60" x14ac:dyDescent="0.3">
      <c r="A570" s="4">
        <f>HYPERLINK("http://legacy.baseballprospectus.com/p/60095",60095)</f>
        <v>60095</v>
      </c>
      <c r="B570" t="s">
        <v>969</v>
      </c>
      <c r="C570" t="s">
        <v>1909</v>
      </c>
      <c r="D570" s="10">
        <v>33435</v>
      </c>
      <c r="E570" t="s">
        <v>58</v>
      </c>
      <c r="F570" t="s">
        <v>37</v>
      </c>
      <c r="G570" t="s">
        <v>33</v>
      </c>
      <c r="H570">
        <v>72</v>
      </c>
      <c r="I570">
        <v>170</v>
      </c>
      <c r="J570">
        <v>2018</v>
      </c>
      <c r="K570" s="4" t="str">
        <f>HYPERLINK("http://legacy.baseballprospectus.com/fantasy/dc/index.php?tm=ARI","ARI")</f>
        <v>ARI</v>
      </c>
      <c r="L570" t="s">
        <v>100</v>
      </c>
      <c r="M570" t="s">
        <v>34</v>
      </c>
      <c r="N570">
        <v>26</v>
      </c>
      <c r="O570">
        <v>46</v>
      </c>
      <c r="P570">
        <v>24</v>
      </c>
      <c r="Q570">
        <v>42</v>
      </c>
      <c r="R570">
        <v>5</v>
      </c>
      <c r="S570">
        <v>8</v>
      </c>
      <c r="T570">
        <v>3</v>
      </c>
      <c r="U570">
        <v>0</v>
      </c>
      <c r="V570">
        <v>1</v>
      </c>
      <c r="W570">
        <v>12</v>
      </c>
      <c r="X570">
        <v>18</v>
      </c>
      <c r="Y570">
        <v>5</v>
      </c>
      <c r="Z570">
        <v>3</v>
      </c>
      <c r="AA570">
        <v>0</v>
      </c>
      <c r="AB570">
        <v>0</v>
      </c>
      <c r="AC570">
        <v>6</v>
      </c>
      <c r="AD570">
        <v>0</v>
      </c>
      <c r="AE570">
        <v>0</v>
      </c>
      <c r="AF570">
        <v>1</v>
      </c>
      <c r="AG570">
        <v>1</v>
      </c>
      <c r="AH570">
        <v>0</v>
      </c>
      <c r="AI570" s="5">
        <v>0.28599999999999998</v>
      </c>
      <c r="AJ570" s="5">
        <v>0.33300000000000002</v>
      </c>
      <c r="AK570" s="5">
        <v>0.42899999999999999</v>
      </c>
      <c r="AL570" s="5">
        <v>0.251</v>
      </c>
      <c r="AM570" s="5">
        <v>0.29299999999999998</v>
      </c>
      <c r="AN570">
        <v>0</v>
      </c>
      <c r="AO570">
        <v>-0.06</v>
      </c>
      <c r="AP570">
        <v>1.23</v>
      </c>
      <c r="AQ570">
        <v>-0.42</v>
      </c>
      <c r="AR570">
        <v>0.6</v>
      </c>
      <c r="AS570" t="s">
        <v>69</v>
      </c>
      <c r="AT570">
        <v>0.1</v>
      </c>
      <c r="AU570">
        <v>0.8</v>
      </c>
      <c r="AV570">
        <v>4</v>
      </c>
      <c r="AW570">
        <v>26</v>
      </c>
      <c r="AX570">
        <v>8</v>
      </c>
      <c r="AY570">
        <v>32</v>
      </c>
      <c r="AZ570" t="s">
        <v>4194</v>
      </c>
      <c r="BA570">
        <v>43</v>
      </c>
      <c r="BB570" t="s">
        <v>35</v>
      </c>
      <c r="BC570" t="s">
        <v>35</v>
      </c>
      <c r="BD570" s="4">
        <f>HYPERLINK("http://mlb.mlb.com/team/player.jsp?player_id=545121",545121)</f>
        <v>545121</v>
      </c>
      <c r="BE570">
        <v>1472</v>
      </c>
      <c r="BF570">
        <v>472</v>
      </c>
      <c r="BG570">
        <v>13</v>
      </c>
      <c r="BH570">
        <v>13</v>
      </c>
    </row>
    <row r="571" spans="1:60" x14ac:dyDescent="0.3">
      <c r="A571" s="4">
        <f>HYPERLINK("http://legacy.baseballprospectus.com/p/65863",65863)</f>
        <v>65863</v>
      </c>
      <c r="B571" t="s">
        <v>259</v>
      </c>
      <c r="C571" t="s">
        <v>172</v>
      </c>
      <c r="D571" s="10">
        <v>32642</v>
      </c>
      <c r="E571" t="s">
        <v>58</v>
      </c>
      <c r="F571" t="s">
        <v>33</v>
      </c>
      <c r="G571" t="s">
        <v>33</v>
      </c>
      <c r="H571">
        <v>70</v>
      </c>
      <c r="I571">
        <v>185</v>
      </c>
      <c r="J571">
        <v>2018</v>
      </c>
      <c r="K571" s="4" t="str">
        <f>HYPERLINK("http://legacy.baseballprospectus.com/fantasy/dc/index.php?tm=ATL","ATL")</f>
        <v>ATL</v>
      </c>
      <c r="L571" t="s">
        <v>100</v>
      </c>
      <c r="M571" t="s">
        <v>34</v>
      </c>
      <c r="N571">
        <v>29</v>
      </c>
      <c r="O571">
        <v>31</v>
      </c>
      <c r="P571">
        <v>10</v>
      </c>
      <c r="Q571">
        <v>28</v>
      </c>
      <c r="R571">
        <v>3</v>
      </c>
      <c r="S571">
        <v>5</v>
      </c>
      <c r="T571">
        <v>1</v>
      </c>
      <c r="U571">
        <v>0</v>
      </c>
      <c r="V571">
        <v>0</v>
      </c>
      <c r="W571">
        <v>6</v>
      </c>
      <c r="X571">
        <v>7</v>
      </c>
      <c r="Y571">
        <v>2</v>
      </c>
      <c r="Z571">
        <v>2</v>
      </c>
      <c r="AA571">
        <v>0</v>
      </c>
      <c r="AB571">
        <v>0</v>
      </c>
      <c r="AC571">
        <v>5</v>
      </c>
      <c r="AD571">
        <v>0</v>
      </c>
      <c r="AE571">
        <v>0</v>
      </c>
      <c r="AF571">
        <v>1</v>
      </c>
      <c r="AG571">
        <v>1</v>
      </c>
      <c r="AH571">
        <v>0</v>
      </c>
      <c r="AI571" s="5">
        <v>0.214</v>
      </c>
      <c r="AJ571" s="5">
        <v>0.26700000000000002</v>
      </c>
      <c r="AK571" s="5">
        <v>0.25</v>
      </c>
      <c r="AL571" s="5">
        <v>0.23400000000000001</v>
      </c>
      <c r="AM571" s="5">
        <v>0.29099999999999998</v>
      </c>
      <c r="AN571">
        <v>0</v>
      </c>
      <c r="AO571">
        <v>0.16</v>
      </c>
      <c r="AP571">
        <v>0.83</v>
      </c>
      <c r="AQ571">
        <v>-0.86</v>
      </c>
      <c r="AR571">
        <v>0.6</v>
      </c>
      <c r="AS571" t="s">
        <v>69</v>
      </c>
      <c r="AT571">
        <v>0.1</v>
      </c>
      <c r="AU571">
        <v>0.1</v>
      </c>
      <c r="AV571">
        <v>4</v>
      </c>
      <c r="AW571">
        <v>20</v>
      </c>
      <c r="AX571">
        <v>14</v>
      </c>
      <c r="AY571">
        <v>25</v>
      </c>
      <c r="AZ571" t="s">
        <v>4012</v>
      </c>
      <c r="BA571">
        <v>58</v>
      </c>
      <c r="BB571" t="s">
        <v>35</v>
      </c>
      <c r="BC571" t="s">
        <v>36</v>
      </c>
      <c r="BD571" s="4">
        <f>HYPERLINK("http://mlb.mlb.com/team/player.jsp?player_id=518568",518568)</f>
        <v>518568</v>
      </c>
      <c r="BE571">
        <v>0</v>
      </c>
      <c r="BF571">
        <v>0</v>
      </c>
      <c r="BG571">
        <v>57</v>
      </c>
      <c r="BH571">
        <v>50</v>
      </c>
    </row>
    <row r="572" spans="1:60" x14ac:dyDescent="0.3">
      <c r="A572" s="4">
        <f>HYPERLINK("http://legacy.baseballprospectus.com/p/70886",70886)</f>
        <v>70886</v>
      </c>
      <c r="B572" t="s">
        <v>155</v>
      </c>
      <c r="C572" t="s">
        <v>1300</v>
      </c>
      <c r="D572" s="10">
        <v>33060</v>
      </c>
      <c r="E572" t="s">
        <v>59</v>
      </c>
      <c r="F572" t="s">
        <v>9</v>
      </c>
      <c r="G572" t="s">
        <v>9</v>
      </c>
      <c r="H572">
        <v>72</v>
      </c>
      <c r="I572">
        <v>215</v>
      </c>
      <c r="J572">
        <v>2018</v>
      </c>
      <c r="K572" s="4" t="str">
        <f>HYPERLINK("http://legacy.baseballprospectus.com/fantasy/dc/index.php?tm=ATL","ATL")</f>
        <v>ATL</v>
      </c>
      <c r="L572" t="s">
        <v>100</v>
      </c>
      <c r="M572" t="s">
        <v>34</v>
      </c>
      <c r="N572">
        <v>27</v>
      </c>
      <c r="O572">
        <v>238</v>
      </c>
      <c r="P572">
        <v>118</v>
      </c>
      <c r="Q572">
        <v>216</v>
      </c>
      <c r="R572">
        <v>27</v>
      </c>
      <c r="S572">
        <v>30</v>
      </c>
      <c r="T572">
        <v>10</v>
      </c>
      <c r="U572">
        <v>1</v>
      </c>
      <c r="V572">
        <v>9</v>
      </c>
      <c r="W572">
        <v>50</v>
      </c>
      <c r="X572">
        <v>89</v>
      </c>
      <c r="Y572">
        <v>31</v>
      </c>
      <c r="Z572">
        <v>19</v>
      </c>
      <c r="AA572">
        <v>1</v>
      </c>
      <c r="AB572">
        <v>2</v>
      </c>
      <c r="AC572">
        <v>55</v>
      </c>
      <c r="AD572">
        <v>0</v>
      </c>
      <c r="AE572">
        <v>1</v>
      </c>
      <c r="AF572">
        <v>5</v>
      </c>
      <c r="AG572">
        <v>0</v>
      </c>
      <c r="AH572">
        <v>0</v>
      </c>
      <c r="AI572" s="5">
        <v>0.23100000000000001</v>
      </c>
      <c r="AJ572" s="5">
        <v>0.29799999999999999</v>
      </c>
      <c r="AK572" s="5">
        <v>0.41199999999999998</v>
      </c>
      <c r="AL572" s="5">
        <v>0.253</v>
      </c>
      <c r="AM572" s="5">
        <v>0.27100000000000002</v>
      </c>
      <c r="AN572">
        <v>-0.4</v>
      </c>
      <c r="AO572">
        <v>-1.45</v>
      </c>
      <c r="AP572">
        <v>6.39</v>
      </c>
      <c r="AQ572">
        <v>-1.84</v>
      </c>
      <c r="AR572">
        <v>-1.3</v>
      </c>
      <c r="AS572" t="s">
        <v>1014</v>
      </c>
      <c r="AT572">
        <v>0.1</v>
      </c>
      <c r="AU572">
        <v>2.7</v>
      </c>
      <c r="AV572">
        <v>6</v>
      </c>
      <c r="AW572">
        <v>28</v>
      </c>
      <c r="AX572">
        <v>15</v>
      </c>
      <c r="AY572">
        <v>23</v>
      </c>
      <c r="AZ572" t="s">
        <v>4108</v>
      </c>
      <c r="BA572">
        <v>69</v>
      </c>
      <c r="BB572" t="s">
        <v>35</v>
      </c>
      <c r="BC572" t="s">
        <v>36</v>
      </c>
      <c r="BD572" s="4">
        <f>HYPERLINK("http://mlb.mlb.com/team/player.jsp?player_id=605512",605512)</f>
        <v>605512</v>
      </c>
      <c r="BE572">
        <v>1646</v>
      </c>
      <c r="BF572">
        <v>646</v>
      </c>
      <c r="BG572">
        <v>0</v>
      </c>
      <c r="BH572">
        <v>0</v>
      </c>
    </row>
    <row r="573" spans="1:60" x14ac:dyDescent="0.3">
      <c r="A573" s="4">
        <f>HYPERLINK("http://legacy.baseballprospectus.com/p/57476",57476)</f>
        <v>57476</v>
      </c>
      <c r="B573" t="s">
        <v>525</v>
      </c>
      <c r="C573" t="s">
        <v>491</v>
      </c>
      <c r="D573" s="10">
        <v>31296</v>
      </c>
      <c r="E573" t="s">
        <v>50</v>
      </c>
      <c r="F573" t="s">
        <v>9</v>
      </c>
      <c r="G573" t="s">
        <v>9</v>
      </c>
      <c r="H573">
        <v>74</v>
      </c>
      <c r="I573">
        <v>230</v>
      </c>
      <c r="J573">
        <v>2018</v>
      </c>
      <c r="K573" s="4" t="str">
        <f>HYPERLINK("http://legacy.baseballprospectus.com/fantasy/dc/index.php?tm=BOS","BOS")</f>
        <v>BOS</v>
      </c>
      <c r="L573" t="s">
        <v>95</v>
      </c>
      <c r="M573" t="s">
        <v>34</v>
      </c>
      <c r="N573">
        <v>32</v>
      </c>
      <c r="O573">
        <v>433</v>
      </c>
      <c r="P573">
        <v>114</v>
      </c>
      <c r="Q573">
        <v>392</v>
      </c>
      <c r="R573">
        <v>50</v>
      </c>
      <c r="S573">
        <v>58</v>
      </c>
      <c r="T573">
        <v>22</v>
      </c>
      <c r="U573">
        <v>0</v>
      </c>
      <c r="V573">
        <v>15</v>
      </c>
      <c r="W573">
        <v>95</v>
      </c>
      <c r="X573">
        <v>162</v>
      </c>
      <c r="Y573">
        <v>53</v>
      </c>
      <c r="Z573">
        <v>34</v>
      </c>
      <c r="AA573">
        <v>3</v>
      </c>
      <c r="AB573">
        <v>4</v>
      </c>
      <c r="AC573">
        <v>99</v>
      </c>
      <c r="AD573">
        <v>0</v>
      </c>
      <c r="AE573">
        <v>3</v>
      </c>
      <c r="AF573">
        <v>11</v>
      </c>
      <c r="AG573">
        <v>1</v>
      </c>
      <c r="AH573">
        <v>0</v>
      </c>
      <c r="AI573" s="5">
        <v>0.24199999999999999</v>
      </c>
      <c r="AJ573" s="5">
        <v>0.307</v>
      </c>
      <c r="AK573" s="5">
        <v>0.41299999999999998</v>
      </c>
      <c r="AL573" s="5">
        <v>0.251</v>
      </c>
      <c r="AM573" s="5">
        <v>0.28599999999999998</v>
      </c>
      <c r="AN573">
        <v>-1</v>
      </c>
      <c r="AO573">
        <v>-4.96</v>
      </c>
      <c r="AP573">
        <v>11.63</v>
      </c>
      <c r="AQ573">
        <v>-3.87</v>
      </c>
      <c r="AR573">
        <v>-0.4</v>
      </c>
      <c r="AS573" t="s">
        <v>1004</v>
      </c>
      <c r="AT573">
        <v>0.1</v>
      </c>
      <c r="AU573">
        <v>1.8</v>
      </c>
      <c r="AV573">
        <v>6</v>
      </c>
      <c r="AW573">
        <v>35</v>
      </c>
      <c r="AX573">
        <v>7</v>
      </c>
      <c r="AY573">
        <v>17</v>
      </c>
      <c r="AZ573" t="s">
        <v>4326</v>
      </c>
      <c r="BA573">
        <v>85</v>
      </c>
      <c r="BB573" t="s">
        <v>35</v>
      </c>
      <c r="BC573" t="s">
        <v>36</v>
      </c>
      <c r="BD573" s="4">
        <f>HYPERLINK("http://mlb.mlb.com/team/player.jsp?player_id=519048",519048)</f>
        <v>519048</v>
      </c>
      <c r="BE573">
        <v>408</v>
      </c>
      <c r="BF573">
        <v>1408</v>
      </c>
      <c r="BG573">
        <v>576</v>
      </c>
      <c r="BH573">
        <v>508</v>
      </c>
    </row>
    <row r="574" spans="1:60" x14ac:dyDescent="0.3">
      <c r="A574" s="4">
        <f>HYPERLINK("http://legacy.baseballprospectus.com/p/71175",71175)</f>
        <v>71175</v>
      </c>
      <c r="B574" t="s">
        <v>207</v>
      </c>
      <c r="C574" t="s">
        <v>353</v>
      </c>
      <c r="D574" s="10">
        <v>34208</v>
      </c>
      <c r="E574" t="s">
        <v>50</v>
      </c>
      <c r="F574" t="s">
        <v>33</v>
      </c>
      <c r="G574" t="s">
        <v>33</v>
      </c>
      <c r="H574">
        <v>72</v>
      </c>
      <c r="I574">
        <v>205</v>
      </c>
      <c r="J574">
        <v>2018</v>
      </c>
      <c r="K574" s="4" t="str">
        <f>HYPERLINK("http://legacy.baseballprospectus.com/fantasy/dc/index.php?tm=BOS","BOS")</f>
        <v>BOS</v>
      </c>
      <c r="L574" t="s">
        <v>95</v>
      </c>
      <c r="M574" t="s">
        <v>34</v>
      </c>
      <c r="N574">
        <v>24</v>
      </c>
      <c r="O574">
        <v>64</v>
      </c>
      <c r="P574">
        <v>20</v>
      </c>
      <c r="Q574">
        <v>58</v>
      </c>
      <c r="R574">
        <v>7</v>
      </c>
      <c r="S574">
        <v>10</v>
      </c>
      <c r="T574">
        <v>3</v>
      </c>
      <c r="U574">
        <v>0</v>
      </c>
      <c r="V574">
        <v>1</v>
      </c>
      <c r="W574">
        <v>14</v>
      </c>
      <c r="X574">
        <v>20</v>
      </c>
      <c r="Y574">
        <v>6</v>
      </c>
      <c r="Z574">
        <v>6</v>
      </c>
      <c r="AA574">
        <v>0</v>
      </c>
      <c r="AB574">
        <v>0</v>
      </c>
      <c r="AC574">
        <v>14</v>
      </c>
      <c r="AD574">
        <v>0</v>
      </c>
      <c r="AE574">
        <v>0</v>
      </c>
      <c r="AF574">
        <v>2</v>
      </c>
      <c r="AG574">
        <v>1</v>
      </c>
      <c r="AH574">
        <v>0</v>
      </c>
      <c r="AI574" s="5">
        <v>0.24099999999999999</v>
      </c>
      <c r="AJ574" s="5">
        <v>0.312</v>
      </c>
      <c r="AK574" s="5">
        <v>0.34499999999999997</v>
      </c>
      <c r="AL574" s="5">
        <v>0.25700000000000001</v>
      </c>
      <c r="AM574" s="5">
        <v>0.32</v>
      </c>
      <c r="AN574">
        <v>-0.1</v>
      </c>
      <c r="AO574">
        <v>-0.68</v>
      </c>
      <c r="AP574">
        <v>1.72</v>
      </c>
      <c r="AQ574">
        <v>-0.21</v>
      </c>
      <c r="AR574">
        <v>0.3</v>
      </c>
      <c r="AS574" t="s">
        <v>1005</v>
      </c>
      <c r="AT574">
        <v>0.1</v>
      </c>
      <c r="AU574">
        <v>0.8</v>
      </c>
      <c r="AV574">
        <v>5</v>
      </c>
      <c r="AW574">
        <v>21</v>
      </c>
      <c r="AX574">
        <v>9</v>
      </c>
      <c r="AY574">
        <v>24</v>
      </c>
      <c r="AZ574" t="s">
        <v>4196</v>
      </c>
      <c r="BA574">
        <v>43</v>
      </c>
      <c r="BB574" t="s">
        <v>35</v>
      </c>
      <c r="BC574" t="s">
        <v>35</v>
      </c>
      <c r="BD574" s="4">
        <f>HYPERLINK("http://mlb.mlb.com/team/player.jsp?player_id=607752",607752)</f>
        <v>607752</v>
      </c>
      <c r="BE574">
        <v>420</v>
      </c>
      <c r="BF574">
        <v>1420</v>
      </c>
      <c r="BG574">
        <v>83</v>
      </c>
      <c r="BH574">
        <v>76</v>
      </c>
    </row>
    <row r="575" spans="1:60" x14ac:dyDescent="0.3">
      <c r="A575" s="4">
        <f>HYPERLINK("http://legacy.baseballprospectus.com/p/68790",68790)</f>
        <v>68790</v>
      </c>
      <c r="B575" t="s">
        <v>1728</v>
      </c>
      <c r="C575" t="s">
        <v>232</v>
      </c>
      <c r="D575" s="10">
        <v>33539</v>
      </c>
      <c r="E575" t="s">
        <v>59</v>
      </c>
      <c r="F575" t="s">
        <v>9</v>
      </c>
      <c r="G575" t="s">
        <v>9</v>
      </c>
      <c r="H575">
        <v>74</v>
      </c>
      <c r="I575">
        <v>220</v>
      </c>
      <c r="J575">
        <v>2018</v>
      </c>
      <c r="K575" s="4" t="str">
        <f>HYPERLINK("http://legacy.baseballprospectus.com/fantasy/dc/index.php?tm=CHA","CHA")</f>
        <v>CHA</v>
      </c>
      <c r="L575" t="s">
        <v>95</v>
      </c>
      <c r="M575" t="s">
        <v>34</v>
      </c>
      <c r="N575">
        <v>26</v>
      </c>
      <c r="O575">
        <v>63</v>
      </c>
      <c r="P575">
        <v>19</v>
      </c>
      <c r="Q575">
        <v>57</v>
      </c>
      <c r="R575">
        <v>8</v>
      </c>
      <c r="S575">
        <v>7</v>
      </c>
      <c r="T575">
        <v>2</v>
      </c>
      <c r="U575">
        <v>0</v>
      </c>
      <c r="V575">
        <v>3</v>
      </c>
      <c r="W575">
        <v>12</v>
      </c>
      <c r="X575">
        <v>23</v>
      </c>
      <c r="Y575">
        <v>8</v>
      </c>
      <c r="Z575">
        <v>5</v>
      </c>
      <c r="AA575">
        <v>0</v>
      </c>
      <c r="AB575">
        <v>0</v>
      </c>
      <c r="AC575">
        <v>20</v>
      </c>
      <c r="AD575">
        <v>0</v>
      </c>
      <c r="AE575">
        <v>0</v>
      </c>
      <c r="AF575">
        <v>1</v>
      </c>
      <c r="AG575">
        <v>1</v>
      </c>
      <c r="AH575">
        <v>0</v>
      </c>
      <c r="AI575" s="5">
        <v>0.21099999999999999</v>
      </c>
      <c r="AJ575" s="5">
        <v>0.27400000000000002</v>
      </c>
      <c r="AK575" s="5">
        <v>0.40400000000000003</v>
      </c>
      <c r="AL575" s="5">
        <v>0.25900000000000001</v>
      </c>
      <c r="AM575" s="5">
        <v>0.29899999999999999</v>
      </c>
      <c r="AN575">
        <v>-0.1</v>
      </c>
      <c r="AO575">
        <v>-0.17</v>
      </c>
      <c r="AP575">
        <v>1.69</v>
      </c>
      <c r="AQ575">
        <v>-0.09</v>
      </c>
      <c r="AR575">
        <v>-0.7</v>
      </c>
      <c r="AS575" t="s">
        <v>1807</v>
      </c>
      <c r="AT575">
        <v>0.1</v>
      </c>
      <c r="AU575">
        <v>1.4</v>
      </c>
      <c r="AV575">
        <v>8</v>
      </c>
      <c r="AW575">
        <v>19</v>
      </c>
      <c r="AX575">
        <v>13</v>
      </c>
      <c r="AY575">
        <v>30</v>
      </c>
      <c r="AZ575" t="s">
        <v>4014</v>
      </c>
      <c r="BA575">
        <v>47</v>
      </c>
      <c r="BB575" t="s">
        <v>35</v>
      </c>
      <c r="BC575" t="s">
        <v>35</v>
      </c>
      <c r="BD575" s="4">
        <f>HYPERLINK("http://mlb.mlb.com/team/player.jsp?player_id=594953",594953)</f>
        <v>594953</v>
      </c>
      <c r="BE575">
        <v>643</v>
      </c>
      <c r="BF575">
        <v>1643</v>
      </c>
      <c r="BG575">
        <v>0</v>
      </c>
      <c r="BH575">
        <v>0</v>
      </c>
    </row>
    <row r="576" spans="1:60" x14ac:dyDescent="0.3">
      <c r="A576" s="4">
        <f>HYPERLINK("http://legacy.baseballprospectus.com/p/69752",69752)</f>
        <v>69752</v>
      </c>
      <c r="B576" t="s">
        <v>1240</v>
      </c>
      <c r="C576" t="s">
        <v>119</v>
      </c>
      <c r="D576" s="10">
        <v>34454</v>
      </c>
      <c r="E576" t="s">
        <v>53</v>
      </c>
      <c r="F576" t="s">
        <v>33</v>
      </c>
      <c r="G576" t="s">
        <v>33</v>
      </c>
      <c r="H576">
        <v>72</v>
      </c>
      <c r="I576">
        <v>196</v>
      </c>
      <c r="J576">
        <v>2018</v>
      </c>
      <c r="K576" s="4" t="str">
        <f>HYPERLINK("http://legacy.baseballprospectus.com/fantasy/dc/index.php?tm=CIN","CIN")</f>
        <v>CIN</v>
      </c>
      <c r="L576" t="s">
        <v>100</v>
      </c>
      <c r="M576" t="s">
        <v>34</v>
      </c>
      <c r="N576">
        <v>24</v>
      </c>
      <c r="O576">
        <v>625</v>
      </c>
      <c r="P576">
        <v>154</v>
      </c>
      <c r="Q576">
        <v>579</v>
      </c>
      <c r="R576">
        <v>83</v>
      </c>
      <c r="S576">
        <v>119</v>
      </c>
      <c r="T576">
        <v>21</v>
      </c>
      <c r="U576">
        <v>6</v>
      </c>
      <c r="V576">
        <v>11</v>
      </c>
      <c r="W576">
        <v>157</v>
      </c>
      <c r="X576">
        <v>223</v>
      </c>
      <c r="Y576">
        <v>54</v>
      </c>
      <c r="Z576">
        <v>27</v>
      </c>
      <c r="AA576">
        <v>3</v>
      </c>
      <c r="AB576">
        <v>7</v>
      </c>
      <c r="AC576">
        <v>86</v>
      </c>
      <c r="AD576">
        <v>9</v>
      </c>
      <c r="AE576">
        <v>3</v>
      </c>
      <c r="AF576">
        <v>11</v>
      </c>
      <c r="AG576">
        <v>29</v>
      </c>
      <c r="AH576">
        <v>11</v>
      </c>
      <c r="AI576" s="5">
        <v>0.27100000000000002</v>
      </c>
      <c r="AJ576" s="5">
        <v>0.31</v>
      </c>
      <c r="AK576" s="5">
        <v>0.38500000000000001</v>
      </c>
      <c r="AL576" s="5">
        <v>0.23699999999999999</v>
      </c>
      <c r="AM576" s="5">
        <v>0.29599999999999999</v>
      </c>
      <c r="AN576">
        <v>2.7</v>
      </c>
      <c r="AO576">
        <v>4.3099999999999996</v>
      </c>
      <c r="AP576">
        <v>16.78</v>
      </c>
      <c r="AQ576">
        <v>-14.78</v>
      </c>
      <c r="AR576">
        <v>-7.9</v>
      </c>
      <c r="AS576" t="s">
        <v>4060</v>
      </c>
      <c r="AT576">
        <v>0.1</v>
      </c>
      <c r="AU576">
        <v>9</v>
      </c>
      <c r="AV576">
        <v>6</v>
      </c>
      <c r="AW576">
        <v>37</v>
      </c>
      <c r="AX576">
        <v>10</v>
      </c>
      <c r="AY576">
        <v>17</v>
      </c>
      <c r="AZ576" t="s">
        <v>4198</v>
      </c>
      <c r="BA576">
        <v>77</v>
      </c>
      <c r="BB576" t="s">
        <v>35</v>
      </c>
      <c r="BC576" t="s">
        <v>36</v>
      </c>
      <c r="BD576" s="4">
        <f>HYPERLINK("http://mlb.mlb.com/team/player.jsp?player_id=606299",606299)</f>
        <v>606299</v>
      </c>
      <c r="BE576">
        <v>1527</v>
      </c>
      <c r="BF576">
        <v>527</v>
      </c>
      <c r="BG576">
        <v>518</v>
      </c>
      <c r="BH576">
        <v>487</v>
      </c>
    </row>
    <row r="577" spans="1:60" x14ac:dyDescent="0.3">
      <c r="A577" s="4">
        <f>HYPERLINK("http://legacy.baseballprospectus.com/p/60834",60834)</f>
        <v>60834</v>
      </c>
      <c r="B577" t="s">
        <v>377</v>
      </c>
      <c r="C577" t="s">
        <v>991</v>
      </c>
      <c r="D577" s="10">
        <v>31977</v>
      </c>
      <c r="E577" t="s">
        <v>54</v>
      </c>
      <c r="F577" t="s">
        <v>33</v>
      </c>
      <c r="G577" t="s">
        <v>33</v>
      </c>
      <c r="H577">
        <v>74</v>
      </c>
      <c r="I577">
        <v>215</v>
      </c>
      <c r="J577">
        <v>2018</v>
      </c>
      <c r="K577" s="4" t="str">
        <f>HYPERLINK("http://legacy.baseballprospectus.com/fantasy/dc/index.php?tm=CLE","CLE")</f>
        <v>CLE</v>
      </c>
      <c r="L577" t="s">
        <v>95</v>
      </c>
      <c r="M577" t="s">
        <v>34</v>
      </c>
      <c r="N577">
        <v>30</v>
      </c>
      <c r="O577">
        <v>230</v>
      </c>
      <c r="P577">
        <v>62</v>
      </c>
      <c r="Q577">
        <v>213</v>
      </c>
      <c r="R577">
        <v>25</v>
      </c>
      <c r="S577">
        <v>32</v>
      </c>
      <c r="T577">
        <v>11</v>
      </c>
      <c r="U577">
        <v>1</v>
      </c>
      <c r="V577">
        <v>8</v>
      </c>
      <c r="W577">
        <v>52</v>
      </c>
      <c r="X577">
        <v>89</v>
      </c>
      <c r="Y577">
        <v>28</v>
      </c>
      <c r="Z577">
        <v>13</v>
      </c>
      <c r="AA577">
        <v>1</v>
      </c>
      <c r="AB577">
        <v>3</v>
      </c>
      <c r="AC577">
        <v>57</v>
      </c>
      <c r="AD577">
        <v>0</v>
      </c>
      <c r="AE577">
        <v>1</v>
      </c>
      <c r="AF577">
        <v>7</v>
      </c>
      <c r="AG577">
        <v>0</v>
      </c>
      <c r="AH577">
        <v>0</v>
      </c>
      <c r="AI577" s="5">
        <v>0.24399999999999999</v>
      </c>
      <c r="AJ577" s="5">
        <v>0.29599999999999999</v>
      </c>
      <c r="AK577" s="5">
        <v>0.41799999999999998</v>
      </c>
      <c r="AL577" s="5">
        <v>0.24299999999999999</v>
      </c>
      <c r="AM577" s="5">
        <v>0.29099999999999998</v>
      </c>
      <c r="AN577">
        <v>-0.4</v>
      </c>
      <c r="AO577">
        <v>1.75</v>
      </c>
      <c r="AP577">
        <v>6.17</v>
      </c>
      <c r="AQ577">
        <v>-4.2</v>
      </c>
      <c r="AR577">
        <v>-1.9</v>
      </c>
      <c r="AS577" t="s">
        <v>1222</v>
      </c>
      <c r="AT577">
        <v>0.1</v>
      </c>
      <c r="AU577">
        <v>3.3</v>
      </c>
      <c r="AV577">
        <v>2</v>
      </c>
      <c r="AW577">
        <v>33</v>
      </c>
      <c r="AX577">
        <v>6</v>
      </c>
      <c r="AY577">
        <v>16</v>
      </c>
      <c r="AZ577" t="s">
        <v>4112</v>
      </c>
      <c r="BA577">
        <v>94</v>
      </c>
      <c r="BB577" t="s">
        <v>35</v>
      </c>
      <c r="BC577" t="s">
        <v>36</v>
      </c>
      <c r="BD577" s="4">
        <f>HYPERLINK("http://mlb.mlb.com/team/player.jsp?player_id=543228",543228)</f>
        <v>543228</v>
      </c>
      <c r="BE577">
        <v>357</v>
      </c>
      <c r="BF577">
        <v>1357</v>
      </c>
      <c r="BG577">
        <v>383</v>
      </c>
      <c r="BH577">
        <v>341</v>
      </c>
    </row>
    <row r="578" spans="1:60" x14ac:dyDescent="0.3">
      <c r="A578" s="4">
        <f>HYPERLINK("http://legacy.baseballprospectus.com/p/66263",66263)</f>
        <v>66263</v>
      </c>
      <c r="B578" t="s">
        <v>380</v>
      </c>
      <c r="C578" t="s">
        <v>462</v>
      </c>
      <c r="D578" s="10">
        <v>33481</v>
      </c>
      <c r="E578" t="s">
        <v>53</v>
      </c>
      <c r="F578" t="s">
        <v>33</v>
      </c>
      <c r="G578" t="s">
        <v>33</v>
      </c>
      <c r="H578">
        <v>75</v>
      </c>
      <c r="I578">
        <v>195</v>
      </c>
      <c r="J578">
        <v>2018</v>
      </c>
      <c r="K578" s="4" t="str">
        <f>HYPERLINK("http://legacy.baseballprospectus.com/fantasy/dc/index.php?tm=CLE","CLE")</f>
        <v>CLE</v>
      </c>
      <c r="L578" t="s">
        <v>95</v>
      </c>
      <c r="M578" t="s">
        <v>34</v>
      </c>
      <c r="N578">
        <v>26</v>
      </c>
      <c r="O578">
        <v>90</v>
      </c>
      <c r="P578">
        <v>28</v>
      </c>
      <c r="Q578">
        <v>84</v>
      </c>
      <c r="R578">
        <v>11</v>
      </c>
      <c r="S578">
        <v>14</v>
      </c>
      <c r="T578">
        <v>4</v>
      </c>
      <c r="U578">
        <v>1</v>
      </c>
      <c r="V578">
        <v>3</v>
      </c>
      <c r="W578">
        <v>22</v>
      </c>
      <c r="X578">
        <v>37</v>
      </c>
      <c r="Y578">
        <v>10</v>
      </c>
      <c r="Z578">
        <v>4</v>
      </c>
      <c r="AA578">
        <v>0</v>
      </c>
      <c r="AB578">
        <v>0</v>
      </c>
      <c r="AC578">
        <v>23</v>
      </c>
      <c r="AD578">
        <v>1</v>
      </c>
      <c r="AE578">
        <v>0</v>
      </c>
      <c r="AF578">
        <v>2</v>
      </c>
      <c r="AG578">
        <v>2</v>
      </c>
      <c r="AH578">
        <v>1</v>
      </c>
      <c r="AI578" s="5">
        <v>0.26200000000000001</v>
      </c>
      <c r="AJ578" s="5">
        <v>0.29499999999999998</v>
      </c>
      <c r="AK578" s="5">
        <v>0.44</v>
      </c>
      <c r="AL578" s="5">
        <v>0.23699999999999999</v>
      </c>
      <c r="AM578" s="5">
        <v>0.309</v>
      </c>
      <c r="AN578">
        <v>-0.1</v>
      </c>
      <c r="AO578">
        <v>0.56999999999999995</v>
      </c>
      <c r="AP578">
        <v>2.42</v>
      </c>
      <c r="AQ578">
        <v>-2.17</v>
      </c>
      <c r="AR578">
        <v>0.2</v>
      </c>
      <c r="AS578" t="s">
        <v>76</v>
      </c>
      <c r="AT578">
        <v>0.1</v>
      </c>
      <c r="AU578">
        <v>0.7</v>
      </c>
      <c r="AV578">
        <v>6</v>
      </c>
      <c r="AW578">
        <v>29</v>
      </c>
      <c r="AX578">
        <v>8</v>
      </c>
      <c r="AY578">
        <v>28</v>
      </c>
      <c r="AZ578" t="s">
        <v>4279</v>
      </c>
      <c r="BA578">
        <v>50</v>
      </c>
      <c r="BB578" t="s">
        <v>35</v>
      </c>
      <c r="BC578" t="s">
        <v>35</v>
      </c>
      <c r="BD578" s="4">
        <f>HYPERLINK("http://mlb.mlb.com/team/player.jsp?player_id=570481",570481)</f>
        <v>570481</v>
      </c>
      <c r="BE578">
        <v>456</v>
      </c>
      <c r="BF578">
        <v>1456</v>
      </c>
      <c r="BG578">
        <v>115</v>
      </c>
      <c r="BH578">
        <v>110</v>
      </c>
    </row>
    <row r="579" spans="1:60" x14ac:dyDescent="0.3">
      <c r="A579" s="4">
        <f>HYPERLINK("http://legacy.baseballprospectus.com/p/60956",60956)</f>
        <v>60956</v>
      </c>
      <c r="B579" t="s">
        <v>1394</v>
      </c>
      <c r="C579" t="s">
        <v>1395</v>
      </c>
      <c r="D579" s="10">
        <v>33522</v>
      </c>
      <c r="E579" t="s">
        <v>51</v>
      </c>
      <c r="F579" t="s">
        <v>33</v>
      </c>
      <c r="G579" t="s">
        <v>33</v>
      </c>
      <c r="H579">
        <v>72</v>
      </c>
      <c r="I579">
        <v>215</v>
      </c>
      <c r="J579">
        <v>2018</v>
      </c>
      <c r="K579" s="4" t="str">
        <f>HYPERLINK("http://legacy.baseballprospectus.com/fantasy/dc/index.php?tm=CLE","CLE")</f>
        <v>CLE</v>
      </c>
      <c r="L579" t="s">
        <v>95</v>
      </c>
      <c r="M579" t="s">
        <v>34</v>
      </c>
      <c r="N579">
        <v>26</v>
      </c>
      <c r="O579">
        <v>68</v>
      </c>
      <c r="P579">
        <v>22</v>
      </c>
      <c r="Q579">
        <v>64</v>
      </c>
      <c r="R579">
        <v>6</v>
      </c>
      <c r="S579">
        <v>11</v>
      </c>
      <c r="T579">
        <v>3</v>
      </c>
      <c r="U579">
        <v>0</v>
      </c>
      <c r="V579">
        <v>2</v>
      </c>
      <c r="W579">
        <v>16</v>
      </c>
      <c r="X579">
        <v>25</v>
      </c>
      <c r="Y579">
        <v>8</v>
      </c>
      <c r="Z579">
        <v>3</v>
      </c>
      <c r="AA579">
        <v>0</v>
      </c>
      <c r="AB579">
        <v>0</v>
      </c>
      <c r="AC579">
        <v>12</v>
      </c>
      <c r="AD579">
        <v>0</v>
      </c>
      <c r="AE579">
        <v>0</v>
      </c>
      <c r="AF579">
        <v>2</v>
      </c>
      <c r="AG579">
        <v>0</v>
      </c>
      <c r="AH579">
        <v>0</v>
      </c>
      <c r="AI579" s="5">
        <v>0.25</v>
      </c>
      <c r="AJ579" s="5">
        <v>0.28399999999999997</v>
      </c>
      <c r="AK579" s="5">
        <v>0.39100000000000001</v>
      </c>
      <c r="AL579" s="5">
        <v>0.23400000000000001</v>
      </c>
      <c r="AM579" s="5">
        <v>0.28100000000000003</v>
      </c>
      <c r="AN579">
        <v>-0.1</v>
      </c>
      <c r="AO579">
        <v>0.06</v>
      </c>
      <c r="AP579">
        <v>1.83</v>
      </c>
      <c r="AQ579">
        <v>-1.87</v>
      </c>
      <c r="AR579">
        <v>0.7</v>
      </c>
      <c r="AS579" t="s">
        <v>52</v>
      </c>
      <c r="AT579">
        <v>0.1</v>
      </c>
      <c r="AU579">
        <v>-0.1</v>
      </c>
      <c r="AV579">
        <v>6</v>
      </c>
      <c r="AW579">
        <v>36</v>
      </c>
      <c r="AX579">
        <v>12</v>
      </c>
      <c r="AY579">
        <v>27</v>
      </c>
      <c r="AZ579" t="s">
        <v>4332</v>
      </c>
      <c r="BA579">
        <v>63</v>
      </c>
      <c r="BB579" t="s">
        <v>35</v>
      </c>
      <c r="BC579" t="s">
        <v>36</v>
      </c>
      <c r="BD579" s="4">
        <f>HYPERLINK("http://mlb.mlb.com/team/player.jsp?player_id=570482",570482)</f>
        <v>570482</v>
      </c>
      <c r="BE579">
        <v>478</v>
      </c>
      <c r="BF579">
        <v>1478</v>
      </c>
      <c r="BG579">
        <v>165</v>
      </c>
      <c r="BH579">
        <v>156</v>
      </c>
    </row>
    <row r="580" spans="1:60" x14ac:dyDescent="0.3">
      <c r="A580" s="4">
        <f>HYPERLINK("http://legacy.baseballprospectus.com/p/66017",66017)</f>
        <v>66017</v>
      </c>
      <c r="B580" t="s">
        <v>692</v>
      </c>
      <c r="C580" t="s">
        <v>225</v>
      </c>
      <c r="D580" s="10">
        <v>33764</v>
      </c>
      <c r="E580" t="s">
        <v>54</v>
      </c>
      <c r="F580" t="s">
        <v>9</v>
      </c>
      <c r="G580" t="s">
        <v>33</v>
      </c>
      <c r="H580">
        <v>70</v>
      </c>
      <c r="I580">
        <v>200</v>
      </c>
      <c r="J580">
        <v>2018</v>
      </c>
      <c r="K580" s="4" t="str">
        <f>HYPERLINK("http://legacy.baseballprospectus.com/fantasy/dc/index.php?tm=COL","COL")</f>
        <v>COL</v>
      </c>
      <c r="L580" t="s">
        <v>100</v>
      </c>
      <c r="M580" t="s">
        <v>34</v>
      </c>
      <c r="N580">
        <v>26</v>
      </c>
      <c r="O580">
        <v>188</v>
      </c>
      <c r="P580">
        <v>55</v>
      </c>
      <c r="Q580">
        <v>166</v>
      </c>
      <c r="R580">
        <v>19</v>
      </c>
      <c r="S580">
        <v>27</v>
      </c>
      <c r="T580">
        <v>8</v>
      </c>
      <c r="U580">
        <v>1</v>
      </c>
      <c r="V580">
        <v>3</v>
      </c>
      <c r="W580">
        <v>39</v>
      </c>
      <c r="X580">
        <v>58</v>
      </c>
      <c r="Y580">
        <v>17</v>
      </c>
      <c r="Z580">
        <v>18</v>
      </c>
      <c r="AA580">
        <v>2</v>
      </c>
      <c r="AB580">
        <v>2</v>
      </c>
      <c r="AC580">
        <v>45</v>
      </c>
      <c r="AD580">
        <v>2</v>
      </c>
      <c r="AE580">
        <v>1</v>
      </c>
      <c r="AF580">
        <v>5</v>
      </c>
      <c r="AG580">
        <v>1</v>
      </c>
      <c r="AH580">
        <v>1</v>
      </c>
      <c r="AI580" s="5">
        <v>0.23499999999999999</v>
      </c>
      <c r="AJ580" s="5">
        <v>0.316</v>
      </c>
      <c r="AK580" s="5">
        <v>0.34899999999999998</v>
      </c>
      <c r="AL580" s="5">
        <v>0.22600000000000001</v>
      </c>
      <c r="AM580" s="5">
        <v>0.3</v>
      </c>
      <c r="AN580">
        <v>-0.2</v>
      </c>
      <c r="AO580">
        <v>1.43</v>
      </c>
      <c r="AP580">
        <v>5.05</v>
      </c>
      <c r="AQ580">
        <v>-6.65</v>
      </c>
      <c r="AR580">
        <v>1.7</v>
      </c>
      <c r="AS580" t="s">
        <v>1017</v>
      </c>
      <c r="AT580">
        <v>0.1</v>
      </c>
      <c r="AU580">
        <v>-0.4</v>
      </c>
      <c r="AV580">
        <v>13</v>
      </c>
      <c r="AW580">
        <v>55</v>
      </c>
      <c r="AX580">
        <v>16</v>
      </c>
      <c r="AY580">
        <v>29</v>
      </c>
      <c r="AZ580" t="s">
        <v>4113</v>
      </c>
      <c r="BA580">
        <v>92</v>
      </c>
      <c r="BB580" t="s">
        <v>35</v>
      </c>
      <c r="BC580" t="s">
        <v>36</v>
      </c>
      <c r="BD580" s="4">
        <f>HYPERLINK("http://mlb.mlb.com/team/player.jsp?player_id=547172",547172)</f>
        <v>547172</v>
      </c>
      <c r="BE580">
        <v>1386</v>
      </c>
      <c r="BF580">
        <v>386</v>
      </c>
      <c r="BG580">
        <v>266</v>
      </c>
      <c r="BH580">
        <v>229</v>
      </c>
    </row>
    <row r="581" spans="1:60" x14ac:dyDescent="0.3">
      <c r="A581" s="4">
        <f>HYPERLINK("http://legacy.baseballprospectus.com/p/68872",68872)</f>
        <v>68872</v>
      </c>
      <c r="B581" t="s">
        <v>1733</v>
      </c>
      <c r="C581" t="s">
        <v>142</v>
      </c>
      <c r="D581" s="10">
        <v>33793</v>
      </c>
      <c r="E581" t="s">
        <v>59</v>
      </c>
      <c r="F581" t="s">
        <v>9</v>
      </c>
      <c r="G581" t="s">
        <v>33</v>
      </c>
      <c r="H581">
        <v>72</v>
      </c>
      <c r="I581">
        <v>190</v>
      </c>
      <c r="J581">
        <v>2018</v>
      </c>
      <c r="K581" s="4" t="str">
        <f>HYPERLINK("http://legacy.baseballprospectus.com/fantasy/dc/index.php?tm=DET","DET")</f>
        <v>DET</v>
      </c>
      <c r="L581" t="s">
        <v>95</v>
      </c>
      <c r="M581" t="s">
        <v>34</v>
      </c>
      <c r="N581">
        <v>25</v>
      </c>
      <c r="O581">
        <v>168</v>
      </c>
      <c r="P581">
        <v>52</v>
      </c>
      <c r="Q581">
        <v>154</v>
      </c>
      <c r="R581">
        <v>19</v>
      </c>
      <c r="S581">
        <v>23</v>
      </c>
      <c r="T581">
        <v>8</v>
      </c>
      <c r="U581">
        <v>1</v>
      </c>
      <c r="V581">
        <v>6</v>
      </c>
      <c r="W581">
        <v>38</v>
      </c>
      <c r="X581">
        <v>66</v>
      </c>
      <c r="Y581">
        <v>21</v>
      </c>
      <c r="Z581">
        <v>12</v>
      </c>
      <c r="AA581">
        <v>1</v>
      </c>
      <c r="AB581">
        <v>1</v>
      </c>
      <c r="AC581">
        <v>46</v>
      </c>
      <c r="AD581">
        <v>0</v>
      </c>
      <c r="AE581">
        <v>1</v>
      </c>
      <c r="AF581">
        <v>3</v>
      </c>
      <c r="AG581">
        <v>2</v>
      </c>
      <c r="AH581">
        <v>1</v>
      </c>
      <c r="AI581" s="5">
        <v>0.247</v>
      </c>
      <c r="AJ581" s="5">
        <v>0.30399999999999999</v>
      </c>
      <c r="AK581" s="5">
        <v>0.42899999999999999</v>
      </c>
      <c r="AL581" s="5">
        <v>0.245</v>
      </c>
      <c r="AM581" s="5">
        <v>0.312</v>
      </c>
      <c r="AN581">
        <v>0</v>
      </c>
      <c r="AO581">
        <v>-0.43</v>
      </c>
      <c r="AP581">
        <v>4.51</v>
      </c>
      <c r="AQ581">
        <v>-2.71</v>
      </c>
      <c r="AR581">
        <v>-0.6</v>
      </c>
      <c r="AS581" t="s">
        <v>70</v>
      </c>
      <c r="AT581">
        <v>0.1</v>
      </c>
      <c r="AU581">
        <v>1.4</v>
      </c>
      <c r="AV581">
        <v>6</v>
      </c>
      <c r="AW581">
        <v>19</v>
      </c>
      <c r="AX581">
        <v>10</v>
      </c>
      <c r="AY581">
        <v>26</v>
      </c>
      <c r="AZ581" t="s">
        <v>4281</v>
      </c>
      <c r="BA581">
        <v>37</v>
      </c>
      <c r="BB581" t="s">
        <v>35</v>
      </c>
      <c r="BC581" t="s">
        <v>35</v>
      </c>
      <c r="BD581" s="4">
        <f>HYPERLINK("http://mlb.mlb.com/team/player.jsp?player_id=595222",595222)</f>
        <v>595222</v>
      </c>
      <c r="BE581">
        <v>653</v>
      </c>
      <c r="BF581">
        <v>1653</v>
      </c>
      <c r="BG581">
        <v>0</v>
      </c>
      <c r="BH581">
        <v>0</v>
      </c>
    </row>
    <row r="582" spans="1:60" x14ac:dyDescent="0.3">
      <c r="A582" s="4">
        <f>HYPERLINK("http://legacy.baseballprospectus.com/p/67002",67002)</f>
        <v>67002</v>
      </c>
      <c r="B582" t="s">
        <v>4282</v>
      </c>
      <c r="C582" t="s">
        <v>4283</v>
      </c>
      <c r="D582" s="10">
        <v>33662</v>
      </c>
      <c r="E582" t="s">
        <v>50</v>
      </c>
      <c r="F582" t="s">
        <v>37</v>
      </c>
      <c r="G582" t="s">
        <v>33</v>
      </c>
      <c r="H582">
        <v>75</v>
      </c>
      <c r="I582">
        <v>198</v>
      </c>
      <c r="J582">
        <v>2018</v>
      </c>
      <c r="K582" s="4" t="str">
        <f>HYPERLINK("http://legacy.baseballprospectus.com/fantasy/dc/index.php?tm=DET","DET")</f>
        <v>DET</v>
      </c>
      <c r="L582" t="s">
        <v>95</v>
      </c>
      <c r="M582" t="s">
        <v>34</v>
      </c>
      <c r="N582">
        <v>26</v>
      </c>
      <c r="O582">
        <v>188</v>
      </c>
      <c r="P582">
        <v>58</v>
      </c>
      <c r="Q582">
        <v>171</v>
      </c>
      <c r="R582">
        <v>23</v>
      </c>
      <c r="S582">
        <v>25</v>
      </c>
      <c r="T582">
        <v>8</v>
      </c>
      <c r="U582">
        <v>2</v>
      </c>
      <c r="V582">
        <v>6</v>
      </c>
      <c r="W582">
        <v>41</v>
      </c>
      <c r="X582">
        <v>71</v>
      </c>
      <c r="Y582">
        <v>21</v>
      </c>
      <c r="Z582">
        <v>15</v>
      </c>
      <c r="AA582">
        <v>1</v>
      </c>
      <c r="AB582">
        <v>1</v>
      </c>
      <c r="AC582">
        <v>52</v>
      </c>
      <c r="AD582">
        <v>0</v>
      </c>
      <c r="AE582">
        <v>1</v>
      </c>
      <c r="AF582">
        <v>4</v>
      </c>
      <c r="AG582">
        <v>5</v>
      </c>
      <c r="AH582">
        <v>2</v>
      </c>
      <c r="AI582" s="5">
        <v>0.24</v>
      </c>
      <c r="AJ582" s="5">
        <v>0.30299999999999999</v>
      </c>
      <c r="AK582" s="5">
        <v>0.41499999999999998</v>
      </c>
      <c r="AL582" s="5">
        <v>0.23899999999999999</v>
      </c>
      <c r="AM582" s="5">
        <v>0.3</v>
      </c>
      <c r="AN582">
        <v>0.3</v>
      </c>
      <c r="AO582">
        <v>-0.02</v>
      </c>
      <c r="AP582">
        <v>5.05</v>
      </c>
      <c r="AQ582">
        <v>-4.25</v>
      </c>
      <c r="AR582">
        <v>-0.2</v>
      </c>
      <c r="AS582" t="s">
        <v>5034</v>
      </c>
      <c r="AT582">
        <v>0.1</v>
      </c>
      <c r="AU582">
        <v>1.1000000000000001</v>
      </c>
      <c r="AV582">
        <v>2</v>
      </c>
      <c r="AW582">
        <v>6</v>
      </c>
      <c r="AX582">
        <v>8</v>
      </c>
      <c r="AY582">
        <v>12</v>
      </c>
      <c r="AZ582" t="s">
        <v>4284</v>
      </c>
      <c r="BA582">
        <v>18</v>
      </c>
      <c r="BB582" t="s">
        <v>35</v>
      </c>
      <c r="BC582" t="s">
        <v>35</v>
      </c>
      <c r="BD582" s="4">
        <f>HYPERLINK("http://mlb.mlb.com/team/player.jsp?player_id=592348",592348)</f>
        <v>592348</v>
      </c>
      <c r="BE582">
        <v>0</v>
      </c>
      <c r="BF582">
        <v>0</v>
      </c>
      <c r="BG582">
        <v>18</v>
      </c>
      <c r="BH582">
        <v>17</v>
      </c>
    </row>
    <row r="583" spans="1:60" x14ac:dyDescent="0.3">
      <c r="A583" s="4">
        <f>HYPERLINK("http://legacy.baseballprospectus.com/p/100271",100271)</f>
        <v>100271</v>
      </c>
      <c r="B583" t="s">
        <v>1294</v>
      </c>
      <c r="C583" t="s">
        <v>1918</v>
      </c>
      <c r="D583" s="10">
        <v>34699</v>
      </c>
      <c r="E583" t="s">
        <v>58</v>
      </c>
      <c r="F583" t="s">
        <v>33</v>
      </c>
      <c r="G583" t="s">
        <v>33</v>
      </c>
      <c r="H583">
        <v>72</v>
      </c>
      <c r="I583">
        <v>190</v>
      </c>
      <c r="J583">
        <v>2018</v>
      </c>
      <c r="K583" s="4" t="str">
        <f>HYPERLINK("http://legacy.baseballprospectus.com/fantasy/dc/index.php?tm=DET","DET")</f>
        <v>DET</v>
      </c>
      <c r="L583" t="s">
        <v>95</v>
      </c>
      <c r="M583" t="s">
        <v>34</v>
      </c>
      <c r="N583">
        <v>23</v>
      </c>
      <c r="O583">
        <v>59</v>
      </c>
      <c r="P583">
        <v>18</v>
      </c>
      <c r="Q583">
        <v>56</v>
      </c>
      <c r="R583">
        <v>6</v>
      </c>
      <c r="S583">
        <v>10</v>
      </c>
      <c r="T583">
        <v>2</v>
      </c>
      <c r="U583">
        <v>1</v>
      </c>
      <c r="V583">
        <v>2</v>
      </c>
      <c r="W583">
        <v>15</v>
      </c>
      <c r="X583">
        <v>25</v>
      </c>
      <c r="Y583">
        <v>7</v>
      </c>
      <c r="Z583">
        <v>2</v>
      </c>
      <c r="AA583">
        <v>0</v>
      </c>
      <c r="AB583">
        <v>0</v>
      </c>
      <c r="AC583">
        <v>11</v>
      </c>
      <c r="AD583">
        <v>0</v>
      </c>
      <c r="AE583">
        <v>0</v>
      </c>
      <c r="AF583">
        <v>2</v>
      </c>
      <c r="AG583">
        <v>0</v>
      </c>
      <c r="AH583">
        <v>0</v>
      </c>
      <c r="AI583" s="5">
        <v>0.26800000000000002</v>
      </c>
      <c r="AJ583" s="5">
        <v>0.29299999999999998</v>
      </c>
      <c r="AK583" s="5">
        <v>0.44600000000000001</v>
      </c>
      <c r="AL583" s="5">
        <v>0.23899999999999999</v>
      </c>
      <c r="AM583" s="5">
        <v>0.28999999999999998</v>
      </c>
      <c r="AN583">
        <v>-0.1</v>
      </c>
      <c r="AO583">
        <v>0.31</v>
      </c>
      <c r="AP583">
        <v>1.58</v>
      </c>
      <c r="AQ583">
        <v>-1.33</v>
      </c>
      <c r="AR583">
        <v>0.1</v>
      </c>
      <c r="AS583" t="s">
        <v>1032</v>
      </c>
      <c r="AT583">
        <v>0.1</v>
      </c>
      <c r="AU583">
        <v>0.5</v>
      </c>
      <c r="AV583">
        <v>5</v>
      </c>
      <c r="AW583">
        <v>20</v>
      </c>
      <c r="AX583">
        <v>11</v>
      </c>
      <c r="AY583">
        <v>25</v>
      </c>
      <c r="AZ583" t="s">
        <v>4019</v>
      </c>
      <c r="BA583">
        <v>53</v>
      </c>
      <c r="BB583" t="s">
        <v>35</v>
      </c>
      <c r="BC583" t="s">
        <v>35</v>
      </c>
      <c r="BD583" s="4">
        <f>HYPERLINK("http://mlb.mlb.com/team/player.jsp?player_id=608475",608475)</f>
        <v>608475</v>
      </c>
      <c r="BE583">
        <v>538</v>
      </c>
      <c r="BF583">
        <v>1538</v>
      </c>
      <c r="BG583">
        <v>0</v>
      </c>
      <c r="BH583">
        <v>0</v>
      </c>
    </row>
    <row r="584" spans="1:60" x14ac:dyDescent="0.3">
      <c r="A584" s="4">
        <f>HYPERLINK("http://legacy.baseballprospectus.com/p/59431",59431)</f>
        <v>59431</v>
      </c>
      <c r="B584" t="s">
        <v>651</v>
      </c>
      <c r="C584" t="s">
        <v>458</v>
      </c>
      <c r="D584" s="10">
        <v>33312</v>
      </c>
      <c r="E584" t="s">
        <v>54</v>
      </c>
      <c r="F584" t="s">
        <v>33</v>
      </c>
      <c r="G584" t="s">
        <v>33</v>
      </c>
      <c r="H584">
        <v>70</v>
      </c>
      <c r="I584">
        <v>200</v>
      </c>
      <c r="J584">
        <v>2018</v>
      </c>
      <c r="K584" s="4" t="str">
        <f>HYPERLINK("http://legacy.baseballprospectus.com/fantasy/dc/index.php?tm=HOU","HOU")</f>
        <v>HOU</v>
      </c>
      <c r="L584" t="s">
        <v>95</v>
      </c>
      <c r="M584" t="s">
        <v>34</v>
      </c>
      <c r="N584">
        <v>27</v>
      </c>
      <c r="O584">
        <v>61</v>
      </c>
      <c r="P584">
        <v>19</v>
      </c>
      <c r="Q584">
        <v>55</v>
      </c>
      <c r="R584">
        <v>6</v>
      </c>
      <c r="S584">
        <v>7</v>
      </c>
      <c r="T584">
        <v>2</v>
      </c>
      <c r="U584">
        <v>0</v>
      </c>
      <c r="V584">
        <v>2</v>
      </c>
      <c r="W584">
        <v>11</v>
      </c>
      <c r="X584">
        <v>19</v>
      </c>
      <c r="Y584">
        <v>7</v>
      </c>
      <c r="Z584">
        <v>4</v>
      </c>
      <c r="AA584">
        <v>0</v>
      </c>
      <c r="AB584">
        <v>1</v>
      </c>
      <c r="AC584">
        <v>17</v>
      </c>
      <c r="AD584">
        <v>0</v>
      </c>
      <c r="AE584">
        <v>0</v>
      </c>
      <c r="AF584">
        <v>2</v>
      </c>
      <c r="AG584">
        <v>0</v>
      </c>
      <c r="AH584">
        <v>0</v>
      </c>
      <c r="AI584" s="5">
        <v>0.2</v>
      </c>
      <c r="AJ584" s="5">
        <v>0.26700000000000002</v>
      </c>
      <c r="AK584" s="5">
        <v>0.34499999999999997</v>
      </c>
      <c r="AL584" s="5">
        <v>0.23599999999999999</v>
      </c>
      <c r="AM584" s="5">
        <v>0.27400000000000002</v>
      </c>
      <c r="AN584">
        <v>-0.1</v>
      </c>
      <c r="AO584">
        <v>0.46</v>
      </c>
      <c r="AP584">
        <v>1.64</v>
      </c>
      <c r="AQ584">
        <v>-1.52</v>
      </c>
      <c r="AR584">
        <v>0.6</v>
      </c>
      <c r="AS584" t="s">
        <v>62</v>
      </c>
      <c r="AT584">
        <v>0.1</v>
      </c>
      <c r="AU584">
        <v>0.5</v>
      </c>
      <c r="AV584">
        <v>5</v>
      </c>
      <c r="AW584">
        <v>14</v>
      </c>
      <c r="AX584">
        <v>11</v>
      </c>
      <c r="AY584">
        <v>25</v>
      </c>
      <c r="AZ584" t="s">
        <v>4286</v>
      </c>
      <c r="BA584">
        <v>34</v>
      </c>
      <c r="BB584" t="s">
        <v>35</v>
      </c>
      <c r="BC584" t="s">
        <v>35</v>
      </c>
      <c r="BD584" s="4">
        <f>HYPERLINK("http://mlb.mlb.com/team/player.jsp?player_id=545358",545358)</f>
        <v>545358</v>
      </c>
      <c r="BE584">
        <v>382</v>
      </c>
      <c r="BF584">
        <v>1382</v>
      </c>
      <c r="BG584">
        <v>31</v>
      </c>
      <c r="BH584">
        <v>24</v>
      </c>
    </row>
    <row r="585" spans="1:60" x14ac:dyDescent="0.3">
      <c r="A585" s="4">
        <f>HYPERLINK("http://legacy.baseballprospectus.com/p/67347",67347)</f>
        <v>67347</v>
      </c>
      <c r="B585" t="s">
        <v>186</v>
      </c>
      <c r="C585" t="s">
        <v>111</v>
      </c>
      <c r="D585" s="10">
        <v>34124</v>
      </c>
      <c r="E585" t="s">
        <v>57</v>
      </c>
      <c r="F585" t="s">
        <v>33</v>
      </c>
      <c r="G585" t="s">
        <v>33</v>
      </c>
      <c r="H585">
        <v>73</v>
      </c>
      <c r="I585">
        <v>195</v>
      </c>
      <c r="J585">
        <v>2018</v>
      </c>
      <c r="K585" s="4" t="str">
        <f>HYPERLINK("http://legacy.baseballprospectus.com/fantasy/dc/index.php?tm=KCA","KCA")</f>
        <v>KCA</v>
      </c>
      <c r="L585" t="s">
        <v>95</v>
      </c>
      <c r="M585" t="s">
        <v>34</v>
      </c>
      <c r="N585">
        <v>25</v>
      </c>
      <c r="O585">
        <v>289</v>
      </c>
      <c r="P585">
        <v>80</v>
      </c>
      <c r="Q585">
        <v>262</v>
      </c>
      <c r="R585">
        <v>33</v>
      </c>
      <c r="S585">
        <v>40</v>
      </c>
      <c r="T585">
        <v>12</v>
      </c>
      <c r="U585">
        <v>2</v>
      </c>
      <c r="V585">
        <v>10</v>
      </c>
      <c r="W585">
        <v>64</v>
      </c>
      <c r="X585">
        <v>110</v>
      </c>
      <c r="Y585">
        <v>37</v>
      </c>
      <c r="Z585">
        <v>22</v>
      </c>
      <c r="AA585">
        <v>1</v>
      </c>
      <c r="AB585">
        <v>3</v>
      </c>
      <c r="AC585">
        <v>75</v>
      </c>
      <c r="AD585">
        <v>1</v>
      </c>
      <c r="AE585">
        <v>1</v>
      </c>
      <c r="AF585">
        <v>7</v>
      </c>
      <c r="AG585">
        <v>1</v>
      </c>
      <c r="AH585">
        <v>0</v>
      </c>
      <c r="AI585" s="5">
        <v>0.24399999999999999</v>
      </c>
      <c r="AJ585" s="5">
        <v>0.309</v>
      </c>
      <c r="AK585" s="5">
        <v>0.42</v>
      </c>
      <c r="AL585" s="5">
        <v>0.252</v>
      </c>
      <c r="AM585" s="5">
        <v>0.3</v>
      </c>
      <c r="AN585">
        <v>-0.3</v>
      </c>
      <c r="AO585">
        <v>-0.93</v>
      </c>
      <c r="AP585">
        <v>7.76</v>
      </c>
      <c r="AQ585">
        <v>-2.42</v>
      </c>
      <c r="AR585">
        <v>-3</v>
      </c>
      <c r="AS585" t="s">
        <v>4992</v>
      </c>
      <c r="AT585">
        <v>0.1</v>
      </c>
      <c r="AU585">
        <v>4.0999999999999996</v>
      </c>
      <c r="AV585">
        <v>4</v>
      </c>
      <c r="AW585">
        <v>30</v>
      </c>
      <c r="AX585">
        <v>11</v>
      </c>
      <c r="AY585">
        <v>26</v>
      </c>
      <c r="AZ585" t="s">
        <v>4519</v>
      </c>
      <c r="BA585">
        <v>67</v>
      </c>
      <c r="BB585" t="s">
        <v>35</v>
      </c>
      <c r="BC585" t="s">
        <v>36</v>
      </c>
      <c r="BD585" s="4">
        <f>HYPERLINK("http://mlb.mlb.com/team/player.jsp?player_id=593528",593528)</f>
        <v>593528</v>
      </c>
      <c r="BE585">
        <v>587</v>
      </c>
      <c r="BF585">
        <v>1587</v>
      </c>
      <c r="BG585">
        <v>422</v>
      </c>
      <c r="BH585">
        <v>384</v>
      </c>
    </row>
    <row r="586" spans="1:60" x14ac:dyDescent="0.3">
      <c r="A586" s="4">
        <f>HYPERLINK("http://legacy.baseballprospectus.com/p/70394",70394)</f>
        <v>70394</v>
      </c>
      <c r="B586" t="s">
        <v>1917</v>
      </c>
      <c r="C586" t="s">
        <v>224</v>
      </c>
      <c r="D586" s="10">
        <v>33944</v>
      </c>
      <c r="E586" t="s">
        <v>54</v>
      </c>
      <c r="F586" t="s">
        <v>33</v>
      </c>
      <c r="G586" t="s">
        <v>33</v>
      </c>
      <c r="H586">
        <v>75</v>
      </c>
      <c r="I586">
        <v>230</v>
      </c>
      <c r="J586">
        <v>2018</v>
      </c>
      <c r="K586" s="4" t="str">
        <f>HYPERLINK("http://legacy.baseballprospectus.com/fantasy/dc/index.php?tm=KCA","KCA")</f>
        <v>KCA</v>
      </c>
      <c r="L586" t="s">
        <v>95</v>
      </c>
      <c r="M586" t="s">
        <v>34</v>
      </c>
      <c r="N586">
        <v>25</v>
      </c>
      <c r="O586">
        <v>29</v>
      </c>
      <c r="P586">
        <v>9</v>
      </c>
      <c r="Q586">
        <v>26</v>
      </c>
      <c r="R586">
        <v>3</v>
      </c>
      <c r="S586">
        <v>4</v>
      </c>
      <c r="T586">
        <v>1</v>
      </c>
      <c r="U586">
        <v>0</v>
      </c>
      <c r="V586">
        <v>1</v>
      </c>
      <c r="W586">
        <v>6</v>
      </c>
      <c r="X586">
        <v>10</v>
      </c>
      <c r="Y586">
        <v>3</v>
      </c>
      <c r="Z586">
        <v>2</v>
      </c>
      <c r="AA586">
        <v>0</v>
      </c>
      <c r="AB586">
        <v>0</v>
      </c>
      <c r="AC586">
        <v>5</v>
      </c>
      <c r="AD586">
        <v>0</v>
      </c>
      <c r="AE586">
        <v>0</v>
      </c>
      <c r="AF586">
        <v>1</v>
      </c>
      <c r="AG586">
        <v>0</v>
      </c>
      <c r="AH586">
        <v>0</v>
      </c>
      <c r="AI586" s="5">
        <v>0.23100000000000001</v>
      </c>
      <c r="AJ586" s="5">
        <v>0.28599999999999998</v>
      </c>
      <c r="AK586" s="5">
        <v>0.38500000000000001</v>
      </c>
      <c r="AL586" s="5">
        <v>0.24</v>
      </c>
      <c r="AM586" s="5">
        <v>0.27900000000000003</v>
      </c>
      <c r="AN586">
        <v>-0.1</v>
      </c>
      <c r="AO586">
        <v>0.22</v>
      </c>
      <c r="AP586">
        <v>0.78</v>
      </c>
      <c r="AQ586">
        <v>-0.61</v>
      </c>
      <c r="AR586">
        <v>0.4</v>
      </c>
      <c r="AS586" t="s">
        <v>71</v>
      </c>
      <c r="AT586">
        <v>0.1</v>
      </c>
      <c r="AU586">
        <v>0.3</v>
      </c>
      <c r="AV586">
        <v>4</v>
      </c>
      <c r="AW586">
        <v>19</v>
      </c>
      <c r="AX586">
        <v>5</v>
      </c>
      <c r="AY586">
        <v>21</v>
      </c>
      <c r="AZ586" t="s">
        <v>4287</v>
      </c>
      <c r="BA586">
        <v>41</v>
      </c>
      <c r="BB586" t="s">
        <v>35</v>
      </c>
      <c r="BC586" t="s">
        <v>35</v>
      </c>
      <c r="BD586" s="4">
        <f>HYPERLINK("http://mlb.mlb.com/team/player.jsp?player_id=595956",595956)</f>
        <v>595956</v>
      </c>
      <c r="BE586">
        <v>383</v>
      </c>
      <c r="BF586">
        <v>1383</v>
      </c>
      <c r="BG586">
        <v>27</v>
      </c>
      <c r="BH586">
        <v>24</v>
      </c>
    </row>
    <row r="587" spans="1:60" x14ac:dyDescent="0.3">
      <c r="A587" s="4">
        <f>HYPERLINK("http://legacy.baseballprospectus.com/p/52296",52296)</f>
        <v>52296</v>
      </c>
      <c r="B587" t="s">
        <v>137</v>
      </c>
      <c r="C587" t="s">
        <v>442</v>
      </c>
      <c r="D587" s="10">
        <v>31121</v>
      </c>
      <c r="E587" t="s">
        <v>65</v>
      </c>
      <c r="F587" t="s">
        <v>9</v>
      </c>
      <c r="G587" t="s">
        <v>9</v>
      </c>
      <c r="H587">
        <v>71</v>
      </c>
      <c r="I587">
        <v>195</v>
      </c>
      <c r="J587">
        <v>2018</v>
      </c>
      <c r="K587" s="4" t="str">
        <f>HYPERLINK("http://legacy.baseballprospectus.com/fantasy/dc/index.php?tm=KCA","KCA")</f>
        <v>KCA</v>
      </c>
      <c r="L587" t="s">
        <v>95</v>
      </c>
      <c r="M587" t="s">
        <v>34</v>
      </c>
      <c r="N587">
        <v>33</v>
      </c>
      <c r="O587">
        <v>387</v>
      </c>
      <c r="P587">
        <v>99</v>
      </c>
      <c r="Q587">
        <v>345</v>
      </c>
      <c r="R587">
        <v>39</v>
      </c>
      <c r="S587">
        <v>72</v>
      </c>
      <c r="T587">
        <v>16</v>
      </c>
      <c r="U587">
        <v>2</v>
      </c>
      <c r="V587">
        <v>2</v>
      </c>
      <c r="W587">
        <v>92</v>
      </c>
      <c r="X587">
        <v>118</v>
      </c>
      <c r="Y587">
        <v>31</v>
      </c>
      <c r="Z587">
        <v>27</v>
      </c>
      <c r="AA587">
        <v>2</v>
      </c>
      <c r="AB587">
        <v>10</v>
      </c>
      <c r="AC587">
        <v>70</v>
      </c>
      <c r="AD587">
        <v>4</v>
      </c>
      <c r="AE587">
        <v>2</v>
      </c>
      <c r="AF587">
        <v>12</v>
      </c>
      <c r="AG587">
        <v>4</v>
      </c>
      <c r="AH587">
        <v>1</v>
      </c>
      <c r="AI587" s="5">
        <v>0.26700000000000002</v>
      </c>
      <c r="AJ587" s="5">
        <v>0.33600000000000002</v>
      </c>
      <c r="AK587" s="5">
        <v>0.34200000000000003</v>
      </c>
      <c r="AL587" s="5">
        <v>0.24399999999999999</v>
      </c>
      <c r="AM587" s="5">
        <v>0.32100000000000001</v>
      </c>
      <c r="AN587">
        <v>-0.3</v>
      </c>
      <c r="AO587">
        <v>0.56000000000000005</v>
      </c>
      <c r="AP587">
        <v>10.39</v>
      </c>
      <c r="AQ587">
        <v>-6.43</v>
      </c>
      <c r="AR587">
        <v>-3</v>
      </c>
      <c r="AS587" t="s">
        <v>1046</v>
      </c>
      <c r="AT587">
        <v>0.1</v>
      </c>
      <c r="AU587">
        <v>4.2</v>
      </c>
      <c r="AV587">
        <v>3</v>
      </c>
      <c r="AW587">
        <v>31</v>
      </c>
      <c r="AX587">
        <v>20</v>
      </c>
      <c r="AY587">
        <v>29</v>
      </c>
      <c r="AZ587" t="s">
        <v>3896</v>
      </c>
      <c r="BA587">
        <v>87</v>
      </c>
      <c r="BB587" t="s">
        <v>35</v>
      </c>
      <c r="BC587" t="s">
        <v>36</v>
      </c>
      <c r="BD587" s="4">
        <f>HYPERLINK("http://mlb.mlb.com/team/player.jsp?player_id=445055",445055)</f>
        <v>445055</v>
      </c>
      <c r="BE587">
        <v>0</v>
      </c>
      <c r="BF587">
        <v>0</v>
      </c>
      <c r="BG587">
        <v>433</v>
      </c>
      <c r="BH587">
        <v>379</v>
      </c>
    </row>
    <row r="588" spans="1:60" x14ac:dyDescent="0.3">
      <c r="A588" s="4">
        <f>HYPERLINK("http://legacy.baseballprospectus.com/p/67346",67346)</f>
        <v>67346</v>
      </c>
      <c r="B588" t="s">
        <v>667</v>
      </c>
      <c r="C588" t="s">
        <v>241</v>
      </c>
      <c r="D588" s="10">
        <v>33991</v>
      </c>
      <c r="E588" t="s">
        <v>58</v>
      </c>
      <c r="F588" t="s">
        <v>37</v>
      </c>
      <c r="G588" t="s">
        <v>33</v>
      </c>
      <c r="H588">
        <v>71</v>
      </c>
      <c r="I588">
        <v>170</v>
      </c>
      <c r="J588">
        <v>2018</v>
      </c>
      <c r="K588" s="4" t="str">
        <f>HYPERLINK("http://legacy.baseballprospectus.com/fantasy/dc/index.php?tm=KCA","KCA")</f>
        <v>KCA</v>
      </c>
      <c r="L588" t="s">
        <v>95</v>
      </c>
      <c r="M588" t="s">
        <v>34</v>
      </c>
      <c r="N588">
        <v>25</v>
      </c>
      <c r="O588">
        <v>131</v>
      </c>
      <c r="P588">
        <v>40</v>
      </c>
      <c r="Q588">
        <v>121</v>
      </c>
      <c r="R588">
        <v>14</v>
      </c>
      <c r="S588">
        <v>23</v>
      </c>
      <c r="T588">
        <v>5</v>
      </c>
      <c r="U588">
        <v>1</v>
      </c>
      <c r="V588">
        <v>2</v>
      </c>
      <c r="W588">
        <v>31</v>
      </c>
      <c r="X588">
        <v>44</v>
      </c>
      <c r="Y588">
        <v>12</v>
      </c>
      <c r="Z588">
        <v>7</v>
      </c>
      <c r="AA588">
        <v>0</v>
      </c>
      <c r="AB588">
        <v>0</v>
      </c>
      <c r="AC588">
        <v>21</v>
      </c>
      <c r="AD588">
        <v>2</v>
      </c>
      <c r="AE588">
        <v>1</v>
      </c>
      <c r="AF588">
        <v>3</v>
      </c>
      <c r="AG588">
        <v>4</v>
      </c>
      <c r="AH588">
        <v>1</v>
      </c>
      <c r="AI588" s="5">
        <v>0.25600000000000001</v>
      </c>
      <c r="AJ588" s="5">
        <v>0.29499999999999998</v>
      </c>
      <c r="AK588" s="5">
        <v>0.36399999999999999</v>
      </c>
      <c r="AL588" s="5">
        <v>0.224</v>
      </c>
      <c r="AM588" s="5">
        <v>0.28199999999999997</v>
      </c>
      <c r="AN588">
        <v>0.2</v>
      </c>
      <c r="AO588">
        <v>0.68</v>
      </c>
      <c r="AP588">
        <v>3.52</v>
      </c>
      <c r="AQ588">
        <v>-4.91</v>
      </c>
      <c r="AR588">
        <v>1.1000000000000001</v>
      </c>
      <c r="AS588" t="s">
        <v>69</v>
      </c>
      <c r="AT588">
        <v>0.1</v>
      </c>
      <c r="AU588">
        <v>-0.5</v>
      </c>
      <c r="AV588">
        <v>4</v>
      </c>
      <c r="AW588">
        <v>22</v>
      </c>
      <c r="AX588">
        <v>9</v>
      </c>
      <c r="AY588">
        <v>26</v>
      </c>
      <c r="AZ588" t="s">
        <v>4335</v>
      </c>
      <c r="BA588">
        <v>48</v>
      </c>
      <c r="BB588" t="s">
        <v>35</v>
      </c>
      <c r="BC588" t="s">
        <v>35</v>
      </c>
      <c r="BD588" s="4">
        <f>HYPERLINK("http://mlb.mlb.com/team/player.jsp?player_id=593527",593527)</f>
        <v>593527</v>
      </c>
      <c r="BE588">
        <v>520</v>
      </c>
      <c r="BF588">
        <v>1520</v>
      </c>
      <c r="BG588">
        <v>79</v>
      </c>
      <c r="BH588">
        <v>74</v>
      </c>
    </row>
    <row r="589" spans="1:60" x14ac:dyDescent="0.3">
      <c r="A589" s="4">
        <f>HYPERLINK("http://legacy.baseballprospectus.com/p/45436",45436)</f>
        <v>45436</v>
      </c>
      <c r="B589" t="s">
        <v>454</v>
      </c>
      <c r="C589" t="s">
        <v>104</v>
      </c>
      <c r="D589" s="10">
        <v>30948</v>
      </c>
      <c r="E589" t="s">
        <v>59</v>
      </c>
      <c r="F589" t="s">
        <v>33</v>
      </c>
      <c r="G589" t="s">
        <v>33</v>
      </c>
      <c r="H589">
        <v>76</v>
      </c>
      <c r="I589">
        <v>210</v>
      </c>
      <c r="J589">
        <v>2018</v>
      </c>
      <c r="K589" s="4" t="str">
        <f>HYPERLINK("http://legacy.baseballprospectus.com/fantasy/dc/index.php?tm=LAN","LAN")</f>
        <v>LAN</v>
      </c>
      <c r="L589" t="s">
        <v>100</v>
      </c>
      <c r="M589" t="s">
        <v>34</v>
      </c>
      <c r="N589">
        <v>33</v>
      </c>
      <c r="O589">
        <v>146</v>
      </c>
      <c r="P589">
        <v>67</v>
      </c>
      <c r="Q589">
        <v>135</v>
      </c>
      <c r="R589">
        <v>17</v>
      </c>
      <c r="S589">
        <v>21</v>
      </c>
      <c r="T589">
        <v>7</v>
      </c>
      <c r="U589">
        <v>0</v>
      </c>
      <c r="V589">
        <v>6</v>
      </c>
      <c r="W589">
        <v>34</v>
      </c>
      <c r="X589">
        <v>59</v>
      </c>
      <c r="Y589">
        <v>20</v>
      </c>
      <c r="Z589">
        <v>9</v>
      </c>
      <c r="AA589">
        <v>1</v>
      </c>
      <c r="AB589">
        <v>0</v>
      </c>
      <c r="AC589">
        <v>35</v>
      </c>
      <c r="AD589">
        <v>0</v>
      </c>
      <c r="AE589">
        <v>1</v>
      </c>
      <c r="AF589">
        <v>5</v>
      </c>
      <c r="AG589">
        <v>1</v>
      </c>
      <c r="AH589">
        <v>0</v>
      </c>
      <c r="AI589" s="5">
        <v>0.252</v>
      </c>
      <c r="AJ589" s="5">
        <v>0.29699999999999999</v>
      </c>
      <c r="AK589" s="5">
        <v>0.437</v>
      </c>
      <c r="AL589" s="5">
        <v>0.25700000000000001</v>
      </c>
      <c r="AM589" s="5">
        <v>0.29799999999999999</v>
      </c>
      <c r="AN589">
        <v>-0.3</v>
      </c>
      <c r="AO589">
        <v>-0.94</v>
      </c>
      <c r="AP589">
        <v>3.92</v>
      </c>
      <c r="AQ589">
        <v>-0.46</v>
      </c>
      <c r="AR589">
        <v>-1.7</v>
      </c>
      <c r="AS589" t="s">
        <v>4974</v>
      </c>
      <c r="AT589">
        <v>0.1</v>
      </c>
      <c r="AU589">
        <v>2.2999999999999998</v>
      </c>
      <c r="AV589">
        <v>0</v>
      </c>
      <c r="AW589">
        <v>24</v>
      </c>
      <c r="AX589">
        <v>11</v>
      </c>
      <c r="AY589">
        <v>9</v>
      </c>
      <c r="AZ589" t="s">
        <v>3998</v>
      </c>
      <c r="BA589">
        <v>92</v>
      </c>
      <c r="BB589" t="s">
        <v>35</v>
      </c>
      <c r="BC589" t="s">
        <v>36</v>
      </c>
      <c r="BD589" s="4">
        <f>HYPERLINK("http://mlb.mlb.com/team/player.jsp?player_id=461314",461314)</f>
        <v>461314</v>
      </c>
      <c r="BE589">
        <v>1596</v>
      </c>
      <c r="BF589">
        <v>596</v>
      </c>
      <c r="BG589">
        <v>467</v>
      </c>
      <c r="BH589">
        <v>438</v>
      </c>
    </row>
    <row r="590" spans="1:60" x14ac:dyDescent="0.3">
      <c r="A590" s="4">
        <f>HYPERLINK("http://legacy.baseballprospectus.com/p/16632",16632)</f>
        <v>16632</v>
      </c>
      <c r="B590" t="s">
        <v>675</v>
      </c>
      <c r="C590" t="s">
        <v>138</v>
      </c>
      <c r="D590" s="10">
        <v>28841</v>
      </c>
      <c r="E590" t="s">
        <v>58</v>
      </c>
      <c r="F590" t="s">
        <v>9</v>
      </c>
      <c r="G590" t="s">
        <v>33</v>
      </c>
      <c r="H590">
        <v>73</v>
      </c>
      <c r="I590">
        <v>195</v>
      </c>
      <c r="J590">
        <v>2018</v>
      </c>
      <c r="K590" s="4" t="str">
        <f>HYPERLINK("http://legacy.baseballprospectus.com/fantasy/dc/index.php?tm=LAN","LAN")</f>
        <v>LAN</v>
      </c>
      <c r="L590" t="s">
        <v>100</v>
      </c>
      <c r="M590" t="s">
        <v>34</v>
      </c>
      <c r="N590">
        <v>39</v>
      </c>
      <c r="O590">
        <v>281</v>
      </c>
      <c r="P590">
        <v>89</v>
      </c>
      <c r="Q590">
        <v>253</v>
      </c>
      <c r="R590">
        <v>33</v>
      </c>
      <c r="S590">
        <v>39</v>
      </c>
      <c r="T590">
        <v>13</v>
      </c>
      <c r="U590">
        <v>2</v>
      </c>
      <c r="V590">
        <v>6</v>
      </c>
      <c r="W590">
        <v>60</v>
      </c>
      <c r="X590">
        <v>95</v>
      </c>
      <c r="Y590">
        <v>26</v>
      </c>
      <c r="Z590">
        <v>21</v>
      </c>
      <c r="AA590">
        <v>2</v>
      </c>
      <c r="AB590">
        <v>5</v>
      </c>
      <c r="AC590">
        <v>47</v>
      </c>
      <c r="AD590">
        <v>0</v>
      </c>
      <c r="AE590">
        <v>2</v>
      </c>
      <c r="AF590">
        <v>5</v>
      </c>
      <c r="AG590">
        <v>3</v>
      </c>
      <c r="AH590">
        <v>1</v>
      </c>
      <c r="AI590" s="5">
        <v>0.23699999999999999</v>
      </c>
      <c r="AJ590" s="5">
        <v>0.30599999999999999</v>
      </c>
      <c r="AK590" s="5">
        <v>0.375</v>
      </c>
      <c r="AL590" s="5">
        <v>0.23899999999999999</v>
      </c>
      <c r="AM590" s="5">
        <v>0.26300000000000001</v>
      </c>
      <c r="AN590">
        <v>0</v>
      </c>
      <c r="AO590">
        <v>0.18</v>
      </c>
      <c r="AP590">
        <v>7.54</v>
      </c>
      <c r="AQ590">
        <v>-6.19</v>
      </c>
      <c r="AR590">
        <v>-0.4</v>
      </c>
      <c r="AS590" t="s">
        <v>4918</v>
      </c>
      <c r="AT590">
        <v>0.1</v>
      </c>
      <c r="AU590">
        <v>1.5</v>
      </c>
      <c r="AV590">
        <v>0</v>
      </c>
      <c r="AW590">
        <v>20</v>
      </c>
      <c r="AX590">
        <v>13</v>
      </c>
      <c r="AY590">
        <v>20</v>
      </c>
      <c r="AZ590" t="s">
        <v>3888</v>
      </c>
      <c r="BA590">
        <v>63</v>
      </c>
      <c r="BB590" t="s">
        <v>35</v>
      </c>
      <c r="BC590" t="s">
        <v>36</v>
      </c>
      <c r="BD590" s="4">
        <f>HYPERLINK("http://mlb.mlb.com/team/player.jsp?player_id=400284",400284)</f>
        <v>400284</v>
      </c>
      <c r="BE590">
        <v>0</v>
      </c>
      <c r="BF590">
        <v>0</v>
      </c>
      <c r="BG590">
        <v>353</v>
      </c>
      <c r="BH590">
        <v>309</v>
      </c>
    </row>
    <row r="591" spans="1:60" x14ac:dyDescent="0.3">
      <c r="A591" s="4">
        <f>HYPERLINK("http://legacy.baseballprospectus.com/p/51611",51611)</f>
        <v>51611</v>
      </c>
      <c r="B591" t="s">
        <v>1367</v>
      </c>
      <c r="C591" t="s">
        <v>218</v>
      </c>
      <c r="D591" s="10">
        <v>32563</v>
      </c>
      <c r="E591" t="s">
        <v>53</v>
      </c>
      <c r="F591" t="s">
        <v>33</v>
      </c>
      <c r="G591" t="s">
        <v>33</v>
      </c>
      <c r="H591">
        <v>71</v>
      </c>
      <c r="I591">
        <v>195</v>
      </c>
      <c r="J591">
        <v>2018</v>
      </c>
      <c r="K591" s="4" t="str">
        <f>HYPERLINK("http://legacy.baseballprospectus.com/fantasy/dc/index.php?tm=MIA","MIA")</f>
        <v>MIA</v>
      </c>
      <c r="L591" t="s">
        <v>100</v>
      </c>
      <c r="M591" t="s">
        <v>34</v>
      </c>
      <c r="N591">
        <v>29</v>
      </c>
      <c r="O591">
        <v>180</v>
      </c>
      <c r="P591">
        <v>84</v>
      </c>
      <c r="Q591">
        <v>163</v>
      </c>
      <c r="R591">
        <v>18</v>
      </c>
      <c r="S591">
        <v>32</v>
      </c>
      <c r="T591">
        <v>8</v>
      </c>
      <c r="U591">
        <v>1</v>
      </c>
      <c r="V591">
        <v>2</v>
      </c>
      <c r="W591">
        <v>43</v>
      </c>
      <c r="X591">
        <v>59</v>
      </c>
      <c r="Y591">
        <v>16</v>
      </c>
      <c r="Z591">
        <v>12</v>
      </c>
      <c r="AA591">
        <v>2</v>
      </c>
      <c r="AB591">
        <v>2</v>
      </c>
      <c r="AC591">
        <v>23</v>
      </c>
      <c r="AD591">
        <v>2</v>
      </c>
      <c r="AE591">
        <v>1</v>
      </c>
      <c r="AF591">
        <v>6</v>
      </c>
      <c r="AG591">
        <v>1</v>
      </c>
      <c r="AH591">
        <v>1</v>
      </c>
      <c r="AI591" s="5">
        <v>0.26400000000000001</v>
      </c>
      <c r="AJ591" s="5">
        <v>0.32</v>
      </c>
      <c r="AK591" s="5">
        <v>0.36199999999999999</v>
      </c>
      <c r="AL591" s="5">
        <v>0.23799999999999999</v>
      </c>
      <c r="AM591" s="5">
        <v>0.28399999999999997</v>
      </c>
      <c r="AN591">
        <v>-0.3</v>
      </c>
      <c r="AO591">
        <v>0.51</v>
      </c>
      <c r="AP591">
        <v>4.83</v>
      </c>
      <c r="AQ591">
        <v>-4.0999999999999996</v>
      </c>
      <c r="AR591">
        <v>0.1</v>
      </c>
      <c r="AS591" t="s">
        <v>5035</v>
      </c>
      <c r="AT591">
        <v>0.1</v>
      </c>
      <c r="AU591">
        <v>0.9</v>
      </c>
      <c r="AV591">
        <v>4</v>
      </c>
      <c r="AW591">
        <v>39</v>
      </c>
      <c r="AX591">
        <v>13</v>
      </c>
      <c r="AY591">
        <v>24</v>
      </c>
      <c r="AZ591" t="s">
        <v>4202</v>
      </c>
      <c r="BA591">
        <v>89</v>
      </c>
      <c r="BB591" t="s">
        <v>35</v>
      </c>
      <c r="BC591" t="s">
        <v>36</v>
      </c>
      <c r="BD591" s="4">
        <f>HYPERLINK("http://mlb.mlb.com/team/player.jsp?player_id=500743",500743)</f>
        <v>500743</v>
      </c>
      <c r="BE591">
        <v>1535</v>
      </c>
      <c r="BF591">
        <v>535</v>
      </c>
      <c r="BG591">
        <v>306</v>
      </c>
      <c r="BH591">
        <v>272</v>
      </c>
    </row>
    <row r="592" spans="1:60" x14ac:dyDescent="0.3">
      <c r="A592" s="4">
        <f>HYPERLINK("http://legacy.baseballprospectus.com/p/48685",48685)</f>
        <v>48685</v>
      </c>
      <c r="B592" t="s">
        <v>1912</v>
      </c>
      <c r="C592" t="s">
        <v>489</v>
      </c>
      <c r="D592" s="10">
        <v>31933</v>
      </c>
      <c r="E592" t="s">
        <v>54</v>
      </c>
      <c r="F592" t="s">
        <v>33</v>
      </c>
      <c r="G592" t="s">
        <v>33</v>
      </c>
      <c r="H592">
        <v>72</v>
      </c>
      <c r="I592">
        <v>215</v>
      </c>
      <c r="J592">
        <v>2018</v>
      </c>
      <c r="K592" s="4" t="str">
        <f>HYPERLINK("http://legacy.baseballprospectus.com/fantasy/dc/index.php?tm=MIL","MIL")</f>
        <v>MIL</v>
      </c>
      <c r="L592" t="s">
        <v>100</v>
      </c>
      <c r="M592" t="s">
        <v>34</v>
      </c>
      <c r="N592">
        <v>31</v>
      </c>
      <c r="O592">
        <v>324</v>
      </c>
      <c r="P592">
        <v>94</v>
      </c>
      <c r="Q592">
        <v>295</v>
      </c>
      <c r="R592">
        <v>37</v>
      </c>
      <c r="S592">
        <v>51</v>
      </c>
      <c r="T592">
        <v>17</v>
      </c>
      <c r="U592">
        <v>1</v>
      </c>
      <c r="V592">
        <v>9</v>
      </c>
      <c r="W592">
        <v>78</v>
      </c>
      <c r="X592">
        <v>124</v>
      </c>
      <c r="Y592">
        <v>37</v>
      </c>
      <c r="Z592">
        <v>21</v>
      </c>
      <c r="AA592">
        <v>1</v>
      </c>
      <c r="AB592">
        <v>4</v>
      </c>
      <c r="AC592">
        <v>65</v>
      </c>
      <c r="AD592">
        <v>1</v>
      </c>
      <c r="AE592">
        <v>2</v>
      </c>
      <c r="AF592">
        <v>8</v>
      </c>
      <c r="AG592">
        <v>1</v>
      </c>
      <c r="AH592">
        <v>0</v>
      </c>
      <c r="AI592" s="5">
        <v>0.26400000000000001</v>
      </c>
      <c r="AJ592" s="5">
        <v>0.32</v>
      </c>
      <c r="AK592" s="5">
        <v>0.42</v>
      </c>
      <c r="AL592" s="5">
        <v>0.252</v>
      </c>
      <c r="AM592" s="5">
        <v>0.30499999999999999</v>
      </c>
      <c r="AN592">
        <v>-0.6</v>
      </c>
      <c r="AO592">
        <v>2.4700000000000002</v>
      </c>
      <c r="AP592">
        <v>8.6999999999999993</v>
      </c>
      <c r="AQ592">
        <v>-2.57</v>
      </c>
      <c r="AR592">
        <v>-7</v>
      </c>
      <c r="AS592" t="s">
        <v>1748</v>
      </c>
      <c r="AT592">
        <v>0.1</v>
      </c>
      <c r="AU592">
        <v>8</v>
      </c>
      <c r="AV592">
        <v>1</v>
      </c>
      <c r="AW592">
        <v>20</v>
      </c>
      <c r="AX592">
        <v>18</v>
      </c>
      <c r="AY592">
        <v>25</v>
      </c>
      <c r="AZ592" t="s">
        <v>4205</v>
      </c>
      <c r="BA592">
        <v>77</v>
      </c>
      <c r="BB592" t="s">
        <v>35</v>
      </c>
      <c r="BC592" t="s">
        <v>36</v>
      </c>
      <c r="BD592" s="4">
        <f>HYPERLINK("http://mlb.mlb.com/team/player.jsp?player_id=444489",444489)</f>
        <v>444489</v>
      </c>
      <c r="BE592">
        <v>1379</v>
      </c>
      <c r="BF592">
        <v>379</v>
      </c>
      <c r="BG592">
        <v>359</v>
      </c>
      <c r="BH592">
        <v>330</v>
      </c>
    </row>
    <row r="593" spans="1:60" x14ac:dyDescent="0.3">
      <c r="A593" s="4">
        <f>HYPERLINK("http://legacy.baseballprospectus.com/p/57919",57919)</f>
        <v>57919</v>
      </c>
      <c r="B593" t="s">
        <v>1888</v>
      </c>
      <c r="C593" t="s">
        <v>397</v>
      </c>
      <c r="D593" s="10">
        <v>32767</v>
      </c>
      <c r="E593" t="s">
        <v>59</v>
      </c>
      <c r="F593" t="s">
        <v>37</v>
      </c>
      <c r="G593" t="s">
        <v>9</v>
      </c>
      <c r="H593">
        <v>72</v>
      </c>
      <c r="I593">
        <v>215</v>
      </c>
      <c r="J593">
        <v>2018</v>
      </c>
      <c r="K593" s="4" t="str">
        <f>HYPERLINK("http://legacy.baseballprospectus.com/fantasy/dc/index.php?tm=MIN","MIN")</f>
        <v>MIN</v>
      </c>
      <c r="L593" t="s">
        <v>95</v>
      </c>
      <c r="M593" t="s">
        <v>34</v>
      </c>
      <c r="N593">
        <v>28</v>
      </c>
      <c r="O593">
        <v>195</v>
      </c>
      <c r="P593">
        <v>49</v>
      </c>
      <c r="Q593">
        <v>167</v>
      </c>
      <c r="R593">
        <v>23</v>
      </c>
      <c r="S593">
        <v>29</v>
      </c>
      <c r="T593">
        <v>8</v>
      </c>
      <c r="U593">
        <v>1</v>
      </c>
      <c r="V593">
        <v>4</v>
      </c>
      <c r="W593">
        <v>42</v>
      </c>
      <c r="X593">
        <v>64</v>
      </c>
      <c r="Y593">
        <v>20</v>
      </c>
      <c r="Z593">
        <v>25</v>
      </c>
      <c r="AA593">
        <v>1</v>
      </c>
      <c r="AB593">
        <v>1</v>
      </c>
      <c r="AC593">
        <v>44</v>
      </c>
      <c r="AD593">
        <v>1</v>
      </c>
      <c r="AE593">
        <v>1</v>
      </c>
      <c r="AF593">
        <v>4</v>
      </c>
      <c r="AG593">
        <v>2</v>
      </c>
      <c r="AH593">
        <v>1</v>
      </c>
      <c r="AI593" s="5">
        <v>0.251</v>
      </c>
      <c r="AJ593" s="5">
        <v>0.35099999999999998</v>
      </c>
      <c r="AK593" s="5">
        <v>0.38300000000000001</v>
      </c>
      <c r="AL593" s="5">
        <v>0.253</v>
      </c>
      <c r="AM593" s="5">
        <v>0.313</v>
      </c>
      <c r="AN593">
        <v>-0.3</v>
      </c>
      <c r="AO593">
        <v>-1.37</v>
      </c>
      <c r="AP593">
        <v>5.24</v>
      </c>
      <c r="AQ593">
        <v>-1.52</v>
      </c>
      <c r="AR593">
        <v>-1</v>
      </c>
      <c r="AS593" t="s">
        <v>1014</v>
      </c>
      <c r="AT593">
        <v>0.1</v>
      </c>
      <c r="AU593">
        <v>2</v>
      </c>
      <c r="AV593">
        <v>3</v>
      </c>
      <c r="AW593">
        <v>32</v>
      </c>
      <c r="AX593">
        <v>9</v>
      </c>
      <c r="AY593">
        <v>20</v>
      </c>
      <c r="AZ593" t="s">
        <v>4206</v>
      </c>
      <c r="BA593">
        <v>81</v>
      </c>
      <c r="BB593" t="s">
        <v>35</v>
      </c>
      <c r="BC593" t="s">
        <v>36</v>
      </c>
      <c r="BD593" s="4">
        <f>HYPERLINK("http://mlb.mlb.com/team/player.jsp?player_id=543257",543257)</f>
        <v>543257</v>
      </c>
      <c r="BE593">
        <v>583</v>
      </c>
      <c r="BF593">
        <v>1583</v>
      </c>
      <c r="BG593">
        <v>456</v>
      </c>
      <c r="BH593">
        <v>382</v>
      </c>
    </row>
    <row r="594" spans="1:60" x14ac:dyDescent="0.3">
      <c r="A594" s="4">
        <f>HYPERLINK("http://legacy.baseballprospectus.com/p/69321",69321)</f>
        <v>69321</v>
      </c>
      <c r="B594" t="s">
        <v>543</v>
      </c>
      <c r="C594" t="s">
        <v>1261</v>
      </c>
      <c r="D594" s="10">
        <v>34428</v>
      </c>
      <c r="E594" t="s">
        <v>50</v>
      </c>
      <c r="F594" t="s">
        <v>33</v>
      </c>
      <c r="G594" t="s">
        <v>33</v>
      </c>
      <c r="H594">
        <v>73</v>
      </c>
      <c r="I594">
        <v>220</v>
      </c>
      <c r="J594">
        <v>2018</v>
      </c>
      <c r="K594" s="4" t="str">
        <f>HYPERLINK("http://legacy.baseballprospectus.com/fantasy/dc/index.php?tm=OAK","OAK")</f>
        <v>OAK</v>
      </c>
      <c r="L594" t="s">
        <v>95</v>
      </c>
      <c r="M594" t="s">
        <v>34</v>
      </c>
      <c r="N594">
        <v>24</v>
      </c>
      <c r="O594">
        <v>100</v>
      </c>
      <c r="P594">
        <v>31</v>
      </c>
      <c r="Q594">
        <v>92</v>
      </c>
      <c r="R594">
        <v>12</v>
      </c>
      <c r="S594">
        <v>12</v>
      </c>
      <c r="T594">
        <v>4</v>
      </c>
      <c r="U594">
        <v>0</v>
      </c>
      <c r="V594">
        <v>5</v>
      </c>
      <c r="W594">
        <v>21</v>
      </c>
      <c r="X594">
        <v>40</v>
      </c>
      <c r="Y594">
        <v>15</v>
      </c>
      <c r="Z594">
        <v>6</v>
      </c>
      <c r="AA594">
        <v>0</v>
      </c>
      <c r="AB594">
        <v>1</v>
      </c>
      <c r="AC594">
        <v>26</v>
      </c>
      <c r="AD594">
        <v>0</v>
      </c>
      <c r="AE594">
        <v>1</v>
      </c>
      <c r="AF594">
        <v>2</v>
      </c>
      <c r="AG594">
        <v>0</v>
      </c>
      <c r="AH594">
        <v>0</v>
      </c>
      <c r="AI594" s="5">
        <v>0.22800000000000001</v>
      </c>
      <c r="AJ594" s="5">
        <v>0.28000000000000003</v>
      </c>
      <c r="AK594" s="5">
        <v>0.435</v>
      </c>
      <c r="AL594" s="5">
        <v>0.25</v>
      </c>
      <c r="AM594" s="5">
        <v>0.26</v>
      </c>
      <c r="AN594">
        <v>-0.2</v>
      </c>
      <c r="AO594">
        <v>-0.74</v>
      </c>
      <c r="AP594">
        <v>2.68</v>
      </c>
      <c r="AQ594">
        <v>-1.05</v>
      </c>
      <c r="AR594">
        <v>0.1</v>
      </c>
      <c r="AS594" t="s">
        <v>2200</v>
      </c>
      <c r="AT594">
        <v>0.1</v>
      </c>
      <c r="AU594">
        <v>0.7</v>
      </c>
      <c r="AV594">
        <v>6</v>
      </c>
      <c r="AW594">
        <v>25</v>
      </c>
      <c r="AX594">
        <v>10</v>
      </c>
      <c r="AY594">
        <v>23</v>
      </c>
      <c r="AZ594" t="s">
        <v>4424</v>
      </c>
      <c r="BA594">
        <v>43</v>
      </c>
      <c r="BB594" t="s">
        <v>35</v>
      </c>
      <c r="BC594" t="s">
        <v>35</v>
      </c>
      <c r="BD594" s="4">
        <f>HYPERLINK("http://mlb.mlb.com/team/player.jsp?player_id=600524",600524)</f>
        <v>600524</v>
      </c>
      <c r="BE594">
        <v>630</v>
      </c>
      <c r="BF594">
        <v>1630</v>
      </c>
      <c r="BG594">
        <v>16</v>
      </c>
      <c r="BH594">
        <v>15</v>
      </c>
    </row>
    <row r="595" spans="1:60" x14ac:dyDescent="0.3">
      <c r="A595" s="4">
        <f>HYPERLINK("http://legacy.baseballprospectus.com/p/65858",65858)</f>
        <v>65858</v>
      </c>
      <c r="B595" t="s">
        <v>198</v>
      </c>
      <c r="C595" t="s">
        <v>199</v>
      </c>
      <c r="D595" s="10">
        <v>32507</v>
      </c>
      <c r="E595" t="s">
        <v>59</v>
      </c>
      <c r="F595" t="s">
        <v>33</v>
      </c>
      <c r="G595" t="s">
        <v>33</v>
      </c>
      <c r="H595">
        <v>72</v>
      </c>
      <c r="I595">
        <v>210</v>
      </c>
      <c r="J595">
        <v>2018</v>
      </c>
      <c r="K595" s="4" t="str">
        <f>HYPERLINK("http://legacy.baseballprospectus.com/fantasy/dc/index.php?tm=PIT","PIT")</f>
        <v>PIT</v>
      </c>
      <c r="L595" t="s">
        <v>100</v>
      </c>
      <c r="M595" t="s">
        <v>34</v>
      </c>
      <c r="N595">
        <v>29</v>
      </c>
      <c r="O595">
        <v>66</v>
      </c>
      <c r="P595">
        <v>20</v>
      </c>
      <c r="Q595">
        <v>60</v>
      </c>
      <c r="R595">
        <v>8</v>
      </c>
      <c r="S595">
        <v>8</v>
      </c>
      <c r="T595">
        <v>3</v>
      </c>
      <c r="U595">
        <v>0</v>
      </c>
      <c r="V595">
        <v>3</v>
      </c>
      <c r="W595">
        <v>14</v>
      </c>
      <c r="X595">
        <v>26</v>
      </c>
      <c r="Y595">
        <v>9</v>
      </c>
      <c r="Z595">
        <v>5</v>
      </c>
      <c r="AA595">
        <v>0</v>
      </c>
      <c r="AB595">
        <v>0</v>
      </c>
      <c r="AC595">
        <v>18</v>
      </c>
      <c r="AD595">
        <v>0</v>
      </c>
      <c r="AE595">
        <v>0</v>
      </c>
      <c r="AF595">
        <v>2</v>
      </c>
      <c r="AG595">
        <v>0</v>
      </c>
      <c r="AH595">
        <v>0</v>
      </c>
      <c r="AI595" s="5">
        <v>0.23300000000000001</v>
      </c>
      <c r="AJ595" s="5">
        <v>0.29199999999999998</v>
      </c>
      <c r="AK595" s="5">
        <v>0.433</v>
      </c>
      <c r="AL595" s="5">
        <v>0.255</v>
      </c>
      <c r="AM595" s="5">
        <v>0.28899999999999998</v>
      </c>
      <c r="AN595">
        <v>-0.1</v>
      </c>
      <c r="AO595">
        <v>-0.18</v>
      </c>
      <c r="AP595">
        <v>1.77</v>
      </c>
      <c r="AQ595">
        <v>-0.35</v>
      </c>
      <c r="AR595">
        <v>0.1</v>
      </c>
      <c r="AS595" t="s">
        <v>4897</v>
      </c>
      <c r="AT595">
        <v>0.1</v>
      </c>
      <c r="AU595">
        <v>1.1000000000000001</v>
      </c>
      <c r="AV595">
        <v>5</v>
      </c>
      <c r="AW595">
        <v>12</v>
      </c>
      <c r="AX595">
        <v>5</v>
      </c>
      <c r="AY595">
        <v>16</v>
      </c>
      <c r="AZ595" t="s">
        <v>4046</v>
      </c>
      <c r="BA595">
        <v>29</v>
      </c>
      <c r="BB595" t="s">
        <v>35</v>
      </c>
      <c r="BC595" t="s">
        <v>35</v>
      </c>
      <c r="BD595" s="4">
        <f>HYPERLINK("http://mlb.mlb.com/team/player.jsp?player_id=518490",518490)</f>
        <v>518490</v>
      </c>
      <c r="BE595">
        <v>634</v>
      </c>
      <c r="BF595">
        <v>1634</v>
      </c>
      <c r="BG595">
        <v>0</v>
      </c>
      <c r="BH595">
        <v>0</v>
      </c>
    </row>
    <row r="596" spans="1:60" x14ac:dyDescent="0.3">
      <c r="A596" s="4">
        <f>HYPERLINK("http://legacy.baseballprospectus.com/p/66895",66895)</f>
        <v>66895</v>
      </c>
      <c r="B596" t="s">
        <v>1086</v>
      </c>
      <c r="C596" t="s">
        <v>119</v>
      </c>
      <c r="D596" s="10">
        <v>33950</v>
      </c>
      <c r="E596" t="s">
        <v>57</v>
      </c>
      <c r="F596" t="s">
        <v>33</v>
      </c>
      <c r="G596" t="s">
        <v>33</v>
      </c>
      <c r="H596">
        <v>75</v>
      </c>
      <c r="I596">
        <v>240</v>
      </c>
      <c r="J596">
        <v>2018</v>
      </c>
      <c r="K596" s="4" t="str">
        <f>HYPERLINK("http://legacy.baseballprospectus.com/fantasy/dc/index.php?tm=PIT","PIT")</f>
        <v>PIT</v>
      </c>
      <c r="L596" t="s">
        <v>100</v>
      </c>
      <c r="M596" t="s">
        <v>34</v>
      </c>
      <c r="N596">
        <v>25</v>
      </c>
      <c r="O596">
        <v>99</v>
      </c>
      <c r="P596">
        <v>30</v>
      </c>
      <c r="Q596">
        <v>93</v>
      </c>
      <c r="R596">
        <v>11</v>
      </c>
      <c r="S596">
        <v>14</v>
      </c>
      <c r="T596">
        <v>6</v>
      </c>
      <c r="U596">
        <v>1</v>
      </c>
      <c r="V596">
        <v>3</v>
      </c>
      <c r="W596">
        <v>24</v>
      </c>
      <c r="X596">
        <v>41</v>
      </c>
      <c r="Y596">
        <v>13</v>
      </c>
      <c r="Z596">
        <v>5</v>
      </c>
      <c r="AA596">
        <v>0</v>
      </c>
      <c r="AB596">
        <v>1</v>
      </c>
      <c r="AC596">
        <v>20</v>
      </c>
      <c r="AD596">
        <v>0</v>
      </c>
      <c r="AE596">
        <v>0</v>
      </c>
      <c r="AF596">
        <v>3</v>
      </c>
      <c r="AG596">
        <v>0</v>
      </c>
      <c r="AH596">
        <v>0</v>
      </c>
      <c r="AI596" s="5">
        <v>0.25800000000000001</v>
      </c>
      <c r="AJ596" s="5">
        <v>0.30299999999999999</v>
      </c>
      <c r="AK596" s="5">
        <v>0.441</v>
      </c>
      <c r="AL596" s="5">
        <v>0.248</v>
      </c>
      <c r="AM596" s="5">
        <v>0.28799999999999998</v>
      </c>
      <c r="AN596">
        <v>-0.2</v>
      </c>
      <c r="AO596">
        <v>-0.61</v>
      </c>
      <c r="AP596">
        <v>2.66</v>
      </c>
      <c r="AQ596">
        <v>-1.24</v>
      </c>
      <c r="AR596">
        <v>-0.1</v>
      </c>
      <c r="AS596" t="s">
        <v>4973</v>
      </c>
      <c r="AT596">
        <v>0.1</v>
      </c>
      <c r="AU596">
        <v>0.6</v>
      </c>
      <c r="AV596">
        <v>6</v>
      </c>
      <c r="AW596">
        <v>21</v>
      </c>
      <c r="AX596">
        <v>15</v>
      </c>
      <c r="AY596">
        <v>31</v>
      </c>
      <c r="AZ596" t="s">
        <v>4216</v>
      </c>
      <c r="BA596">
        <v>53</v>
      </c>
      <c r="BB596" t="s">
        <v>35</v>
      </c>
      <c r="BC596" t="s">
        <v>36</v>
      </c>
      <c r="BD596" s="4">
        <f>HYPERLINK("http://mlb.mlb.com/team/player.jsp?player_id=591741",591741)</f>
        <v>591741</v>
      </c>
      <c r="BE596">
        <v>1617</v>
      </c>
      <c r="BF596">
        <v>617</v>
      </c>
      <c r="BG596">
        <v>227</v>
      </c>
      <c r="BH596">
        <v>215</v>
      </c>
    </row>
    <row r="597" spans="1:60" x14ac:dyDescent="0.3">
      <c r="A597" s="4">
        <f>HYPERLINK("http://legacy.baseballprospectus.com/p/66535",66535)</f>
        <v>66535</v>
      </c>
      <c r="B597" t="s">
        <v>4297</v>
      </c>
      <c r="C597" t="s">
        <v>103</v>
      </c>
      <c r="D597" s="10">
        <v>32585</v>
      </c>
      <c r="E597" t="s">
        <v>54</v>
      </c>
      <c r="F597" t="s">
        <v>33</v>
      </c>
      <c r="G597" t="s">
        <v>33</v>
      </c>
      <c r="H597">
        <v>75</v>
      </c>
      <c r="I597">
        <v>225</v>
      </c>
      <c r="J597">
        <v>2018</v>
      </c>
      <c r="K597" s="4" t="str">
        <f>HYPERLINK("http://legacy.baseballprospectus.com/fantasy/dc/index.php?tm=SEA","SEA")</f>
        <v>SEA</v>
      </c>
      <c r="L597" t="s">
        <v>95</v>
      </c>
      <c r="M597" t="s">
        <v>34</v>
      </c>
      <c r="N597">
        <v>29</v>
      </c>
      <c r="O597">
        <v>60</v>
      </c>
      <c r="P597">
        <v>18</v>
      </c>
      <c r="Q597">
        <v>55</v>
      </c>
      <c r="R597">
        <v>6</v>
      </c>
      <c r="S597">
        <v>9</v>
      </c>
      <c r="T597">
        <v>3</v>
      </c>
      <c r="U597">
        <v>0</v>
      </c>
      <c r="V597">
        <v>1</v>
      </c>
      <c r="W597">
        <v>13</v>
      </c>
      <c r="X597">
        <v>19</v>
      </c>
      <c r="Y597">
        <v>6</v>
      </c>
      <c r="Z597">
        <v>4</v>
      </c>
      <c r="AA597">
        <v>0</v>
      </c>
      <c r="AB597">
        <v>1</v>
      </c>
      <c r="AC597">
        <v>12</v>
      </c>
      <c r="AD597">
        <v>0</v>
      </c>
      <c r="AE597">
        <v>0</v>
      </c>
      <c r="AF597">
        <v>2</v>
      </c>
      <c r="AG597">
        <v>0</v>
      </c>
      <c r="AH597">
        <v>0</v>
      </c>
      <c r="AI597" s="5">
        <v>0.23599999999999999</v>
      </c>
      <c r="AJ597" s="5">
        <v>0.3</v>
      </c>
      <c r="AK597" s="5">
        <v>0.34499999999999997</v>
      </c>
      <c r="AL597" s="5">
        <v>0.24399999999999999</v>
      </c>
      <c r="AM597" s="5">
        <v>0.28199999999999997</v>
      </c>
      <c r="AN597">
        <v>-0.1</v>
      </c>
      <c r="AO597">
        <v>0.46</v>
      </c>
      <c r="AP597">
        <v>1.61</v>
      </c>
      <c r="AQ597">
        <v>-1.03</v>
      </c>
      <c r="AR597">
        <v>-0.1</v>
      </c>
      <c r="AS597" t="s">
        <v>55</v>
      </c>
      <c r="AT597">
        <v>0.1</v>
      </c>
      <c r="AU597">
        <v>0.9</v>
      </c>
      <c r="AV597">
        <v>1</v>
      </c>
      <c r="AW597">
        <v>8</v>
      </c>
      <c r="AX597">
        <v>6</v>
      </c>
      <c r="AY597">
        <v>23</v>
      </c>
      <c r="AZ597" t="s">
        <v>1947</v>
      </c>
      <c r="BA597">
        <v>34</v>
      </c>
      <c r="BB597" t="s">
        <v>35</v>
      </c>
      <c r="BC597" t="s">
        <v>35</v>
      </c>
      <c r="BD597" s="4">
        <f>HYPERLINK("http://mlb.mlb.com/team/player.jsp?player_id=571679",571679)</f>
        <v>571679</v>
      </c>
      <c r="BE597">
        <v>387</v>
      </c>
      <c r="BF597">
        <v>1387</v>
      </c>
      <c r="BG597">
        <v>17</v>
      </c>
      <c r="BH597">
        <v>17</v>
      </c>
    </row>
    <row r="598" spans="1:60" x14ac:dyDescent="0.3">
      <c r="A598" s="4">
        <f>HYPERLINK("http://legacy.baseballprospectus.com/p/51885",51885)</f>
        <v>51885</v>
      </c>
      <c r="B598" t="s">
        <v>420</v>
      </c>
      <c r="C598" t="s">
        <v>1887</v>
      </c>
      <c r="D598" s="10">
        <v>32027</v>
      </c>
      <c r="E598" t="s">
        <v>65</v>
      </c>
      <c r="F598" t="s">
        <v>33</v>
      </c>
      <c r="G598" t="s">
        <v>33</v>
      </c>
      <c r="H598">
        <v>73</v>
      </c>
      <c r="I598">
        <v>190</v>
      </c>
      <c r="J598">
        <v>2018</v>
      </c>
      <c r="K598" s="4" t="str">
        <f>HYPERLINK("http://legacy.baseballprospectus.com/fantasy/dc/index.php?tm=SFN","SFN")</f>
        <v>SFN</v>
      </c>
      <c r="L598" t="s">
        <v>100</v>
      </c>
      <c r="M598" t="s">
        <v>34</v>
      </c>
      <c r="N598">
        <v>30</v>
      </c>
      <c r="O598">
        <v>202</v>
      </c>
      <c r="P598">
        <v>104</v>
      </c>
      <c r="Q598">
        <v>180</v>
      </c>
      <c r="R598">
        <v>25</v>
      </c>
      <c r="S598">
        <v>33</v>
      </c>
      <c r="T598">
        <v>9</v>
      </c>
      <c r="U598">
        <v>1</v>
      </c>
      <c r="V598">
        <v>3</v>
      </c>
      <c r="W598">
        <v>46</v>
      </c>
      <c r="X598">
        <v>66</v>
      </c>
      <c r="Y598">
        <v>16</v>
      </c>
      <c r="Z598">
        <v>18</v>
      </c>
      <c r="AA598">
        <v>1</v>
      </c>
      <c r="AB598">
        <v>2</v>
      </c>
      <c r="AC598">
        <v>43</v>
      </c>
      <c r="AD598">
        <v>2</v>
      </c>
      <c r="AE598">
        <v>1</v>
      </c>
      <c r="AF598">
        <v>5</v>
      </c>
      <c r="AG598">
        <v>6</v>
      </c>
      <c r="AH598">
        <v>3</v>
      </c>
      <c r="AI598" s="5">
        <v>0.25600000000000001</v>
      </c>
      <c r="AJ598" s="5">
        <v>0.32800000000000001</v>
      </c>
      <c r="AK598" s="5">
        <v>0.36699999999999999</v>
      </c>
      <c r="AL598" s="5">
        <v>0.25</v>
      </c>
      <c r="AM598" s="5">
        <v>0.312</v>
      </c>
      <c r="AN598">
        <v>0.1</v>
      </c>
      <c r="AO598">
        <v>-0.89</v>
      </c>
      <c r="AP598">
        <v>5.42</v>
      </c>
      <c r="AQ598">
        <v>-2.17</v>
      </c>
      <c r="AR598">
        <v>-1</v>
      </c>
      <c r="AS598" t="s">
        <v>4857</v>
      </c>
      <c r="AT598">
        <v>0.1</v>
      </c>
      <c r="AU598">
        <v>2.5</v>
      </c>
      <c r="AV598">
        <v>2</v>
      </c>
      <c r="AW598">
        <v>16</v>
      </c>
      <c r="AX598">
        <v>11</v>
      </c>
      <c r="AY598">
        <v>24</v>
      </c>
      <c r="AZ598" t="s">
        <v>3849</v>
      </c>
      <c r="BA598">
        <v>62</v>
      </c>
      <c r="BB598" t="s">
        <v>35</v>
      </c>
      <c r="BC598" t="s">
        <v>36</v>
      </c>
      <c r="BD598" s="4">
        <f>HYPERLINK("http://mlb.mlb.com/team/player.jsp?player_id=491676",491676)</f>
        <v>491676</v>
      </c>
      <c r="BE598">
        <v>1605</v>
      </c>
      <c r="BF598">
        <v>605</v>
      </c>
      <c r="BG598">
        <v>348</v>
      </c>
      <c r="BH598">
        <v>310</v>
      </c>
    </row>
    <row r="599" spans="1:60" x14ac:dyDescent="0.3">
      <c r="A599" s="4">
        <f>HYPERLINK("http://legacy.baseballprospectus.com/p/71245",71245)</f>
        <v>71245</v>
      </c>
      <c r="B599" t="s">
        <v>1732</v>
      </c>
      <c r="C599" t="s">
        <v>136</v>
      </c>
      <c r="D599" s="10">
        <v>33951</v>
      </c>
      <c r="E599" t="s">
        <v>59</v>
      </c>
      <c r="F599" t="s">
        <v>33</v>
      </c>
      <c r="G599" t="s">
        <v>33</v>
      </c>
      <c r="H599">
        <v>74</v>
      </c>
      <c r="I599">
        <v>215</v>
      </c>
      <c r="J599">
        <v>2018</v>
      </c>
      <c r="K599" s="4" t="str">
        <f>HYPERLINK("http://legacy.baseballprospectus.com/fantasy/dc/index.php?tm=SFN","SFN")</f>
        <v>SFN</v>
      </c>
      <c r="L599" t="s">
        <v>100</v>
      </c>
      <c r="M599" t="s">
        <v>34</v>
      </c>
      <c r="N599">
        <v>25</v>
      </c>
      <c r="O599">
        <v>65</v>
      </c>
      <c r="P599">
        <v>20</v>
      </c>
      <c r="Q599">
        <v>59</v>
      </c>
      <c r="R599">
        <v>7</v>
      </c>
      <c r="S599">
        <v>11</v>
      </c>
      <c r="T599">
        <v>3</v>
      </c>
      <c r="U599">
        <v>0</v>
      </c>
      <c r="V599">
        <v>2</v>
      </c>
      <c r="W599">
        <v>16</v>
      </c>
      <c r="X599">
        <v>25</v>
      </c>
      <c r="Y599">
        <v>7</v>
      </c>
      <c r="Z599">
        <v>5</v>
      </c>
      <c r="AA599">
        <v>0</v>
      </c>
      <c r="AB599">
        <v>1</v>
      </c>
      <c r="AC599">
        <v>15</v>
      </c>
      <c r="AD599">
        <v>0</v>
      </c>
      <c r="AE599">
        <v>0</v>
      </c>
      <c r="AF599">
        <v>2</v>
      </c>
      <c r="AG599">
        <v>0</v>
      </c>
      <c r="AH599">
        <v>0</v>
      </c>
      <c r="AI599" s="5">
        <v>0.27100000000000002</v>
      </c>
      <c r="AJ599" s="5">
        <v>0.33800000000000002</v>
      </c>
      <c r="AK599" s="5">
        <v>0.42399999999999999</v>
      </c>
      <c r="AL599" s="5">
        <v>0.25800000000000001</v>
      </c>
      <c r="AM599" s="5">
        <v>0.32300000000000001</v>
      </c>
      <c r="AN599">
        <v>-0.1</v>
      </c>
      <c r="AO599">
        <v>-0.12</v>
      </c>
      <c r="AP599">
        <v>1.75</v>
      </c>
      <c r="AQ599">
        <v>-0.15</v>
      </c>
      <c r="AR599">
        <v>-0.6</v>
      </c>
      <c r="AS599" t="s">
        <v>1014</v>
      </c>
      <c r="AT599">
        <v>0.1</v>
      </c>
      <c r="AU599">
        <v>1.3</v>
      </c>
      <c r="AV599">
        <v>9</v>
      </c>
      <c r="AW599">
        <v>27</v>
      </c>
      <c r="AX599">
        <v>23</v>
      </c>
      <c r="AY599">
        <v>40</v>
      </c>
      <c r="AZ599" t="s">
        <v>3958</v>
      </c>
      <c r="BA599">
        <v>68</v>
      </c>
      <c r="BB599" t="s">
        <v>35</v>
      </c>
      <c r="BC599" t="s">
        <v>35</v>
      </c>
      <c r="BD599" s="4">
        <f>HYPERLINK("http://mlb.mlb.com/team/player.jsp?player_id=596103",596103)</f>
        <v>596103</v>
      </c>
      <c r="BE599">
        <v>1625</v>
      </c>
      <c r="BF599">
        <v>625</v>
      </c>
      <c r="BG599">
        <v>127</v>
      </c>
      <c r="BH599">
        <v>117</v>
      </c>
    </row>
    <row r="600" spans="1:60" x14ac:dyDescent="0.3">
      <c r="A600" s="4">
        <f>HYPERLINK("http://legacy.baseballprospectus.com/p/71291",71291)</f>
        <v>71291</v>
      </c>
      <c r="B600" t="s">
        <v>1124</v>
      </c>
      <c r="C600" t="s">
        <v>1206</v>
      </c>
      <c r="D600" s="10">
        <v>33069</v>
      </c>
      <c r="E600" t="s">
        <v>57</v>
      </c>
      <c r="F600" t="s">
        <v>33</v>
      </c>
      <c r="G600" t="s">
        <v>33</v>
      </c>
      <c r="H600">
        <v>76</v>
      </c>
      <c r="I600">
        <v>240</v>
      </c>
      <c r="J600">
        <v>2018</v>
      </c>
      <c r="K600" s="4" t="str">
        <f>HYPERLINK("http://legacy.baseballprospectus.com/fantasy/dc/index.php?tm=SFN","SFN")</f>
        <v>SFN</v>
      </c>
      <c r="L600" t="s">
        <v>100</v>
      </c>
      <c r="M600" t="s">
        <v>34</v>
      </c>
      <c r="N600">
        <v>27</v>
      </c>
      <c r="O600">
        <v>97</v>
      </c>
      <c r="P600">
        <v>49</v>
      </c>
      <c r="Q600">
        <v>88</v>
      </c>
      <c r="R600">
        <v>11</v>
      </c>
      <c r="S600">
        <v>13</v>
      </c>
      <c r="T600">
        <v>4</v>
      </c>
      <c r="U600">
        <v>0</v>
      </c>
      <c r="V600">
        <v>3</v>
      </c>
      <c r="W600">
        <v>20</v>
      </c>
      <c r="X600">
        <v>33</v>
      </c>
      <c r="Y600">
        <v>12</v>
      </c>
      <c r="Z600">
        <v>7</v>
      </c>
      <c r="AA600">
        <v>1</v>
      </c>
      <c r="AB600">
        <v>2</v>
      </c>
      <c r="AC600">
        <v>27</v>
      </c>
      <c r="AD600">
        <v>0</v>
      </c>
      <c r="AE600">
        <v>0</v>
      </c>
      <c r="AF600">
        <v>2</v>
      </c>
      <c r="AG600">
        <v>1</v>
      </c>
      <c r="AH600">
        <v>0</v>
      </c>
      <c r="AI600" s="5">
        <v>0.22700000000000001</v>
      </c>
      <c r="AJ600" s="5">
        <v>0.29899999999999999</v>
      </c>
      <c r="AK600" s="5">
        <v>0.375</v>
      </c>
      <c r="AL600" s="5">
        <v>0.252</v>
      </c>
      <c r="AM600" s="5">
        <v>0.29599999999999999</v>
      </c>
      <c r="AN600">
        <v>-0.2</v>
      </c>
      <c r="AO600">
        <v>-0.7</v>
      </c>
      <c r="AP600">
        <v>2.6</v>
      </c>
      <c r="AQ600">
        <v>-0.86</v>
      </c>
      <c r="AR600">
        <v>0.2</v>
      </c>
      <c r="AS600" t="s">
        <v>2199</v>
      </c>
      <c r="AT600">
        <v>0.1</v>
      </c>
      <c r="AU600">
        <v>0.9</v>
      </c>
      <c r="AV600">
        <v>6</v>
      </c>
      <c r="AW600">
        <v>19</v>
      </c>
      <c r="AX600">
        <v>13</v>
      </c>
      <c r="AY600">
        <v>29</v>
      </c>
      <c r="AZ600" t="s">
        <v>4118</v>
      </c>
      <c r="BA600">
        <v>56</v>
      </c>
      <c r="BB600" t="s">
        <v>35</v>
      </c>
      <c r="BC600" t="s">
        <v>36</v>
      </c>
      <c r="BD600" s="4">
        <f>HYPERLINK("http://mlb.mlb.com/team/player.jsp?player_id=607776",607776)</f>
        <v>607776</v>
      </c>
      <c r="BE600">
        <v>1634</v>
      </c>
      <c r="BF600">
        <v>634</v>
      </c>
      <c r="BG600">
        <v>73</v>
      </c>
      <c r="BH600">
        <v>68</v>
      </c>
    </row>
    <row r="601" spans="1:60" x14ac:dyDescent="0.3">
      <c r="A601" s="4">
        <f>HYPERLINK("http://legacy.baseballprospectus.com/p/70619",70619)</f>
        <v>70619</v>
      </c>
      <c r="B601" t="s">
        <v>447</v>
      </c>
      <c r="C601" t="s">
        <v>746</v>
      </c>
      <c r="D601" s="10">
        <v>34529</v>
      </c>
      <c r="E601" t="s">
        <v>54</v>
      </c>
      <c r="F601" t="s">
        <v>33</v>
      </c>
      <c r="G601" t="s">
        <v>33</v>
      </c>
      <c r="H601">
        <v>74</v>
      </c>
      <c r="I601">
        <v>220</v>
      </c>
      <c r="J601">
        <v>2018</v>
      </c>
      <c r="K601" s="4" t="str">
        <f>HYPERLINK("http://legacy.baseballprospectus.com/fantasy/dc/index.php?tm=SLN","SLN")</f>
        <v>SLN</v>
      </c>
      <c r="L601" t="s">
        <v>100</v>
      </c>
      <c r="M601" t="s">
        <v>34</v>
      </c>
      <c r="N601">
        <v>23</v>
      </c>
      <c r="O601">
        <v>109</v>
      </c>
      <c r="P601">
        <v>63</v>
      </c>
      <c r="Q601">
        <v>99</v>
      </c>
      <c r="R601">
        <v>12</v>
      </c>
      <c r="S601">
        <v>16</v>
      </c>
      <c r="T601">
        <v>5</v>
      </c>
      <c r="U601">
        <v>0</v>
      </c>
      <c r="V601">
        <v>3</v>
      </c>
      <c r="W601">
        <v>24</v>
      </c>
      <c r="X601">
        <v>38</v>
      </c>
      <c r="Y601">
        <v>12</v>
      </c>
      <c r="Z601">
        <v>8</v>
      </c>
      <c r="AA601">
        <v>0</v>
      </c>
      <c r="AB601">
        <v>1</v>
      </c>
      <c r="AC601">
        <v>21</v>
      </c>
      <c r="AD601">
        <v>0</v>
      </c>
      <c r="AE601">
        <v>1</v>
      </c>
      <c r="AF601">
        <v>4</v>
      </c>
      <c r="AG601">
        <v>0</v>
      </c>
      <c r="AH601">
        <v>0</v>
      </c>
      <c r="AI601" s="5">
        <v>0.24199999999999999</v>
      </c>
      <c r="AJ601" s="5">
        <v>0.30299999999999999</v>
      </c>
      <c r="AK601" s="5">
        <v>0.38400000000000001</v>
      </c>
      <c r="AL601" s="5">
        <v>0.24099999999999999</v>
      </c>
      <c r="AM601" s="5">
        <v>0.27800000000000002</v>
      </c>
      <c r="AN601">
        <v>-0.3</v>
      </c>
      <c r="AO601">
        <v>-0.18</v>
      </c>
      <c r="AP601">
        <v>2.93</v>
      </c>
      <c r="AQ601">
        <v>-2.19</v>
      </c>
      <c r="AR601">
        <v>0.9</v>
      </c>
      <c r="AS601" t="s">
        <v>62</v>
      </c>
      <c r="AT601">
        <v>0.1</v>
      </c>
      <c r="AU601">
        <v>0.3</v>
      </c>
      <c r="AV601">
        <v>6</v>
      </c>
      <c r="AW601">
        <v>32</v>
      </c>
      <c r="AX601">
        <v>5</v>
      </c>
      <c r="AY601">
        <v>21</v>
      </c>
      <c r="AZ601" t="s">
        <v>3959</v>
      </c>
      <c r="BA601">
        <v>49</v>
      </c>
      <c r="BB601" t="s">
        <v>35</v>
      </c>
      <c r="BC601" t="s">
        <v>35</v>
      </c>
      <c r="BD601" s="4">
        <f>HYPERLINK("http://mlb.mlb.com/team/player.jsp?player_id=608348",608348)</f>
        <v>608348</v>
      </c>
      <c r="BE601">
        <v>1399</v>
      </c>
      <c r="BF601">
        <v>399</v>
      </c>
      <c r="BG601">
        <v>75</v>
      </c>
      <c r="BH601">
        <v>69</v>
      </c>
    </row>
    <row r="602" spans="1:60" x14ac:dyDescent="0.3">
      <c r="A602" s="4">
        <f>HYPERLINK("http://legacy.baseballprospectus.com/p/33829",33829)</f>
        <v>33829</v>
      </c>
      <c r="B602" t="s">
        <v>249</v>
      </c>
      <c r="C602" t="s">
        <v>226</v>
      </c>
      <c r="D602" s="10">
        <v>30838</v>
      </c>
      <c r="E602" t="s">
        <v>54</v>
      </c>
      <c r="F602" t="s">
        <v>33</v>
      </c>
      <c r="G602" t="s">
        <v>33</v>
      </c>
      <c r="H602">
        <v>73</v>
      </c>
      <c r="I602">
        <v>210</v>
      </c>
      <c r="J602">
        <v>2018</v>
      </c>
      <c r="K602" s="4" t="str">
        <f>HYPERLINK("http://legacy.baseballprospectus.com/fantasy/dc/index.php?tm=TEX","TEX")</f>
        <v>TEX</v>
      </c>
      <c r="L602" t="s">
        <v>95</v>
      </c>
      <c r="M602" t="s">
        <v>34</v>
      </c>
      <c r="N602">
        <v>34</v>
      </c>
      <c r="O602">
        <v>423</v>
      </c>
      <c r="P602">
        <v>124</v>
      </c>
      <c r="Q602">
        <v>370</v>
      </c>
      <c r="R602">
        <v>52</v>
      </c>
      <c r="S602">
        <v>52</v>
      </c>
      <c r="T602">
        <v>19</v>
      </c>
      <c r="U602">
        <v>1</v>
      </c>
      <c r="V602">
        <v>16</v>
      </c>
      <c r="W602">
        <v>88</v>
      </c>
      <c r="X602">
        <v>157</v>
      </c>
      <c r="Y602">
        <v>53</v>
      </c>
      <c r="Z602">
        <v>39</v>
      </c>
      <c r="AA602">
        <v>1</v>
      </c>
      <c r="AB602">
        <v>9</v>
      </c>
      <c r="AC602">
        <v>99</v>
      </c>
      <c r="AD602">
        <v>4</v>
      </c>
      <c r="AE602">
        <v>2</v>
      </c>
      <c r="AF602">
        <v>11</v>
      </c>
      <c r="AG602">
        <v>1</v>
      </c>
      <c r="AH602">
        <v>1</v>
      </c>
      <c r="AI602" s="5">
        <v>0.23799999999999999</v>
      </c>
      <c r="AJ602" s="5">
        <v>0.32400000000000001</v>
      </c>
      <c r="AK602" s="5">
        <v>0.42399999999999999</v>
      </c>
      <c r="AL602" s="5">
        <v>0.251</v>
      </c>
      <c r="AM602" s="5">
        <v>0.27400000000000002</v>
      </c>
      <c r="AN602">
        <v>-0.9</v>
      </c>
      <c r="AO602">
        <v>3.22</v>
      </c>
      <c r="AP602">
        <v>11.36</v>
      </c>
      <c r="AQ602">
        <v>-3.86</v>
      </c>
      <c r="AR602">
        <v>-9.1999999999999993</v>
      </c>
      <c r="AS602" t="s">
        <v>1757</v>
      </c>
      <c r="AT602">
        <v>0.1</v>
      </c>
      <c r="AU602">
        <v>9.9</v>
      </c>
      <c r="AV602">
        <v>1</v>
      </c>
      <c r="AW602">
        <v>33</v>
      </c>
      <c r="AX602">
        <v>9</v>
      </c>
      <c r="AY602">
        <v>13</v>
      </c>
      <c r="AZ602" t="s">
        <v>4219</v>
      </c>
      <c r="BA602">
        <v>80</v>
      </c>
      <c r="BB602" t="s">
        <v>35</v>
      </c>
      <c r="BC602" t="s">
        <v>36</v>
      </c>
      <c r="BD602" s="4">
        <f>HYPERLINK("http://mlb.mlb.com/team/player.jsp?player_id=455139",455139)</f>
        <v>455139</v>
      </c>
      <c r="BE602">
        <v>362</v>
      </c>
      <c r="BF602">
        <v>1362</v>
      </c>
      <c r="BG602">
        <v>309</v>
      </c>
      <c r="BH602">
        <v>263</v>
      </c>
    </row>
    <row r="603" spans="1:60" x14ac:dyDescent="0.3">
      <c r="A603" s="4">
        <f>HYPERLINK("http://legacy.baseballprospectus.com/p/69970",69970)</f>
        <v>69970</v>
      </c>
      <c r="B603" t="s">
        <v>1252</v>
      </c>
      <c r="C603" t="s">
        <v>102</v>
      </c>
      <c r="D603" s="10">
        <v>32943</v>
      </c>
      <c r="E603" t="s">
        <v>50</v>
      </c>
      <c r="F603" t="s">
        <v>33</v>
      </c>
      <c r="G603" t="s">
        <v>33</v>
      </c>
      <c r="H603">
        <v>74</v>
      </c>
      <c r="I603">
        <v>205</v>
      </c>
      <c r="J603">
        <v>2018</v>
      </c>
      <c r="K603" s="4" t="str">
        <f>HYPERLINK("http://legacy.baseballprospectus.com/fantasy/dc/index.php?tm=TEX","TEX")</f>
        <v>TEX</v>
      </c>
      <c r="L603" t="s">
        <v>95</v>
      </c>
      <c r="M603" t="s">
        <v>34</v>
      </c>
      <c r="N603">
        <v>28</v>
      </c>
      <c r="O603">
        <v>168</v>
      </c>
      <c r="P603">
        <v>55</v>
      </c>
      <c r="Q603">
        <v>152</v>
      </c>
      <c r="R603">
        <v>20</v>
      </c>
      <c r="S603">
        <v>25</v>
      </c>
      <c r="T603">
        <v>7</v>
      </c>
      <c r="U603">
        <v>1</v>
      </c>
      <c r="V603">
        <v>5</v>
      </c>
      <c r="W603">
        <v>38</v>
      </c>
      <c r="X603">
        <v>62</v>
      </c>
      <c r="Y603">
        <v>20</v>
      </c>
      <c r="Z603">
        <v>13</v>
      </c>
      <c r="AA603">
        <v>1</v>
      </c>
      <c r="AB603">
        <v>2</v>
      </c>
      <c r="AC603">
        <v>45</v>
      </c>
      <c r="AD603">
        <v>0</v>
      </c>
      <c r="AE603">
        <v>1</v>
      </c>
      <c r="AF603">
        <v>5</v>
      </c>
      <c r="AG603">
        <v>3</v>
      </c>
      <c r="AH603">
        <v>1</v>
      </c>
      <c r="AI603" s="5">
        <v>0.25</v>
      </c>
      <c r="AJ603" s="5">
        <v>0.315</v>
      </c>
      <c r="AK603" s="5">
        <v>0.40799999999999997</v>
      </c>
      <c r="AL603" s="5">
        <v>0.245</v>
      </c>
      <c r="AM603" s="5">
        <v>0.313</v>
      </c>
      <c r="AN603">
        <v>0.1</v>
      </c>
      <c r="AO603">
        <v>-1.49</v>
      </c>
      <c r="AP603">
        <v>4.51</v>
      </c>
      <c r="AQ603">
        <v>-2.59</v>
      </c>
      <c r="AR603">
        <v>0.6</v>
      </c>
      <c r="AS603" t="s">
        <v>1791</v>
      </c>
      <c r="AT603">
        <v>0.1</v>
      </c>
      <c r="AU603">
        <v>0.5</v>
      </c>
      <c r="AV603">
        <v>5</v>
      </c>
      <c r="AW603">
        <v>29</v>
      </c>
      <c r="AX603">
        <v>14</v>
      </c>
      <c r="AY603">
        <v>33</v>
      </c>
      <c r="AZ603" t="s">
        <v>4300</v>
      </c>
      <c r="BA603">
        <v>66</v>
      </c>
      <c r="BB603" t="s">
        <v>35</v>
      </c>
      <c r="BC603" t="s">
        <v>36</v>
      </c>
      <c r="BD603" s="4">
        <f>HYPERLINK("http://mlb.mlb.com/team/player.jsp?player_id=607387",607387)</f>
        <v>607387</v>
      </c>
      <c r="BE603">
        <v>612</v>
      </c>
      <c r="BF603">
        <v>1612</v>
      </c>
      <c r="BG603">
        <v>144</v>
      </c>
      <c r="BH603">
        <v>129</v>
      </c>
    </row>
    <row r="604" spans="1:60" x14ac:dyDescent="0.3">
      <c r="A604" s="4">
        <f>HYPERLINK("http://legacy.baseballprospectus.com/p/100152",100152)</f>
        <v>100152</v>
      </c>
      <c r="B604" t="s">
        <v>1706</v>
      </c>
      <c r="C604" t="s">
        <v>384</v>
      </c>
      <c r="D604" s="10">
        <v>34535</v>
      </c>
      <c r="E604" t="s">
        <v>57</v>
      </c>
      <c r="F604" t="s">
        <v>33</v>
      </c>
      <c r="G604" t="s">
        <v>33</v>
      </c>
      <c r="H604">
        <v>73</v>
      </c>
      <c r="I604">
        <v>215</v>
      </c>
      <c r="J604">
        <v>2018</v>
      </c>
      <c r="K604" s="4" t="str">
        <f>HYPERLINK("http://legacy.baseballprospectus.com/fantasy/dc/index.php?tm=TOR","TOR")</f>
        <v>TOR</v>
      </c>
      <c r="L604" t="s">
        <v>95</v>
      </c>
      <c r="M604" t="s">
        <v>34</v>
      </c>
      <c r="N604">
        <v>23</v>
      </c>
      <c r="O604">
        <v>62</v>
      </c>
      <c r="P604">
        <v>19</v>
      </c>
      <c r="Q604">
        <v>54</v>
      </c>
      <c r="R604">
        <v>7</v>
      </c>
      <c r="S604">
        <v>8</v>
      </c>
      <c r="T604">
        <v>3</v>
      </c>
      <c r="U604">
        <v>0</v>
      </c>
      <c r="V604">
        <v>1</v>
      </c>
      <c r="W604">
        <v>12</v>
      </c>
      <c r="X604">
        <v>18</v>
      </c>
      <c r="Y604">
        <v>6</v>
      </c>
      <c r="Z604">
        <v>7</v>
      </c>
      <c r="AA604">
        <v>0</v>
      </c>
      <c r="AB604">
        <v>1</v>
      </c>
      <c r="AC604">
        <v>18</v>
      </c>
      <c r="AD604">
        <v>0</v>
      </c>
      <c r="AE604">
        <v>0</v>
      </c>
      <c r="AF604">
        <v>1</v>
      </c>
      <c r="AG604">
        <v>2</v>
      </c>
      <c r="AH604">
        <v>0</v>
      </c>
      <c r="AI604" s="5">
        <v>0.222</v>
      </c>
      <c r="AJ604" s="5">
        <v>0.32300000000000001</v>
      </c>
      <c r="AK604" s="5">
        <v>0.33300000000000002</v>
      </c>
      <c r="AL604" s="5">
        <v>0.24199999999999999</v>
      </c>
      <c r="AM604" s="5">
        <v>0.313</v>
      </c>
      <c r="AN604">
        <v>0.2</v>
      </c>
      <c r="AO604">
        <v>-0.17</v>
      </c>
      <c r="AP604">
        <v>1.66</v>
      </c>
      <c r="AQ604">
        <v>-1.17</v>
      </c>
      <c r="AR604">
        <v>0.1</v>
      </c>
      <c r="AS604" t="s">
        <v>2186</v>
      </c>
      <c r="AT604">
        <v>0.1</v>
      </c>
      <c r="AU604">
        <v>0.5</v>
      </c>
      <c r="AV604">
        <v>1</v>
      </c>
      <c r="AW604">
        <v>19</v>
      </c>
      <c r="AX604">
        <v>5</v>
      </c>
      <c r="AY604">
        <v>13</v>
      </c>
      <c r="AZ604" t="s">
        <v>4301</v>
      </c>
      <c r="BA604">
        <v>39</v>
      </c>
      <c r="BB604" t="s">
        <v>35</v>
      </c>
      <c r="BC604" t="s">
        <v>35</v>
      </c>
      <c r="BD604" s="4">
        <f>HYPERLINK("http://mlb.mlb.com/team/player.jsp?player_id=546990",546990)</f>
        <v>546990</v>
      </c>
      <c r="BE604">
        <v>631</v>
      </c>
      <c r="BF604">
        <v>1631</v>
      </c>
      <c r="BG604">
        <v>8</v>
      </c>
      <c r="BH604">
        <v>8</v>
      </c>
    </row>
    <row r="605" spans="1:60" x14ac:dyDescent="0.3">
      <c r="A605" s="4">
        <f>HYPERLINK("http://legacy.baseballprospectus.com/p/69667",69667)</f>
        <v>69667</v>
      </c>
      <c r="B605" t="s">
        <v>420</v>
      </c>
      <c r="C605" t="s">
        <v>1265</v>
      </c>
      <c r="D605" s="10">
        <v>33892</v>
      </c>
      <c r="E605" t="s">
        <v>59</v>
      </c>
      <c r="F605" t="s">
        <v>33</v>
      </c>
      <c r="G605" t="s">
        <v>33</v>
      </c>
      <c r="H605">
        <v>74</v>
      </c>
      <c r="I605">
        <v>180</v>
      </c>
      <c r="J605">
        <v>2018</v>
      </c>
      <c r="K605" s="4" t="str">
        <f>HYPERLINK("http://legacy.baseballprospectus.com/fantasy/dc/index.php?tm=TOR","TOR")</f>
        <v>TOR</v>
      </c>
      <c r="L605" t="s">
        <v>95</v>
      </c>
      <c r="M605" t="s">
        <v>34</v>
      </c>
      <c r="N605">
        <v>25</v>
      </c>
      <c r="O605">
        <v>100</v>
      </c>
      <c r="P605">
        <v>31</v>
      </c>
      <c r="Q605">
        <v>90</v>
      </c>
      <c r="R605">
        <v>13</v>
      </c>
      <c r="S605">
        <v>13</v>
      </c>
      <c r="T605">
        <v>5</v>
      </c>
      <c r="U605">
        <v>0</v>
      </c>
      <c r="V605">
        <v>4</v>
      </c>
      <c r="W605">
        <v>22</v>
      </c>
      <c r="X605">
        <v>39</v>
      </c>
      <c r="Y605">
        <v>12</v>
      </c>
      <c r="Z605">
        <v>8</v>
      </c>
      <c r="AA605">
        <v>0</v>
      </c>
      <c r="AB605">
        <v>1</v>
      </c>
      <c r="AC605">
        <v>26</v>
      </c>
      <c r="AD605">
        <v>0</v>
      </c>
      <c r="AE605">
        <v>0</v>
      </c>
      <c r="AF605">
        <v>2</v>
      </c>
      <c r="AG605">
        <v>3</v>
      </c>
      <c r="AH605">
        <v>2</v>
      </c>
      <c r="AI605" s="5">
        <v>0.24399999999999999</v>
      </c>
      <c r="AJ605" s="5">
        <v>0.313</v>
      </c>
      <c r="AK605" s="5">
        <v>0.433</v>
      </c>
      <c r="AL605" s="5">
        <v>0.251</v>
      </c>
      <c r="AM605" s="5">
        <v>0.29099999999999998</v>
      </c>
      <c r="AN605">
        <v>0.1</v>
      </c>
      <c r="AO605">
        <v>-0.24</v>
      </c>
      <c r="AP605">
        <v>2.68</v>
      </c>
      <c r="AQ605">
        <v>-0.96</v>
      </c>
      <c r="AR605">
        <v>-0.7</v>
      </c>
      <c r="AS605" t="s">
        <v>70</v>
      </c>
      <c r="AT605">
        <v>0.1</v>
      </c>
      <c r="AU605">
        <v>1.6</v>
      </c>
      <c r="AV605">
        <v>3</v>
      </c>
      <c r="AW605">
        <v>22</v>
      </c>
      <c r="AX605">
        <v>10</v>
      </c>
      <c r="AY605">
        <v>24</v>
      </c>
      <c r="AZ605" t="s">
        <v>3700</v>
      </c>
      <c r="BA605">
        <v>55</v>
      </c>
      <c r="BB605" t="s">
        <v>35</v>
      </c>
      <c r="BC605" t="s">
        <v>36</v>
      </c>
      <c r="BD605" s="4">
        <f>HYPERLINK("http://mlb.mlb.com/team/player.jsp?player_id=606192",606192)</f>
        <v>606192</v>
      </c>
      <c r="BE605">
        <v>620</v>
      </c>
      <c r="BF605">
        <v>1620</v>
      </c>
      <c r="BG605">
        <v>95</v>
      </c>
      <c r="BH605">
        <v>88</v>
      </c>
    </row>
    <row r="606" spans="1:60" x14ac:dyDescent="0.3">
      <c r="A606" s="4">
        <f>HYPERLINK("http://legacy.baseballprospectus.com/p/100036",100036)</f>
        <v>100036</v>
      </c>
      <c r="B606" t="s">
        <v>1393</v>
      </c>
      <c r="C606" t="s">
        <v>432</v>
      </c>
      <c r="D606" s="10">
        <v>33275</v>
      </c>
      <c r="E606" t="s">
        <v>54</v>
      </c>
      <c r="F606" t="s">
        <v>33</v>
      </c>
      <c r="G606" t="s">
        <v>33</v>
      </c>
      <c r="H606">
        <v>75</v>
      </c>
      <c r="I606">
        <v>225</v>
      </c>
      <c r="J606">
        <v>2018</v>
      </c>
      <c r="K606" s="4" t="str">
        <f>HYPERLINK("http://legacy.baseballprospectus.com/fantasy/dc/index.php?tm=TOR","TOR")</f>
        <v>TOR</v>
      </c>
      <c r="L606" t="s">
        <v>95</v>
      </c>
      <c r="M606" t="s">
        <v>34</v>
      </c>
      <c r="N606">
        <v>27</v>
      </c>
      <c r="O606">
        <v>186</v>
      </c>
      <c r="P606">
        <v>60</v>
      </c>
      <c r="Q606">
        <v>170</v>
      </c>
      <c r="R606">
        <v>17</v>
      </c>
      <c r="S606">
        <v>25</v>
      </c>
      <c r="T606">
        <v>8</v>
      </c>
      <c r="U606">
        <v>0</v>
      </c>
      <c r="V606">
        <v>4</v>
      </c>
      <c r="W606">
        <v>37</v>
      </c>
      <c r="X606">
        <v>57</v>
      </c>
      <c r="Y606">
        <v>18</v>
      </c>
      <c r="Z606">
        <v>12</v>
      </c>
      <c r="AA606">
        <v>1</v>
      </c>
      <c r="AB606">
        <v>2</v>
      </c>
      <c r="AC606">
        <v>40</v>
      </c>
      <c r="AD606">
        <v>1</v>
      </c>
      <c r="AE606">
        <v>1</v>
      </c>
      <c r="AF606">
        <v>5</v>
      </c>
      <c r="AG606">
        <v>0</v>
      </c>
      <c r="AH606">
        <v>0</v>
      </c>
      <c r="AI606" s="5">
        <v>0.218</v>
      </c>
      <c r="AJ606" s="5">
        <v>0.27600000000000002</v>
      </c>
      <c r="AK606" s="5">
        <v>0.33500000000000002</v>
      </c>
      <c r="AL606" s="5">
        <v>0.217</v>
      </c>
      <c r="AM606" s="5">
        <v>0.25900000000000001</v>
      </c>
      <c r="AN606">
        <v>-0.4</v>
      </c>
      <c r="AO606">
        <v>1.42</v>
      </c>
      <c r="AP606">
        <v>4.99</v>
      </c>
      <c r="AQ606">
        <v>-8.44</v>
      </c>
      <c r="AR606">
        <v>3.3</v>
      </c>
      <c r="AS606" t="s">
        <v>1541</v>
      </c>
      <c r="AT606">
        <v>0.1</v>
      </c>
      <c r="AU606">
        <v>-2.4</v>
      </c>
      <c r="AV606">
        <v>9</v>
      </c>
      <c r="AW606">
        <v>24</v>
      </c>
      <c r="AX606">
        <v>17</v>
      </c>
      <c r="AY606">
        <v>34</v>
      </c>
      <c r="AZ606" t="s">
        <v>4220</v>
      </c>
      <c r="BA606">
        <v>67</v>
      </c>
      <c r="BB606" t="s">
        <v>35</v>
      </c>
      <c r="BC606" t="s">
        <v>36</v>
      </c>
      <c r="BD606" s="4">
        <f>HYPERLINK("http://mlb.mlb.com/team/player.jsp?player_id=571912",571912)</f>
        <v>571912</v>
      </c>
      <c r="BE606">
        <v>376</v>
      </c>
      <c r="BF606">
        <v>1376</v>
      </c>
      <c r="BG606">
        <v>136</v>
      </c>
      <c r="BH606">
        <v>130</v>
      </c>
    </row>
    <row r="607" spans="1:60" x14ac:dyDescent="0.3">
      <c r="A607" s="4">
        <f>HYPERLINK("http://legacy.baseballprospectus.com/p/45623",45623)</f>
        <v>45623</v>
      </c>
      <c r="B607" t="s">
        <v>995</v>
      </c>
      <c r="C607" t="s">
        <v>102</v>
      </c>
      <c r="D607" s="10">
        <v>30953</v>
      </c>
      <c r="E607" t="s">
        <v>50</v>
      </c>
      <c r="F607" t="s">
        <v>33</v>
      </c>
      <c r="G607" t="s">
        <v>33</v>
      </c>
      <c r="H607">
        <v>75</v>
      </c>
      <c r="I607">
        <v>225</v>
      </c>
      <c r="J607">
        <v>2018</v>
      </c>
      <c r="K607" s="4" t="str">
        <f>HYPERLINK("http://legacy.baseballprospectus.com/fantasy/dc/index.php?tm=WAS","WAS")</f>
        <v>WAS</v>
      </c>
      <c r="L607" t="s">
        <v>100</v>
      </c>
      <c r="M607" t="s">
        <v>34</v>
      </c>
      <c r="N607">
        <v>33</v>
      </c>
      <c r="O607">
        <v>510</v>
      </c>
      <c r="P607">
        <v>126</v>
      </c>
      <c r="Q607">
        <v>463</v>
      </c>
      <c r="R607">
        <v>62</v>
      </c>
      <c r="S607">
        <v>73</v>
      </c>
      <c r="T607">
        <v>24</v>
      </c>
      <c r="U607">
        <v>1</v>
      </c>
      <c r="V607">
        <v>21</v>
      </c>
      <c r="W607">
        <v>119</v>
      </c>
      <c r="X607">
        <v>208</v>
      </c>
      <c r="Y607">
        <v>71</v>
      </c>
      <c r="Z607">
        <v>40</v>
      </c>
      <c r="AA607">
        <v>1</v>
      </c>
      <c r="AB607">
        <v>3</v>
      </c>
      <c r="AC607">
        <v>110</v>
      </c>
      <c r="AD607">
        <v>0</v>
      </c>
      <c r="AE607">
        <v>4</v>
      </c>
      <c r="AF607">
        <v>15</v>
      </c>
      <c r="AG607">
        <v>2</v>
      </c>
      <c r="AH607">
        <v>0</v>
      </c>
      <c r="AI607" s="5">
        <v>0.25700000000000001</v>
      </c>
      <c r="AJ607" s="5">
        <v>0.318</v>
      </c>
      <c r="AK607" s="5">
        <v>0.44900000000000001</v>
      </c>
      <c r="AL607" s="5">
        <v>0.26300000000000001</v>
      </c>
      <c r="AM607" s="5">
        <v>0.29199999999999998</v>
      </c>
      <c r="AN607">
        <v>-0.8</v>
      </c>
      <c r="AO607">
        <v>-5.84</v>
      </c>
      <c r="AP607">
        <v>13.69</v>
      </c>
      <c r="AQ607">
        <v>1.64</v>
      </c>
      <c r="AR607">
        <v>-7.7</v>
      </c>
      <c r="AS607" t="s">
        <v>4436</v>
      </c>
      <c r="AT607">
        <v>0.1</v>
      </c>
      <c r="AU607">
        <v>8.6999999999999993</v>
      </c>
      <c r="AV607">
        <v>2</v>
      </c>
      <c r="AW607">
        <v>33</v>
      </c>
      <c r="AX607">
        <v>6</v>
      </c>
      <c r="AY607">
        <v>12</v>
      </c>
      <c r="AZ607" t="s">
        <v>4437</v>
      </c>
      <c r="BA607">
        <v>94</v>
      </c>
      <c r="BB607" t="s">
        <v>35</v>
      </c>
      <c r="BC607" t="s">
        <v>36</v>
      </c>
      <c r="BD607" s="4">
        <f>HYPERLINK("http://mlb.mlb.com/team/player.jsp?player_id=475582",475582)</f>
        <v>475582</v>
      </c>
      <c r="BE607">
        <v>1427</v>
      </c>
      <c r="BF607">
        <v>427</v>
      </c>
      <c r="BG607">
        <v>576</v>
      </c>
      <c r="BH607">
        <v>524</v>
      </c>
    </row>
    <row r="608" spans="1:60" x14ac:dyDescent="0.3">
      <c r="A608" s="4">
        <f>HYPERLINK("http://legacy.baseballprospectus.com/p/102578",102578)</f>
        <v>102578</v>
      </c>
      <c r="B608" t="s">
        <v>168</v>
      </c>
      <c r="C608" t="s">
        <v>313</v>
      </c>
      <c r="D608" s="10">
        <v>33581</v>
      </c>
      <c r="E608" t="s">
        <v>65</v>
      </c>
      <c r="F608" t="s">
        <v>33</v>
      </c>
      <c r="G608" t="s">
        <v>33</v>
      </c>
      <c r="H608">
        <v>74</v>
      </c>
      <c r="I608">
        <v>210</v>
      </c>
      <c r="J608">
        <v>2018</v>
      </c>
      <c r="K608" s="4" t="str">
        <f>HYPERLINK("http://legacy.baseballprospectus.com/fantasy/dc/index.php?tm=CHA","CHA")</f>
        <v>CHA</v>
      </c>
      <c r="L608" t="s">
        <v>95</v>
      </c>
      <c r="M608" t="s">
        <v>34</v>
      </c>
      <c r="N608">
        <v>26</v>
      </c>
      <c r="O608">
        <v>298</v>
      </c>
      <c r="P608">
        <v>88</v>
      </c>
      <c r="Q608">
        <v>264</v>
      </c>
      <c r="R608">
        <v>36</v>
      </c>
      <c r="S608">
        <v>34</v>
      </c>
      <c r="T608">
        <v>11</v>
      </c>
      <c r="U608">
        <v>3</v>
      </c>
      <c r="V608">
        <v>7</v>
      </c>
      <c r="W608">
        <v>55</v>
      </c>
      <c r="X608">
        <v>93</v>
      </c>
      <c r="Y608">
        <v>28</v>
      </c>
      <c r="Z608">
        <v>24</v>
      </c>
      <c r="AA608">
        <v>1</v>
      </c>
      <c r="AB608">
        <v>5</v>
      </c>
      <c r="AC608">
        <v>89</v>
      </c>
      <c r="AD608">
        <v>4</v>
      </c>
      <c r="AE608">
        <v>1</v>
      </c>
      <c r="AF608">
        <v>4</v>
      </c>
      <c r="AG608">
        <v>13</v>
      </c>
      <c r="AH608">
        <v>4</v>
      </c>
      <c r="AI608" s="5">
        <v>0.20799999999999999</v>
      </c>
      <c r="AJ608" s="5">
        <v>0.28599999999999998</v>
      </c>
      <c r="AK608" s="5">
        <v>0.35199999999999998</v>
      </c>
      <c r="AL608" s="5">
        <v>0.22500000000000001</v>
      </c>
      <c r="AM608" s="5">
        <v>0.27900000000000003</v>
      </c>
      <c r="AN608">
        <v>1.7</v>
      </c>
      <c r="AO608">
        <v>0.43</v>
      </c>
      <c r="AP608">
        <v>8</v>
      </c>
      <c r="AQ608">
        <v>-10.95</v>
      </c>
      <c r="AR608">
        <v>1.5</v>
      </c>
      <c r="AS608" t="s">
        <v>66</v>
      </c>
      <c r="AT608">
        <v>0.1</v>
      </c>
      <c r="AU608">
        <v>-0.8</v>
      </c>
      <c r="AV608">
        <v>3</v>
      </c>
      <c r="AW608">
        <v>30</v>
      </c>
      <c r="AX608">
        <v>14</v>
      </c>
      <c r="AY608">
        <v>22</v>
      </c>
      <c r="AZ608" t="s">
        <v>4306</v>
      </c>
      <c r="BA608">
        <v>55</v>
      </c>
      <c r="BB608" t="s">
        <v>35</v>
      </c>
      <c r="BC608" t="s">
        <v>36</v>
      </c>
      <c r="BD608" s="4">
        <f>HYPERLINK("http://mlb.mlb.com/team/player.jsp?player_id=641553",641553)</f>
        <v>641553</v>
      </c>
      <c r="BE608">
        <v>597</v>
      </c>
      <c r="BF608">
        <v>1597</v>
      </c>
      <c r="BG608">
        <v>336</v>
      </c>
      <c r="BH608">
        <v>301</v>
      </c>
    </row>
    <row r="609" spans="1:60" x14ac:dyDescent="0.3">
      <c r="A609" s="4">
        <f>HYPERLINK("http://legacy.baseballprospectus.com/p/103739",103739)</f>
        <v>103739</v>
      </c>
      <c r="B609" t="s">
        <v>369</v>
      </c>
      <c r="C609" t="s">
        <v>177</v>
      </c>
      <c r="D609" s="10">
        <v>33994</v>
      </c>
      <c r="E609" t="s">
        <v>50</v>
      </c>
      <c r="F609" t="s">
        <v>37</v>
      </c>
      <c r="G609" t="s">
        <v>9</v>
      </c>
      <c r="H609">
        <v>76</v>
      </c>
      <c r="I609">
        <v>240</v>
      </c>
      <c r="J609">
        <v>2018</v>
      </c>
      <c r="K609" s="4" t="str">
        <f>HYPERLINK("http://legacy.baseballprospectus.com/fantasy/dc/index.php?tm=CHA","CHA")</f>
        <v>CHA</v>
      </c>
      <c r="L609" t="s">
        <v>95</v>
      </c>
      <c r="M609" t="s">
        <v>34</v>
      </c>
      <c r="N609">
        <v>25</v>
      </c>
      <c r="O609">
        <v>66</v>
      </c>
      <c r="P609">
        <v>20</v>
      </c>
      <c r="Q609">
        <v>58</v>
      </c>
      <c r="R609">
        <v>8</v>
      </c>
      <c r="S609">
        <v>8</v>
      </c>
      <c r="T609">
        <v>3</v>
      </c>
      <c r="U609">
        <v>0</v>
      </c>
      <c r="V609">
        <v>3</v>
      </c>
      <c r="W609">
        <v>14</v>
      </c>
      <c r="X609">
        <v>26</v>
      </c>
      <c r="Y609">
        <v>9</v>
      </c>
      <c r="Z609">
        <v>7</v>
      </c>
      <c r="AA609">
        <v>0</v>
      </c>
      <c r="AB609">
        <v>0</v>
      </c>
      <c r="AC609">
        <v>15</v>
      </c>
      <c r="AD609">
        <v>0</v>
      </c>
      <c r="AE609">
        <v>0</v>
      </c>
      <c r="AF609">
        <v>2</v>
      </c>
      <c r="AG609">
        <v>0</v>
      </c>
      <c r="AH609">
        <v>0</v>
      </c>
      <c r="AI609" s="5">
        <v>0.24099999999999999</v>
      </c>
      <c r="AJ609" s="5">
        <v>0.32300000000000001</v>
      </c>
      <c r="AK609" s="5">
        <v>0.44800000000000001</v>
      </c>
      <c r="AL609" s="5">
        <v>0.26100000000000001</v>
      </c>
      <c r="AM609" s="5">
        <v>0.27400000000000002</v>
      </c>
      <c r="AN609">
        <v>-0.1</v>
      </c>
      <c r="AO609">
        <v>-0.76</v>
      </c>
      <c r="AP609">
        <v>1.77</v>
      </c>
      <c r="AQ609">
        <v>0.06</v>
      </c>
      <c r="AR609">
        <v>-0.3</v>
      </c>
      <c r="AS609" t="s">
        <v>1004</v>
      </c>
      <c r="AT609">
        <v>0.1</v>
      </c>
      <c r="AU609">
        <v>1</v>
      </c>
      <c r="AV609">
        <v>7</v>
      </c>
      <c r="AW609">
        <v>21</v>
      </c>
      <c r="AX609">
        <v>8</v>
      </c>
      <c r="AY609">
        <v>28</v>
      </c>
      <c r="AZ609" t="s">
        <v>4092</v>
      </c>
      <c r="BA609">
        <v>43</v>
      </c>
      <c r="BB609" t="s">
        <v>35</v>
      </c>
      <c r="BC609" t="s">
        <v>35</v>
      </c>
      <c r="BD609" s="4">
        <f>HYPERLINK("http://mlb.mlb.com/team/player.jsp?player_id=656459",656459)</f>
        <v>656459</v>
      </c>
      <c r="BE609">
        <v>427</v>
      </c>
      <c r="BF609">
        <v>1427</v>
      </c>
      <c r="BG609">
        <v>0</v>
      </c>
      <c r="BH609">
        <v>0</v>
      </c>
    </row>
    <row r="610" spans="1:60" x14ac:dyDescent="0.3">
      <c r="A610" s="4">
        <f>HYPERLINK("http://legacy.baseballprospectus.com/p/104718",104718)</f>
        <v>104718</v>
      </c>
      <c r="B610" t="s">
        <v>112</v>
      </c>
      <c r="C610" t="s">
        <v>302</v>
      </c>
      <c r="D610" s="10">
        <v>34043</v>
      </c>
      <c r="E610" t="s">
        <v>59</v>
      </c>
      <c r="F610" t="s">
        <v>37</v>
      </c>
      <c r="G610" t="s">
        <v>33</v>
      </c>
      <c r="H610">
        <v>72</v>
      </c>
      <c r="I610">
        <v>175</v>
      </c>
      <c r="J610">
        <v>2018</v>
      </c>
      <c r="K610" s="4" t="str">
        <f>HYPERLINK("http://legacy.baseballprospectus.com/fantasy/dc/index.php?tm=CLE","CLE")</f>
        <v>CLE</v>
      </c>
      <c r="L610" t="s">
        <v>95</v>
      </c>
      <c r="M610" t="s">
        <v>34</v>
      </c>
      <c r="N610">
        <v>25</v>
      </c>
      <c r="O610">
        <v>100</v>
      </c>
      <c r="P610">
        <v>31</v>
      </c>
      <c r="Q610">
        <v>87</v>
      </c>
      <c r="R610">
        <v>12</v>
      </c>
      <c r="S610">
        <v>14</v>
      </c>
      <c r="T610">
        <v>4</v>
      </c>
      <c r="U610">
        <v>0</v>
      </c>
      <c r="V610">
        <v>2</v>
      </c>
      <c r="W610">
        <v>20</v>
      </c>
      <c r="X610">
        <v>30</v>
      </c>
      <c r="Y610">
        <v>9</v>
      </c>
      <c r="Z610">
        <v>8</v>
      </c>
      <c r="AA610">
        <v>0</v>
      </c>
      <c r="AB610">
        <v>3</v>
      </c>
      <c r="AC610">
        <v>19</v>
      </c>
      <c r="AD610">
        <v>1</v>
      </c>
      <c r="AE610">
        <v>1</v>
      </c>
      <c r="AF610">
        <v>2</v>
      </c>
      <c r="AG610">
        <v>4</v>
      </c>
      <c r="AH610">
        <v>1</v>
      </c>
      <c r="AI610" s="5">
        <v>0.23</v>
      </c>
      <c r="AJ610" s="5">
        <v>0.313</v>
      </c>
      <c r="AK610" s="5">
        <v>0.34499999999999997</v>
      </c>
      <c r="AL610" s="5">
        <v>0.24299999999999999</v>
      </c>
      <c r="AM610" s="5">
        <v>0.28399999999999997</v>
      </c>
      <c r="AN610">
        <v>0.5</v>
      </c>
      <c r="AO610">
        <v>-0.09</v>
      </c>
      <c r="AP610">
        <v>2.68</v>
      </c>
      <c r="AQ610">
        <v>-1.79</v>
      </c>
      <c r="AR610">
        <v>-0.2</v>
      </c>
      <c r="AS610" t="s">
        <v>4295</v>
      </c>
      <c r="AT610">
        <v>0.1</v>
      </c>
      <c r="AU610">
        <v>1.3</v>
      </c>
      <c r="AV610">
        <v>3</v>
      </c>
      <c r="AW610">
        <v>20</v>
      </c>
      <c r="AX610">
        <v>5</v>
      </c>
      <c r="AY610">
        <v>23</v>
      </c>
      <c r="AZ610" t="s">
        <v>4222</v>
      </c>
      <c r="BA610">
        <v>37</v>
      </c>
      <c r="BB610" t="s">
        <v>35</v>
      </c>
      <c r="BC610" t="s">
        <v>35</v>
      </c>
      <c r="BD610" s="4">
        <f>HYPERLINK("http://mlb.mlb.com/team/player.jsp?player_id=656185",656185)</f>
        <v>656185</v>
      </c>
      <c r="BE610">
        <v>625</v>
      </c>
      <c r="BF610">
        <v>1625</v>
      </c>
      <c r="BG610">
        <v>39</v>
      </c>
      <c r="BH610">
        <v>35</v>
      </c>
    </row>
    <row r="611" spans="1:60" x14ac:dyDescent="0.3">
      <c r="A611" s="4">
        <f>HYPERLINK("http://legacy.baseballprospectus.com/p/102708",102708)</f>
        <v>102708</v>
      </c>
      <c r="B611" t="s">
        <v>1428</v>
      </c>
      <c r="C611" t="s">
        <v>109</v>
      </c>
      <c r="D611" s="10">
        <v>33646</v>
      </c>
      <c r="E611" t="s">
        <v>50</v>
      </c>
      <c r="F611" t="s">
        <v>9</v>
      </c>
      <c r="G611" t="s">
        <v>9</v>
      </c>
      <c r="H611">
        <v>76</v>
      </c>
      <c r="I611">
        <v>215</v>
      </c>
      <c r="J611">
        <v>2018</v>
      </c>
      <c r="K611" s="4" t="str">
        <f>HYPERLINK("http://legacy.baseballprospectus.com/fantasy/dc/index.php?tm=COL","COL")</f>
        <v>COL</v>
      </c>
      <c r="L611" t="s">
        <v>100</v>
      </c>
      <c r="M611" t="s">
        <v>34</v>
      </c>
      <c r="N611">
        <v>26</v>
      </c>
      <c r="O611">
        <v>57</v>
      </c>
      <c r="P611">
        <v>36</v>
      </c>
      <c r="Q611">
        <v>51</v>
      </c>
      <c r="R611">
        <v>7</v>
      </c>
      <c r="S611">
        <v>7</v>
      </c>
      <c r="T611">
        <v>3</v>
      </c>
      <c r="U611">
        <v>1</v>
      </c>
      <c r="V611">
        <v>2</v>
      </c>
      <c r="W611">
        <v>13</v>
      </c>
      <c r="X611">
        <v>24</v>
      </c>
      <c r="Y611">
        <v>7</v>
      </c>
      <c r="Z611">
        <v>4</v>
      </c>
      <c r="AA611">
        <v>0</v>
      </c>
      <c r="AB611">
        <v>1</v>
      </c>
      <c r="AC611">
        <v>15</v>
      </c>
      <c r="AD611">
        <v>0</v>
      </c>
      <c r="AE611">
        <v>0</v>
      </c>
      <c r="AF611">
        <v>1</v>
      </c>
      <c r="AG611">
        <v>1</v>
      </c>
      <c r="AH611">
        <v>0</v>
      </c>
      <c r="AI611" s="5">
        <v>0.255</v>
      </c>
      <c r="AJ611" s="5">
        <v>0.32100000000000001</v>
      </c>
      <c r="AK611" s="5">
        <v>0.47099999999999997</v>
      </c>
      <c r="AL611" s="5">
        <v>0.25800000000000001</v>
      </c>
      <c r="AM611" s="5">
        <v>0.32</v>
      </c>
      <c r="AN611">
        <v>0</v>
      </c>
      <c r="AO611">
        <v>-0.79</v>
      </c>
      <c r="AP611">
        <v>1.53</v>
      </c>
      <c r="AQ611">
        <v>-0.13</v>
      </c>
      <c r="AR611">
        <v>0.1</v>
      </c>
      <c r="AS611" t="s">
        <v>1005</v>
      </c>
      <c r="AT611">
        <v>0.1</v>
      </c>
      <c r="AU611">
        <v>0.6</v>
      </c>
      <c r="AV611">
        <v>4</v>
      </c>
      <c r="AW611">
        <v>15</v>
      </c>
      <c r="AX611">
        <v>4</v>
      </c>
      <c r="AY611">
        <v>28</v>
      </c>
      <c r="AZ611" t="s">
        <v>4308</v>
      </c>
      <c r="BA611">
        <v>38</v>
      </c>
      <c r="BB611" t="s">
        <v>35</v>
      </c>
      <c r="BC611" t="s">
        <v>35</v>
      </c>
      <c r="BD611" s="4">
        <f>HYPERLINK("http://mlb.mlb.com/team/player.jsp?player_id=641958",641958)</f>
        <v>641958</v>
      </c>
      <c r="BE611">
        <v>1651</v>
      </c>
      <c r="BF611">
        <v>651</v>
      </c>
      <c r="BG611">
        <v>0</v>
      </c>
      <c r="BH611">
        <v>0</v>
      </c>
    </row>
    <row r="612" spans="1:60" x14ac:dyDescent="0.3">
      <c r="A612" s="4">
        <f>HYPERLINK("http://legacy.baseballprospectus.com/p/103812",103812)</f>
        <v>103812</v>
      </c>
      <c r="B612" t="s">
        <v>1761</v>
      </c>
      <c r="C612" t="s">
        <v>1416</v>
      </c>
      <c r="D612" s="10">
        <v>33888</v>
      </c>
      <c r="E612" t="s">
        <v>54</v>
      </c>
      <c r="F612" t="s">
        <v>33</v>
      </c>
      <c r="G612" t="s">
        <v>33</v>
      </c>
      <c r="H612">
        <v>78</v>
      </c>
      <c r="I612">
        <v>220</v>
      </c>
      <c r="J612">
        <v>2018</v>
      </c>
      <c r="K612" s="4" t="str">
        <f>HYPERLINK("http://legacy.baseballprospectus.com/fantasy/dc/index.php?tm=DET","DET")</f>
        <v>DET</v>
      </c>
      <c r="L612" t="s">
        <v>95</v>
      </c>
      <c r="M612" t="s">
        <v>34</v>
      </c>
      <c r="N612">
        <v>25</v>
      </c>
      <c r="O612">
        <v>29</v>
      </c>
      <c r="P612">
        <v>9</v>
      </c>
      <c r="Q612">
        <v>27</v>
      </c>
      <c r="R612">
        <v>3</v>
      </c>
      <c r="S612">
        <v>4</v>
      </c>
      <c r="T612">
        <v>1</v>
      </c>
      <c r="U612">
        <v>0</v>
      </c>
      <c r="V612">
        <v>1</v>
      </c>
      <c r="W612">
        <v>6</v>
      </c>
      <c r="X612">
        <v>10</v>
      </c>
      <c r="Y612">
        <v>3</v>
      </c>
      <c r="Z612">
        <v>2</v>
      </c>
      <c r="AA612">
        <v>0</v>
      </c>
      <c r="AB612">
        <v>0</v>
      </c>
      <c r="AC612">
        <v>8</v>
      </c>
      <c r="AD612">
        <v>0</v>
      </c>
      <c r="AE612">
        <v>0</v>
      </c>
      <c r="AF612">
        <v>1</v>
      </c>
      <c r="AG612">
        <v>0</v>
      </c>
      <c r="AH612">
        <v>0</v>
      </c>
      <c r="AI612" s="5">
        <v>0.222</v>
      </c>
      <c r="AJ612" s="5">
        <v>0.27600000000000002</v>
      </c>
      <c r="AK612" s="5">
        <v>0.37</v>
      </c>
      <c r="AL612" s="5">
        <v>0.22500000000000001</v>
      </c>
      <c r="AM612" s="5">
        <v>0.28199999999999997</v>
      </c>
      <c r="AN612">
        <v>0</v>
      </c>
      <c r="AO612">
        <v>0.22</v>
      </c>
      <c r="AP612">
        <v>0.78</v>
      </c>
      <c r="AQ612">
        <v>-1.08</v>
      </c>
      <c r="AR612">
        <v>0.7</v>
      </c>
      <c r="AS612" t="s">
        <v>62</v>
      </c>
      <c r="AT612">
        <v>0.1</v>
      </c>
      <c r="AU612">
        <v>-0.1</v>
      </c>
      <c r="AV612">
        <v>1</v>
      </c>
      <c r="AW612">
        <v>6</v>
      </c>
      <c r="AX612">
        <v>10</v>
      </c>
      <c r="AY612">
        <v>14</v>
      </c>
      <c r="AZ612" t="s">
        <v>4309</v>
      </c>
      <c r="BA612">
        <v>23</v>
      </c>
      <c r="BB612" t="s">
        <v>35</v>
      </c>
      <c r="BC612" t="s">
        <v>35</v>
      </c>
      <c r="BD612" s="4">
        <f>HYPERLINK("http://mlb.mlb.com/team/player.jsp?player_id=606988",606988)</f>
        <v>606988</v>
      </c>
      <c r="BE612">
        <v>0</v>
      </c>
      <c r="BF612">
        <v>0</v>
      </c>
      <c r="BG612">
        <v>0</v>
      </c>
      <c r="BH612">
        <v>0</v>
      </c>
    </row>
    <row r="613" spans="1:60" x14ac:dyDescent="0.3">
      <c r="A613" s="4">
        <f>HYPERLINK("http://legacy.baseballprospectus.com/p/102574",102574)</f>
        <v>102574</v>
      </c>
      <c r="B613" t="s">
        <v>306</v>
      </c>
      <c r="C613" t="s">
        <v>434</v>
      </c>
      <c r="D613" s="10">
        <v>33472</v>
      </c>
      <c r="E613" t="s">
        <v>50</v>
      </c>
      <c r="F613" t="s">
        <v>33</v>
      </c>
      <c r="G613" t="s">
        <v>33</v>
      </c>
      <c r="H613">
        <v>76</v>
      </c>
      <c r="I613">
        <v>220</v>
      </c>
      <c r="J613">
        <v>2018</v>
      </c>
      <c r="K613" s="4" t="str">
        <f>HYPERLINK("http://legacy.baseballprospectus.com/fantasy/dc/index.php?tm=KCA","KCA")</f>
        <v>KCA</v>
      </c>
      <c r="L613" t="s">
        <v>95</v>
      </c>
      <c r="M613" t="s">
        <v>34</v>
      </c>
      <c r="N613">
        <v>26</v>
      </c>
      <c r="O613">
        <v>264</v>
      </c>
      <c r="P613">
        <v>81</v>
      </c>
      <c r="Q613">
        <v>240</v>
      </c>
      <c r="R613">
        <v>30</v>
      </c>
      <c r="S613">
        <v>32</v>
      </c>
      <c r="T613">
        <v>14</v>
      </c>
      <c r="U613">
        <v>1</v>
      </c>
      <c r="V613">
        <v>9</v>
      </c>
      <c r="W613">
        <v>56</v>
      </c>
      <c r="X613">
        <v>99</v>
      </c>
      <c r="Y613">
        <v>31</v>
      </c>
      <c r="Z613">
        <v>21</v>
      </c>
      <c r="AA613">
        <v>1</v>
      </c>
      <c r="AB613">
        <v>1</v>
      </c>
      <c r="AC613">
        <v>78</v>
      </c>
      <c r="AD613">
        <v>0</v>
      </c>
      <c r="AE613">
        <v>1</v>
      </c>
      <c r="AF613">
        <v>6</v>
      </c>
      <c r="AG613">
        <v>1</v>
      </c>
      <c r="AH613">
        <v>0</v>
      </c>
      <c r="AI613" s="5">
        <v>0.23300000000000001</v>
      </c>
      <c r="AJ613" s="5">
        <v>0.29699999999999999</v>
      </c>
      <c r="AK613" s="5">
        <v>0.41199999999999998</v>
      </c>
      <c r="AL613" s="5">
        <v>0.245</v>
      </c>
      <c r="AM613" s="5">
        <v>0.30399999999999999</v>
      </c>
      <c r="AN613">
        <v>-0.3</v>
      </c>
      <c r="AO613">
        <v>-1.24</v>
      </c>
      <c r="AP613">
        <v>7.09</v>
      </c>
      <c r="AQ613">
        <v>-4.26</v>
      </c>
      <c r="AR613">
        <v>-0.1</v>
      </c>
      <c r="AS613" t="s">
        <v>4993</v>
      </c>
      <c r="AT613">
        <v>0.1</v>
      </c>
      <c r="AU613">
        <v>1.2</v>
      </c>
      <c r="AV613">
        <v>9</v>
      </c>
      <c r="AW613">
        <v>18</v>
      </c>
      <c r="AX613">
        <v>10</v>
      </c>
      <c r="AY613">
        <v>21</v>
      </c>
      <c r="AZ613" t="s">
        <v>4445</v>
      </c>
      <c r="BA613">
        <v>33</v>
      </c>
      <c r="BB613" t="s">
        <v>35</v>
      </c>
      <c r="BC613" t="s">
        <v>35</v>
      </c>
      <c r="BD613" s="4">
        <f>HYPERLINK("http://mlb.mlb.com/team/player.jsp?player_id=641531",641531)</f>
        <v>641531</v>
      </c>
      <c r="BE613">
        <v>485</v>
      </c>
      <c r="BF613">
        <v>1485</v>
      </c>
      <c r="BG613">
        <v>0</v>
      </c>
      <c r="BH613">
        <v>0</v>
      </c>
    </row>
    <row r="614" spans="1:60" x14ac:dyDescent="0.3">
      <c r="A614" s="4">
        <f>HYPERLINK("http://legacy.baseballprospectus.com/p/104938",104938)</f>
        <v>104938</v>
      </c>
      <c r="B614" t="s">
        <v>1435</v>
      </c>
      <c r="C614" t="s">
        <v>141</v>
      </c>
      <c r="D614" s="10">
        <v>35200</v>
      </c>
      <c r="E614" t="s">
        <v>57</v>
      </c>
      <c r="F614" t="s">
        <v>9</v>
      </c>
      <c r="G614" t="s">
        <v>9</v>
      </c>
      <c r="H614">
        <v>72</v>
      </c>
      <c r="I614">
        <v>205</v>
      </c>
      <c r="J614">
        <v>2018</v>
      </c>
      <c r="K614" s="4" t="str">
        <f>HYPERLINK("http://legacy.baseballprospectus.com/fantasy/dc/index.php?tm=LAN","LAN")</f>
        <v>LAN</v>
      </c>
      <c r="L614" t="s">
        <v>100</v>
      </c>
      <c r="M614" t="s">
        <v>34</v>
      </c>
      <c r="N614">
        <v>22</v>
      </c>
      <c r="O614">
        <v>302</v>
      </c>
      <c r="P614">
        <v>112</v>
      </c>
      <c r="Q614">
        <v>277</v>
      </c>
      <c r="R614">
        <v>31</v>
      </c>
      <c r="S614">
        <v>48</v>
      </c>
      <c r="T614">
        <v>14</v>
      </c>
      <c r="U614">
        <v>1</v>
      </c>
      <c r="V614">
        <v>7</v>
      </c>
      <c r="W614">
        <v>70</v>
      </c>
      <c r="X614">
        <v>107</v>
      </c>
      <c r="Y614">
        <v>34</v>
      </c>
      <c r="Z614">
        <v>21</v>
      </c>
      <c r="AA614">
        <v>2</v>
      </c>
      <c r="AB614">
        <v>2</v>
      </c>
      <c r="AC614">
        <v>50</v>
      </c>
      <c r="AD614">
        <v>0</v>
      </c>
      <c r="AE614">
        <v>2</v>
      </c>
      <c r="AF614">
        <v>7</v>
      </c>
      <c r="AG614">
        <v>2</v>
      </c>
      <c r="AH614">
        <v>1</v>
      </c>
      <c r="AI614" s="5">
        <v>0.253</v>
      </c>
      <c r="AJ614" s="5">
        <v>0.308</v>
      </c>
      <c r="AK614" s="5">
        <v>0.38600000000000001</v>
      </c>
      <c r="AL614" s="5">
        <v>0.248</v>
      </c>
      <c r="AM614" s="5">
        <v>0.28499999999999998</v>
      </c>
      <c r="AN614">
        <v>-0.6</v>
      </c>
      <c r="AO614">
        <v>-1</v>
      </c>
      <c r="AP614">
        <v>8.11</v>
      </c>
      <c r="AQ614">
        <v>-3.74</v>
      </c>
      <c r="AR614">
        <v>-1.7</v>
      </c>
      <c r="AS614" t="s">
        <v>1044</v>
      </c>
      <c r="AT614">
        <v>0.1</v>
      </c>
      <c r="AU614">
        <v>2.8</v>
      </c>
      <c r="AV614">
        <v>6</v>
      </c>
      <c r="AW614">
        <v>26</v>
      </c>
      <c r="AX614">
        <v>8</v>
      </c>
      <c r="AY614">
        <v>27</v>
      </c>
      <c r="AZ614" t="s">
        <v>4310</v>
      </c>
      <c r="BA614">
        <v>45</v>
      </c>
      <c r="BB614" t="s">
        <v>35</v>
      </c>
      <c r="BC614" t="s">
        <v>35</v>
      </c>
      <c r="BD614" s="4">
        <f>HYPERLINK("http://mlb.mlb.com/team/player.jsp?player_id=657077",657077)</f>
        <v>657077</v>
      </c>
      <c r="BE614">
        <v>1644</v>
      </c>
      <c r="BF614">
        <v>644</v>
      </c>
      <c r="BG614">
        <v>25</v>
      </c>
      <c r="BH614">
        <v>23</v>
      </c>
    </row>
    <row r="615" spans="1:60" x14ac:dyDescent="0.3">
      <c r="A615" s="4">
        <f>HYPERLINK("http://legacy.baseballprospectus.com/p/103355",103355)</f>
        <v>103355</v>
      </c>
      <c r="B615" t="s">
        <v>1730</v>
      </c>
      <c r="C615" t="s">
        <v>920</v>
      </c>
      <c r="D615" s="10">
        <v>34534</v>
      </c>
      <c r="E615" t="s">
        <v>53</v>
      </c>
      <c r="F615" t="s">
        <v>33</v>
      </c>
      <c r="G615" t="s">
        <v>33</v>
      </c>
      <c r="H615">
        <v>72</v>
      </c>
      <c r="I615">
        <v>160</v>
      </c>
      <c r="J615">
        <v>2018</v>
      </c>
      <c r="K615" s="4" t="str">
        <f>HYPERLINK("http://legacy.baseballprospectus.com/fantasy/dc/index.php?tm=MIL","MIL")</f>
        <v>MIL</v>
      </c>
      <c r="L615" t="s">
        <v>100</v>
      </c>
      <c r="M615" t="s">
        <v>34</v>
      </c>
      <c r="N615">
        <v>23</v>
      </c>
      <c r="O615">
        <v>62</v>
      </c>
      <c r="P615">
        <v>19</v>
      </c>
      <c r="Q615">
        <v>57</v>
      </c>
      <c r="R615">
        <v>8</v>
      </c>
      <c r="S615">
        <v>10</v>
      </c>
      <c r="T615">
        <v>3</v>
      </c>
      <c r="U615">
        <v>0</v>
      </c>
      <c r="V615">
        <v>1</v>
      </c>
      <c r="W615">
        <v>14</v>
      </c>
      <c r="X615">
        <v>20</v>
      </c>
      <c r="Y615">
        <v>6</v>
      </c>
      <c r="Z615">
        <v>4</v>
      </c>
      <c r="AA615">
        <v>0</v>
      </c>
      <c r="AB615">
        <v>0</v>
      </c>
      <c r="AC615">
        <v>12</v>
      </c>
      <c r="AD615">
        <v>1</v>
      </c>
      <c r="AE615">
        <v>0</v>
      </c>
      <c r="AF615">
        <v>2</v>
      </c>
      <c r="AG615">
        <v>3</v>
      </c>
      <c r="AH615">
        <v>1</v>
      </c>
      <c r="AI615" s="5">
        <v>0.246</v>
      </c>
      <c r="AJ615" s="5">
        <v>0.29499999999999998</v>
      </c>
      <c r="AK615" s="5">
        <v>0.35099999999999998</v>
      </c>
      <c r="AL615" s="5">
        <v>0.23499999999999999</v>
      </c>
      <c r="AM615" s="5">
        <v>0.28999999999999998</v>
      </c>
      <c r="AN615">
        <v>0.2</v>
      </c>
      <c r="AO615">
        <v>0.37</v>
      </c>
      <c r="AP615">
        <v>1.66</v>
      </c>
      <c r="AQ615">
        <v>-1.66</v>
      </c>
      <c r="AR615">
        <v>0.4</v>
      </c>
      <c r="AS615" t="s">
        <v>2178</v>
      </c>
      <c r="AT615">
        <v>0.1</v>
      </c>
      <c r="AU615">
        <v>0.6</v>
      </c>
      <c r="AV615">
        <v>8</v>
      </c>
      <c r="AW615">
        <v>26</v>
      </c>
      <c r="AX615">
        <v>11</v>
      </c>
      <c r="AY615">
        <v>25</v>
      </c>
      <c r="AZ615" t="s">
        <v>4311</v>
      </c>
      <c r="BA615">
        <v>47</v>
      </c>
      <c r="BB615" t="s">
        <v>35</v>
      </c>
      <c r="BC615" t="s">
        <v>35</v>
      </c>
      <c r="BD615" s="4">
        <f>HYPERLINK("http://mlb.mlb.com/team/player.jsp?player_id=643289",643289)</f>
        <v>643289</v>
      </c>
      <c r="BE615">
        <v>1550</v>
      </c>
      <c r="BF615">
        <v>550</v>
      </c>
      <c r="BG615">
        <v>0</v>
      </c>
      <c r="BH615">
        <v>0</v>
      </c>
    </row>
    <row r="616" spans="1:60" x14ac:dyDescent="0.3">
      <c r="A616" s="4">
        <f>HYPERLINK("http://legacy.baseballprospectus.com/p/100767",100767)</f>
        <v>100767</v>
      </c>
      <c r="B616" t="s">
        <v>505</v>
      </c>
      <c r="C616" t="s">
        <v>205</v>
      </c>
      <c r="D616" s="10">
        <v>33227</v>
      </c>
      <c r="E616" t="s">
        <v>54</v>
      </c>
      <c r="F616" t="s">
        <v>9</v>
      </c>
      <c r="G616" t="s">
        <v>33</v>
      </c>
      <c r="H616">
        <v>73</v>
      </c>
      <c r="I616">
        <v>250</v>
      </c>
      <c r="J616">
        <v>2018</v>
      </c>
      <c r="K616" s="4" t="str">
        <f>HYPERLINK("http://legacy.baseballprospectus.com/fantasy/dc/index.php?tm=OAK","OAK")</f>
        <v>OAK</v>
      </c>
      <c r="L616" t="s">
        <v>95</v>
      </c>
      <c r="M616" t="s">
        <v>34</v>
      </c>
      <c r="N616">
        <v>27</v>
      </c>
      <c r="O616">
        <v>95</v>
      </c>
      <c r="P616">
        <v>28</v>
      </c>
      <c r="Q616">
        <v>85</v>
      </c>
      <c r="R616">
        <v>10</v>
      </c>
      <c r="S616">
        <v>13</v>
      </c>
      <c r="T616">
        <v>5</v>
      </c>
      <c r="U616">
        <v>0</v>
      </c>
      <c r="V616">
        <v>2</v>
      </c>
      <c r="W616">
        <v>20</v>
      </c>
      <c r="X616">
        <v>31</v>
      </c>
      <c r="Y616">
        <v>10</v>
      </c>
      <c r="Z616">
        <v>9</v>
      </c>
      <c r="AA616">
        <v>0</v>
      </c>
      <c r="AB616">
        <v>0</v>
      </c>
      <c r="AC616">
        <v>21</v>
      </c>
      <c r="AD616">
        <v>0</v>
      </c>
      <c r="AE616">
        <v>1</v>
      </c>
      <c r="AF616">
        <v>3</v>
      </c>
      <c r="AG616">
        <v>0</v>
      </c>
      <c r="AH616">
        <v>0</v>
      </c>
      <c r="AI616" s="5">
        <v>0.23499999999999999</v>
      </c>
      <c r="AJ616" s="5">
        <v>0.30499999999999999</v>
      </c>
      <c r="AK616" s="5">
        <v>0.36499999999999999</v>
      </c>
      <c r="AL616" s="5">
        <v>0.24199999999999999</v>
      </c>
      <c r="AM616" s="5">
        <v>0.29299999999999998</v>
      </c>
      <c r="AN616">
        <v>-0.2</v>
      </c>
      <c r="AO616">
        <v>0.72</v>
      </c>
      <c r="AP616">
        <v>2.5499999999999998</v>
      </c>
      <c r="AQ616">
        <v>-1.84</v>
      </c>
      <c r="AR616">
        <v>0.3</v>
      </c>
      <c r="AS616" t="s">
        <v>71</v>
      </c>
      <c r="AT616">
        <v>0.1</v>
      </c>
      <c r="AU616">
        <v>1.2</v>
      </c>
      <c r="AV616">
        <v>4</v>
      </c>
      <c r="AW616">
        <v>28</v>
      </c>
      <c r="AX616">
        <v>20</v>
      </c>
      <c r="AY616">
        <v>30</v>
      </c>
      <c r="AZ616" t="s">
        <v>3833</v>
      </c>
      <c r="BA616">
        <v>73</v>
      </c>
      <c r="BB616" t="s">
        <v>35</v>
      </c>
      <c r="BC616" t="s">
        <v>36</v>
      </c>
      <c r="BD616" s="4">
        <f>HYPERLINK("http://mlb.mlb.com/team/player.jsp?player_id=622194",622194)</f>
        <v>622194</v>
      </c>
      <c r="BE616">
        <v>367</v>
      </c>
      <c r="BF616">
        <v>1367</v>
      </c>
      <c r="BG616">
        <v>253</v>
      </c>
      <c r="BH616">
        <v>219</v>
      </c>
    </row>
    <row r="617" spans="1:60" x14ac:dyDescent="0.3">
      <c r="A617" s="4">
        <f>HYPERLINK("http://legacy.baseballprospectus.com/p/104833",104833)</f>
        <v>104833</v>
      </c>
      <c r="B617" t="s">
        <v>4064</v>
      </c>
      <c r="C617" t="s">
        <v>109</v>
      </c>
      <c r="D617" s="10">
        <v>34238</v>
      </c>
      <c r="E617" t="s">
        <v>57</v>
      </c>
      <c r="F617" t="s">
        <v>33</v>
      </c>
      <c r="G617" t="s">
        <v>33</v>
      </c>
      <c r="H617">
        <v>73</v>
      </c>
      <c r="I617">
        <v>195</v>
      </c>
      <c r="J617">
        <v>2018</v>
      </c>
      <c r="K617" s="4" t="str">
        <f>HYPERLINK("http://legacy.baseballprospectus.com/fantasy/dc/index.php?tm=PIT","PIT")</f>
        <v>PIT</v>
      </c>
      <c r="L617" t="s">
        <v>100</v>
      </c>
      <c r="M617" t="s">
        <v>34</v>
      </c>
      <c r="N617">
        <v>24</v>
      </c>
      <c r="O617">
        <v>63</v>
      </c>
      <c r="P617">
        <v>38</v>
      </c>
      <c r="Q617">
        <v>56</v>
      </c>
      <c r="R617">
        <v>8</v>
      </c>
      <c r="S617">
        <v>8</v>
      </c>
      <c r="T617">
        <v>3</v>
      </c>
      <c r="U617">
        <v>0</v>
      </c>
      <c r="V617">
        <v>2</v>
      </c>
      <c r="W617">
        <v>13</v>
      </c>
      <c r="X617">
        <v>22</v>
      </c>
      <c r="Y617">
        <v>7</v>
      </c>
      <c r="Z617">
        <v>6</v>
      </c>
      <c r="AA617">
        <v>0</v>
      </c>
      <c r="AB617">
        <v>1</v>
      </c>
      <c r="AC617">
        <v>14</v>
      </c>
      <c r="AD617">
        <v>0</v>
      </c>
      <c r="AE617">
        <v>0</v>
      </c>
      <c r="AF617">
        <v>2</v>
      </c>
      <c r="AG617">
        <v>0</v>
      </c>
      <c r="AH617">
        <v>0</v>
      </c>
      <c r="AI617" s="5">
        <v>0.23200000000000001</v>
      </c>
      <c r="AJ617" s="5">
        <v>0.317</v>
      </c>
      <c r="AK617" s="5">
        <v>0.39300000000000002</v>
      </c>
      <c r="AL617" s="5">
        <v>0.26500000000000001</v>
      </c>
      <c r="AM617" s="5">
        <v>0.28199999999999997</v>
      </c>
      <c r="AN617">
        <v>-0.1</v>
      </c>
      <c r="AO617">
        <v>-0.56999999999999995</v>
      </c>
      <c r="AP617">
        <v>1.69</v>
      </c>
      <c r="AQ617">
        <v>0.31</v>
      </c>
      <c r="AR617">
        <v>-0.1</v>
      </c>
      <c r="AS617" t="s">
        <v>1341</v>
      </c>
      <c r="AT617">
        <v>0.1</v>
      </c>
      <c r="AU617">
        <v>1.3</v>
      </c>
      <c r="AV617">
        <v>4</v>
      </c>
      <c r="AW617">
        <v>25</v>
      </c>
      <c r="AX617">
        <v>19</v>
      </c>
      <c r="AY617">
        <v>26</v>
      </c>
      <c r="AZ617" t="s">
        <v>4065</v>
      </c>
      <c r="BA617">
        <v>58</v>
      </c>
      <c r="BB617" t="s">
        <v>35</v>
      </c>
      <c r="BC617" t="s">
        <v>35</v>
      </c>
      <c r="BD617" s="4">
        <f>HYPERLINK("http://mlb.mlb.com/team/player.jsp?player_id=656669",656669)</f>
        <v>656669</v>
      </c>
      <c r="BE617">
        <v>1632</v>
      </c>
      <c r="BF617">
        <v>632</v>
      </c>
      <c r="BG617">
        <v>87</v>
      </c>
      <c r="BH617">
        <v>78</v>
      </c>
    </row>
    <row r="618" spans="1:60" x14ac:dyDescent="0.3">
      <c r="A618" s="4">
        <f>HYPERLINK("http://legacy.baseballprospectus.com/p/102787",102787)</f>
        <v>102787</v>
      </c>
      <c r="B618" t="s">
        <v>690</v>
      </c>
      <c r="C618" t="s">
        <v>254</v>
      </c>
      <c r="D618" s="10">
        <v>34931</v>
      </c>
      <c r="E618" t="s">
        <v>59</v>
      </c>
      <c r="F618" t="s">
        <v>9</v>
      </c>
      <c r="G618" t="s">
        <v>33</v>
      </c>
      <c r="H618">
        <v>74</v>
      </c>
      <c r="I618">
        <v>215</v>
      </c>
      <c r="J618">
        <v>2018</v>
      </c>
      <c r="K618" s="4" t="str">
        <f>HYPERLINK("http://legacy.baseballprospectus.com/fantasy/dc/index.php?tm=TBA","TBA")</f>
        <v>TBA</v>
      </c>
      <c r="L618" t="s">
        <v>95</v>
      </c>
      <c r="M618" t="s">
        <v>34</v>
      </c>
      <c r="N618">
        <v>22</v>
      </c>
      <c r="O618">
        <v>98</v>
      </c>
      <c r="P618">
        <v>30</v>
      </c>
      <c r="Q618">
        <v>93</v>
      </c>
      <c r="R618">
        <v>10</v>
      </c>
      <c r="S618">
        <v>15</v>
      </c>
      <c r="T618">
        <v>4</v>
      </c>
      <c r="U618">
        <v>0</v>
      </c>
      <c r="V618">
        <v>3</v>
      </c>
      <c r="W618">
        <v>22</v>
      </c>
      <c r="X618">
        <v>35</v>
      </c>
      <c r="Y618">
        <v>12</v>
      </c>
      <c r="Z618">
        <v>4</v>
      </c>
      <c r="AA618">
        <v>1</v>
      </c>
      <c r="AB618">
        <v>0</v>
      </c>
      <c r="AC618">
        <v>24</v>
      </c>
      <c r="AD618">
        <v>0</v>
      </c>
      <c r="AE618">
        <v>0</v>
      </c>
      <c r="AF618">
        <v>3</v>
      </c>
      <c r="AG618">
        <v>0</v>
      </c>
      <c r="AH618">
        <v>0</v>
      </c>
      <c r="AI618" s="5">
        <v>0.23699999999999999</v>
      </c>
      <c r="AJ618" s="5">
        <v>0.26800000000000002</v>
      </c>
      <c r="AK618" s="5">
        <v>0.376</v>
      </c>
      <c r="AL618" s="5">
        <v>0.245</v>
      </c>
      <c r="AM618" s="5">
        <v>0.29499999999999998</v>
      </c>
      <c r="AN618">
        <v>-0.1</v>
      </c>
      <c r="AO618">
        <v>-0.24</v>
      </c>
      <c r="AP618">
        <v>2.63</v>
      </c>
      <c r="AQ618">
        <v>-1.56</v>
      </c>
      <c r="AR618">
        <v>0.1</v>
      </c>
      <c r="AS618" t="s">
        <v>2167</v>
      </c>
      <c r="AT618">
        <v>0.1</v>
      </c>
      <c r="AU618">
        <v>0.7</v>
      </c>
      <c r="AV618">
        <v>2</v>
      </c>
      <c r="AW618">
        <v>31</v>
      </c>
      <c r="AX618">
        <v>3</v>
      </c>
      <c r="AY618">
        <v>37</v>
      </c>
      <c r="AZ618" t="s">
        <v>4388</v>
      </c>
      <c r="BA618">
        <v>57</v>
      </c>
      <c r="BB618" t="s">
        <v>35</v>
      </c>
      <c r="BC618" t="s">
        <v>35</v>
      </c>
      <c r="BD618" s="4">
        <f>HYPERLINK("http://mlb.mlb.com/team/player.jsp?player_id=642211",642211)</f>
        <v>642211</v>
      </c>
      <c r="BE618">
        <v>679</v>
      </c>
      <c r="BF618">
        <v>1679</v>
      </c>
      <c r="BG618">
        <v>0</v>
      </c>
      <c r="BH618">
        <v>0</v>
      </c>
    </row>
    <row r="619" spans="1:60" x14ac:dyDescent="0.3">
      <c r="A619" s="4">
        <f>HYPERLINK("http://legacy.baseballprospectus.com/p/66963",66963)</f>
        <v>66963</v>
      </c>
      <c r="B619" t="s">
        <v>263</v>
      </c>
      <c r="C619" t="s">
        <v>264</v>
      </c>
      <c r="D619" s="10">
        <v>33757</v>
      </c>
      <c r="E619" t="s">
        <v>58</v>
      </c>
      <c r="F619" t="s">
        <v>37</v>
      </c>
      <c r="G619" t="s">
        <v>33</v>
      </c>
      <c r="H619">
        <v>75</v>
      </c>
      <c r="I619">
        <v>225</v>
      </c>
      <c r="J619">
        <v>2018</v>
      </c>
      <c r="K619" s="4" t="str">
        <f>HYPERLINK("http://legacy.baseballprospectus.com/fantasy/dc/index.php?tm=ANA","ANA")</f>
        <v>ANA</v>
      </c>
      <c r="L619" t="s">
        <v>95</v>
      </c>
      <c r="M619" t="s">
        <v>34</v>
      </c>
      <c r="N619">
        <v>26</v>
      </c>
      <c r="O619">
        <v>30</v>
      </c>
      <c r="P619">
        <v>11</v>
      </c>
      <c r="Q619">
        <v>27</v>
      </c>
      <c r="R619">
        <v>3</v>
      </c>
      <c r="S619">
        <v>4</v>
      </c>
      <c r="T619">
        <v>1</v>
      </c>
      <c r="U619">
        <v>0</v>
      </c>
      <c r="V619">
        <v>1</v>
      </c>
      <c r="W619">
        <v>6</v>
      </c>
      <c r="X619">
        <v>10</v>
      </c>
      <c r="Y619">
        <v>3</v>
      </c>
      <c r="Z619">
        <v>2</v>
      </c>
      <c r="AA619">
        <v>0</v>
      </c>
      <c r="AB619">
        <v>0</v>
      </c>
      <c r="AC619">
        <v>8</v>
      </c>
      <c r="AD619">
        <v>0</v>
      </c>
      <c r="AE619">
        <v>0</v>
      </c>
      <c r="AF619">
        <v>1</v>
      </c>
      <c r="AG619">
        <v>1</v>
      </c>
      <c r="AH619">
        <v>0</v>
      </c>
      <c r="AI619" s="5">
        <v>0.222</v>
      </c>
      <c r="AJ619" s="5">
        <v>0.27600000000000002</v>
      </c>
      <c r="AK619" s="5">
        <v>0.37</v>
      </c>
      <c r="AL619" s="5">
        <v>0.24199999999999999</v>
      </c>
      <c r="AM619" s="5">
        <v>0.29499999999999998</v>
      </c>
      <c r="AN619">
        <v>0.1</v>
      </c>
      <c r="AO619">
        <v>0.16</v>
      </c>
      <c r="AP619">
        <v>0.81</v>
      </c>
      <c r="AQ619">
        <v>-0.57999999999999996</v>
      </c>
      <c r="AR619">
        <v>-0.1</v>
      </c>
      <c r="AS619" t="s">
        <v>999</v>
      </c>
      <c r="AT619">
        <v>0</v>
      </c>
      <c r="AU619">
        <v>0.4</v>
      </c>
      <c r="AV619">
        <v>9</v>
      </c>
      <c r="AW619">
        <v>40</v>
      </c>
      <c r="AX619">
        <v>7</v>
      </c>
      <c r="AY619">
        <v>32</v>
      </c>
      <c r="AZ619" t="s">
        <v>4316</v>
      </c>
      <c r="BA619">
        <v>61</v>
      </c>
      <c r="BB619" t="s">
        <v>35</v>
      </c>
      <c r="BC619" t="s">
        <v>36</v>
      </c>
      <c r="BD619" s="4">
        <f>HYPERLINK("http://mlb.mlb.com/team/player.jsp?player_id=592230",592230)</f>
        <v>592230</v>
      </c>
      <c r="BE619">
        <v>455</v>
      </c>
      <c r="BF619">
        <v>1455</v>
      </c>
      <c r="BG619">
        <v>117</v>
      </c>
      <c r="BH619">
        <v>102</v>
      </c>
    </row>
    <row r="620" spans="1:60" x14ac:dyDescent="0.3">
      <c r="A620" s="4">
        <f>HYPERLINK("http://legacy.baseballprospectus.com/p/51220",51220)</f>
        <v>51220</v>
      </c>
      <c r="B620" t="s">
        <v>1894</v>
      </c>
      <c r="C620" t="s">
        <v>314</v>
      </c>
      <c r="D620" s="10">
        <v>32553</v>
      </c>
      <c r="E620" t="s">
        <v>54</v>
      </c>
      <c r="F620" t="s">
        <v>33</v>
      </c>
      <c r="G620" t="s">
        <v>33</v>
      </c>
      <c r="H620">
        <v>73</v>
      </c>
      <c r="I620">
        <v>205</v>
      </c>
      <c r="J620">
        <v>2018</v>
      </c>
      <c r="K620" s="4" t="str">
        <f>HYPERLINK("http://legacy.baseballprospectus.com/fantasy/dc/index.php?tm=ANA","ANA")</f>
        <v>ANA</v>
      </c>
      <c r="L620" t="s">
        <v>95</v>
      </c>
      <c r="M620" t="s">
        <v>34</v>
      </c>
      <c r="N620">
        <v>29</v>
      </c>
      <c r="O620">
        <v>30</v>
      </c>
      <c r="P620">
        <v>9</v>
      </c>
      <c r="Q620">
        <v>28</v>
      </c>
      <c r="R620">
        <v>3</v>
      </c>
      <c r="S620">
        <v>5</v>
      </c>
      <c r="T620">
        <v>1</v>
      </c>
      <c r="U620">
        <v>0</v>
      </c>
      <c r="V620">
        <v>1</v>
      </c>
      <c r="W620">
        <v>7</v>
      </c>
      <c r="X620">
        <v>11</v>
      </c>
      <c r="Y620">
        <v>3</v>
      </c>
      <c r="Z620">
        <v>1</v>
      </c>
      <c r="AA620">
        <v>0</v>
      </c>
      <c r="AB620">
        <v>0</v>
      </c>
      <c r="AC620">
        <v>5</v>
      </c>
      <c r="AD620">
        <v>0</v>
      </c>
      <c r="AE620">
        <v>0</v>
      </c>
      <c r="AF620">
        <v>1</v>
      </c>
      <c r="AG620">
        <v>0</v>
      </c>
      <c r="AH620">
        <v>0</v>
      </c>
      <c r="AI620" s="5">
        <v>0.25</v>
      </c>
      <c r="AJ620" s="5">
        <v>0.27600000000000002</v>
      </c>
      <c r="AK620" s="5">
        <v>0.39300000000000002</v>
      </c>
      <c r="AL620" s="5">
        <v>0.221</v>
      </c>
      <c r="AM620" s="5">
        <v>0.27300000000000002</v>
      </c>
      <c r="AN620">
        <v>-0.1</v>
      </c>
      <c r="AO620">
        <v>0.23</v>
      </c>
      <c r="AP620">
        <v>0.81</v>
      </c>
      <c r="AQ620">
        <v>-1.24</v>
      </c>
      <c r="AR620">
        <v>0</v>
      </c>
      <c r="AS620" t="s">
        <v>71</v>
      </c>
      <c r="AT620">
        <v>0</v>
      </c>
      <c r="AU620">
        <v>-0.3</v>
      </c>
      <c r="AV620">
        <v>1</v>
      </c>
      <c r="AW620">
        <v>13</v>
      </c>
      <c r="AX620">
        <v>13</v>
      </c>
      <c r="AY620">
        <v>30</v>
      </c>
      <c r="AZ620" t="s">
        <v>4317</v>
      </c>
      <c r="BA620">
        <v>47</v>
      </c>
      <c r="BB620" t="s">
        <v>35</v>
      </c>
      <c r="BC620" t="s">
        <v>35</v>
      </c>
      <c r="BD620" s="4">
        <f>HYPERLINK("http://mlb.mlb.com/team/player.jsp?player_id=492802",492802)</f>
        <v>492802</v>
      </c>
      <c r="BE620">
        <v>378</v>
      </c>
      <c r="BF620">
        <v>1378</v>
      </c>
      <c r="BG620">
        <v>87</v>
      </c>
      <c r="BH620">
        <v>84</v>
      </c>
    </row>
    <row r="621" spans="1:60" x14ac:dyDescent="0.3">
      <c r="A621" s="4">
        <f>HYPERLINK("http://legacy.baseballprospectus.com/p/59656",59656)</f>
        <v>59656</v>
      </c>
      <c r="B621" t="s">
        <v>1885</v>
      </c>
      <c r="C621" t="s">
        <v>419</v>
      </c>
      <c r="D621" s="10">
        <v>32003</v>
      </c>
      <c r="E621" t="s">
        <v>59</v>
      </c>
      <c r="F621" t="s">
        <v>9</v>
      </c>
      <c r="G621" t="s">
        <v>33</v>
      </c>
      <c r="H621">
        <v>75</v>
      </c>
      <c r="I621">
        <v>190</v>
      </c>
      <c r="J621">
        <v>2018</v>
      </c>
      <c r="K621" s="4" t="str">
        <f>HYPERLINK("http://legacy.baseballprospectus.com/fantasy/dc/index.php?tm=ARI","ARI")</f>
        <v>ARI</v>
      </c>
      <c r="L621" t="s">
        <v>100</v>
      </c>
      <c r="M621" t="s">
        <v>34</v>
      </c>
      <c r="N621">
        <v>30</v>
      </c>
      <c r="O621">
        <v>28</v>
      </c>
      <c r="P621">
        <v>28</v>
      </c>
      <c r="Q621">
        <v>25</v>
      </c>
      <c r="R621">
        <v>3</v>
      </c>
      <c r="S621">
        <v>4</v>
      </c>
      <c r="T621">
        <v>1</v>
      </c>
      <c r="U621">
        <v>0</v>
      </c>
      <c r="V621">
        <v>1</v>
      </c>
      <c r="W621">
        <v>6</v>
      </c>
      <c r="X621">
        <v>10</v>
      </c>
      <c r="Y621">
        <v>3</v>
      </c>
      <c r="Z621">
        <v>2</v>
      </c>
      <c r="AA621">
        <v>0</v>
      </c>
      <c r="AB621">
        <v>0</v>
      </c>
      <c r="AC621">
        <v>8</v>
      </c>
      <c r="AD621">
        <v>0</v>
      </c>
      <c r="AE621">
        <v>0</v>
      </c>
      <c r="AF621">
        <v>0</v>
      </c>
      <c r="AG621">
        <v>1</v>
      </c>
      <c r="AH621">
        <v>0</v>
      </c>
      <c r="AI621" s="5">
        <v>0.24</v>
      </c>
      <c r="AJ621" s="5">
        <v>0.29599999999999999</v>
      </c>
      <c r="AK621" s="5">
        <v>0.4</v>
      </c>
      <c r="AL621" s="5">
        <v>0.25800000000000001</v>
      </c>
      <c r="AM621" s="5">
        <v>0.32600000000000001</v>
      </c>
      <c r="AN621">
        <v>0.1</v>
      </c>
      <c r="AO621">
        <v>-0.46</v>
      </c>
      <c r="AP621">
        <v>0.75</v>
      </c>
      <c r="AQ621">
        <v>-7.0000000000000007E-2</v>
      </c>
      <c r="AR621">
        <v>-0.4</v>
      </c>
      <c r="AS621" t="s">
        <v>1016</v>
      </c>
      <c r="AT621">
        <v>0</v>
      </c>
      <c r="AU621">
        <v>0.4</v>
      </c>
      <c r="AV621">
        <v>5</v>
      </c>
      <c r="AW621">
        <v>17</v>
      </c>
      <c r="AX621">
        <v>10</v>
      </c>
      <c r="AY621">
        <v>20</v>
      </c>
      <c r="AZ621" t="s">
        <v>4193</v>
      </c>
      <c r="BA621">
        <v>49</v>
      </c>
      <c r="BB621" t="s">
        <v>35</v>
      </c>
      <c r="BC621" t="s">
        <v>36</v>
      </c>
      <c r="BD621" s="4">
        <f>HYPERLINK("http://mlb.mlb.com/team/player.jsp?player_id=571757",571757)</f>
        <v>571757</v>
      </c>
      <c r="BE621">
        <v>1638</v>
      </c>
      <c r="BF621">
        <v>638</v>
      </c>
      <c r="BG621">
        <v>61</v>
      </c>
      <c r="BH621">
        <v>52</v>
      </c>
    </row>
    <row r="622" spans="1:60" x14ac:dyDescent="0.3">
      <c r="A622" s="4">
        <f>HYPERLINK("http://legacy.baseballprospectus.com/p/60931",60931)</f>
        <v>60931</v>
      </c>
      <c r="B622" t="s">
        <v>545</v>
      </c>
      <c r="C622" t="s">
        <v>234</v>
      </c>
      <c r="D622" s="10">
        <v>33462</v>
      </c>
      <c r="E622" t="s">
        <v>58</v>
      </c>
      <c r="F622" t="s">
        <v>33</v>
      </c>
      <c r="G622" t="s">
        <v>33</v>
      </c>
      <c r="H622">
        <v>70</v>
      </c>
      <c r="I622">
        <v>185</v>
      </c>
      <c r="J622">
        <v>2018</v>
      </c>
      <c r="K622" s="4" t="str">
        <f>HYPERLINK("http://legacy.baseballprospectus.com/fantasy/dc/index.php?tm=ARI","ARI")</f>
        <v>ARI</v>
      </c>
      <c r="L622" t="s">
        <v>100</v>
      </c>
      <c r="M622" t="s">
        <v>34</v>
      </c>
      <c r="N622">
        <v>26</v>
      </c>
      <c r="O622">
        <v>249</v>
      </c>
      <c r="P622">
        <v>94</v>
      </c>
      <c r="Q622">
        <v>234</v>
      </c>
      <c r="R622">
        <v>26</v>
      </c>
      <c r="S622">
        <v>40</v>
      </c>
      <c r="T622">
        <v>13</v>
      </c>
      <c r="U622">
        <v>2</v>
      </c>
      <c r="V622">
        <v>4</v>
      </c>
      <c r="W622">
        <v>59</v>
      </c>
      <c r="X622">
        <v>88</v>
      </c>
      <c r="Y622">
        <v>24</v>
      </c>
      <c r="Z622">
        <v>11</v>
      </c>
      <c r="AA622">
        <v>1</v>
      </c>
      <c r="AB622">
        <v>1</v>
      </c>
      <c r="AC622">
        <v>55</v>
      </c>
      <c r="AD622">
        <v>2</v>
      </c>
      <c r="AE622">
        <v>1</v>
      </c>
      <c r="AF622">
        <v>5</v>
      </c>
      <c r="AG622">
        <v>8</v>
      </c>
      <c r="AH622">
        <v>1</v>
      </c>
      <c r="AI622" s="5">
        <v>0.252</v>
      </c>
      <c r="AJ622" s="5">
        <v>0.28699999999999998</v>
      </c>
      <c r="AK622" s="5">
        <v>0.376</v>
      </c>
      <c r="AL622" s="5">
        <v>0.23400000000000001</v>
      </c>
      <c r="AM622" s="5">
        <v>0.313</v>
      </c>
      <c r="AN622">
        <v>1.2</v>
      </c>
      <c r="AO622">
        <v>-7.0000000000000007E-2</v>
      </c>
      <c r="AP622">
        <v>6.69</v>
      </c>
      <c r="AQ622">
        <v>-6.79</v>
      </c>
      <c r="AR622">
        <v>-1.2</v>
      </c>
      <c r="AS622" t="s">
        <v>4084</v>
      </c>
      <c r="AT622">
        <v>0</v>
      </c>
      <c r="AU622">
        <v>1.1000000000000001</v>
      </c>
      <c r="AV622">
        <v>6</v>
      </c>
      <c r="AW622">
        <v>59</v>
      </c>
      <c r="AX622">
        <v>11</v>
      </c>
      <c r="AY622">
        <v>16</v>
      </c>
      <c r="AZ622" t="s">
        <v>4321</v>
      </c>
      <c r="BA622">
        <v>97</v>
      </c>
      <c r="BB622" t="s">
        <v>35</v>
      </c>
      <c r="BC622" t="s">
        <v>36</v>
      </c>
      <c r="BD622" s="4">
        <f>HYPERLINK("http://mlb.mlb.com/team/player.jsp?player_id=572008",572008)</f>
        <v>572008</v>
      </c>
      <c r="BE622">
        <v>1532</v>
      </c>
      <c r="BF622">
        <v>532</v>
      </c>
      <c r="BG622">
        <v>386</v>
      </c>
      <c r="BH622">
        <v>362</v>
      </c>
    </row>
    <row r="623" spans="1:60" x14ac:dyDescent="0.3">
      <c r="A623" s="4">
        <f>HYPERLINK("http://legacy.baseballprospectus.com/p/100121",100121)</f>
        <v>100121</v>
      </c>
      <c r="B623" t="s">
        <v>684</v>
      </c>
      <c r="C623" t="s">
        <v>172</v>
      </c>
      <c r="D623" s="10">
        <v>33325</v>
      </c>
      <c r="E623" t="s">
        <v>50</v>
      </c>
      <c r="F623" t="s">
        <v>33</v>
      </c>
      <c r="G623" t="s">
        <v>33</v>
      </c>
      <c r="H623">
        <v>72</v>
      </c>
      <c r="I623">
        <v>220</v>
      </c>
      <c r="J623">
        <v>2018</v>
      </c>
      <c r="K623" s="4" t="str">
        <f>HYPERLINK("http://legacy.baseballprospectus.com/fantasy/dc/index.php?tm=ARI","ARI")</f>
        <v>ARI</v>
      </c>
      <c r="L623" t="s">
        <v>100</v>
      </c>
      <c r="M623" t="s">
        <v>34</v>
      </c>
      <c r="N623">
        <v>27</v>
      </c>
      <c r="O623">
        <v>73</v>
      </c>
      <c r="P623">
        <v>51</v>
      </c>
      <c r="Q623">
        <v>66</v>
      </c>
      <c r="R623">
        <v>9</v>
      </c>
      <c r="S623">
        <v>9</v>
      </c>
      <c r="T623">
        <v>4</v>
      </c>
      <c r="U623">
        <v>0</v>
      </c>
      <c r="V623">
        <v>3</v>
      </c>
      <c r="W623">
        <v>16</v>
      </c>
      <c r="X623">
        <v>29</v>
      </c>
      <c r="Y623">
        <v>10</v>
      </c>
      <c r="Z623">
        <v>6</v>
      </c>
      <c r="AA623">
        <v>0</v>
      </c>
      <c r="AB623">
        <v>1</v>
      </c>
      <c r="AC623">
        <v>20</v>
      </c>
      <c r="AD623">
        <v>0</v>
      </c>
      <c r="AE623">
        <v>0</v>
      </c>
      <c r="AF623">
        <v>2</v>
      </c>
      <c r="AG623">
        <v>0</v>
      </c>
      <c r="AH623">
        <v>0</v>
      </c>
      <c r="AI623" s="5">
        <v>0.24199999999999999</v>
      </c>
      <c r="AJ623" s="5">
        <v>0.315</v>
      </c>
      <c r="AK623" s="5">
        <v>0.439</v>
      </c>
      <c r="AL623" s="5">
        <v>0.26</v>
      </c>
      <c r="AM623" s="5">
        <v>0.30499999999999999</v>
      </c>
      <c r="AN623">
        <v>-0.1</v>
      </c>
      <c r="AO623">
        <v>-1.04</v>
      </c>
      <c r="AP623">
        <v>1.96</v>
      </c>
      <c r="AQ623">
        <v>-0.02</v>
      </c>
      <c r="AR623">
        <v>-0.3</v>
      </c>
      <c r="AS623" t="s">
        <v>1004</v>
      </c>
      <c r="AT623">
        <v>0</v>
      </c>
      <c r="AU623">
        <v>0.8</v>
      </c>
      <c r="AV623">
        <v>1</v>
      </c>
      <c r="AW623">
        <v>10</v>
      </c>
      <c r="AX623">
        <v>11</v>
      </c>
      <c r="AY623">
        <v>17</v>
      </c>
      <c r="AZ623" t="s">
        <v>4322</v>
      </c>
      <c r="BA623">
        <v>29</v>
      </c>
      <c r="BB623" t="s">
        <v>35</v>
      </c>
      <c r="BC623" t="s">
        <v>35</v>
      </c>
      <c r="BD623" s="4">
        <f>HYPERLINK("http://mlb.mlb.com/team/player.jsp?player_id=572233",572233)</f>
        <v>572233</v>
      </c>
      <c r="BE623">
        <v>1441</v>
      </c>
      <c r="BF623">
        <v>441</v>
      </c>
      <c r="BG623">
        <v>15</v>
      </c>
      <c r="BH623">
        <v>12</v>
      </c>
    </row>
    <row r="624" spans="1:60" x14ac:dyDescent="0.3">
      <c r="A624" s="4">
        <f>HYPERLINK("http://legacy.baseballprospectus.com/p/68830",68830)</f>
        <v>68830</v>
      </c>
      <c r="B624" t="s">
        <v>1879</v>
      </c>
      <c r="C624" t="s">
        <v>1880</v>
      </c>
      <c r="D624" s="10">
        <v>33621</v>
      </c>
      <c r="E624" t="s">
        <v>57</v>
      </c>
      <c r="F624" t="s">
        <v>9</v>
      </c>
      <c r="G624" t="s">
        <v>9</v>
      </c>
      <c r="H624">
        <v>72</v>
      </c>
      <c r="I624">
        <v>195</v>
      </c>
      <c r="J624">
        <v>2018</v>
      </c>
      <c r="K624" s="4" t="str">
        <f>HYPERLINK("http://legacy.baseballprospectus.com/fantasy/dc/index.php?tm=BAL","BAL")</f>
        <v>BAL</v>
      </c>
      <c r="L624" t="s">
        <v>95</v>
      </c>
      <c r="M624" t="s">
        <v>34</v>
      </c>
      <c r="N624">
        <v>26</v>
      </c>
      <c r="O624">
        <v>99</v>
      </c>
      <c r="P624">
        <v>30</v>
      </c>
      <c r="Q624">
        <v>89</v>
      </c>
      <c r="R624">
        <v>10</v>
      </c>
      <c r="S624">
        <v>15</v>
      </c>
      <c r="T624">
        <v>4</v>
      </c>
      <c r="U624">
        <v>1</v>
      </c>
      <c r="V624">
        <v>2</v>
      </c>
      <c r="W624">
        <v>22</v>
      </c>
      <c r="X624">
        <v>34</v>
      </c>
      <c r="Y624">
        <v>11</v>
      </c>
      <c r="Z624">
        <v>9</v>
      </c>
      <c r="AA624">
        <v>0</v>
      </c>
      <c r="AB624">
        <v>0</v>
      </c>
      <c r="AC624">
        <v>22</v>
      </c>
      <c r="AD624">
        <v>0</v>
      </c>
      <c r="AE624">
        <v>1</v>
      </c>
      <c r="AF624">
        <v>2</v>
      </c>
      <c r="AG624">
        <v>1</v>
      </c>
      <c r="AH624">
        <v>1</v>
      </c>
      <c r="AI624" s="5">
        <v>0.247</v>
      </c>
      <c r="AJ624" s="5">
        <v>0.313</v>
      </c>
      <c r="AK624" s="5">
        <v>0.38200000000000001</v>
      </c>
      <c r="AL624" s="5">
        <v>0.245</v>
      </c>
      <c r="AM624" s="5">
        <v>0.30299999999999999</v>
      </c>
      <c r="AN624">
        <v>-0.1</v>
      </c>
      <c r="AO624">
        <v>-0.19</v>
      </c>
      <c r="AP624">
        <v>2.66</v>
      </c>
      <c r="AQ624">
        <v>-1.54</v>
      </c>
      <c r="AR624">
        <v>-0.8</v>
      </c>
      <c r="AS624" t="s">
        <v>4919</v>
      </c>
      <c r="AT624">
        <v>0</v>
      </c>
      <c r="AU624">
        <v>0.8</v>
      </c>
      <c r="AV624">
        <v>3</v>
      </c>
      <c r="AW624">
        <v>28</v>
      </c>
      <c r="AX624">
        <v>12</v>
      </c>
      <c r="AY624">
        <v>23</v>
      </c>
      <c r="AZ624" t="s">
        <v>4324</v>
      </c>
      <c r="BA624">
        <v>60</v>
      </c>
      <c r="BB624" t="s">
        <v>35</v>
      </c>
      <c r="BC624" t="s">
        <v>36</v>
      </c>
      <c r="BD624" s="4">
        <f>HYPERLINK("http://mlb.mlb.com/team/player.jsp?player_id=595144",595144)</f>
        <v>595144</v>
      </c>
      <c r="BE624">
        <v>610</v>
      </c>
      <c r="BF624">
        <v>1610</v>
      </c>
      <c r="BG624">
        <v>162</v>
      </c>
      <c r="BH624">
        <v>143</v>
      </c>
    </row>
    <row r="625" spans="1:60" x14ac:dyDescent="0.3">
      <c r="A625" s="4">
        <f>HYPERLINK("http://legacy.baseballprospectus.com/p/50126",50126)</f>
        <v>50126</v>
      </c>
      <c r="B625" t="s">
        <v>2198</v>
      </c>
      <c r="C625" t="s">
        <v>141</v>
      </c>
      <c r="D625" s="10">
        <v>31253</v>
      </c>
      <c r="E625" t="s">
        <v>59</v>
      </c>
      <c r="F625" t="s">
        <v>9</v>
      </c>
      <c r="G625" t="s">
        <v>9</v>
      </c>
      <c r="H625">
        <v>70</v>
      </c>
      <c r="I625">
        <v>195</v>
      </c>
      <c r="J625">
        <v>2018</v>
      </c>
      <c r="K625" s="4" t="str">
        <f>HYPERLINK("http://legacy.baseballprospectus.com/fantasy/dc/index.php?tm=BAL","BAL")</f>
        <v>BAL</v>
      </c>
      <c r="L625" t="s">
        <v>95</v>
      </c>
      <c r="M625" t="s">
        <v>34</v>
      </c>
      <c r="N625">
        <v>32</v>
      </c>
      <c r="O625">
        <v>131</v>
      </c>
      <c r="P625">
        <v>37</v>
      </c>
      <c r="Q625">
        <v>120</v>
      </c>
      <c r="R625">
        <v>15</v>
      </c>
      <c r="S625">
        <v>23</v>
      </c>
      <c r="T625">
        <v>4</v>
      </c>
      <c r="U625">
        <v>1</v>
      </c>
      <c r="V625">
        <v>2</v>
      </c>
      <c r="W625">
        <v>30</v>
      </c>
      <c r="X625">
        <v>42</v>
      </c>
      <c r="Y625">
        <v>11</v>
      </c>
      <c r="Z625">
        <v>9</v>
      </c>
      <c r="AA625">
        <v>0</v>
      </c>
      <c r="AB625">
        <v>1</v>
      </c>
      <c r="AC625">
        <v>25</v>
      </c>
      <c r="AD625">
        <v>1</v>
      </c>
      <c r="AE625">
        <v>1</v>
      </c>
      <c r="AF625">
        <v>3</v>
      </c>
      <c r="AG625">
        <v>2</v>
      </c>
      <c r="AH625">
        <v>1</v>
      </c>
      <c r="AI625" s="5">
        <v>0.25</v>
      </c>
      <c r="AJ625" s="5">
        <v>0.30499999999999999</v>
      </c>
      <c r="AK625" s="5">
        <v>0.35</v>
      </c>
      <c r="AL625" s="5">
        <v>0.23400000000000001</v>
      </c>
      <c r="AM625" s="5">
        <v>0.29799999999999999</v>
      </c>
      <c r="AN625">
        <v>0</v>
      </c>
      <c r="AO625">
        <v>-0.25</v>
      </c>
      <c r="AP625">
        <v>3.52</v>
      </c>
      <c r="AQ625">
        <v>-3.58</v>
      </c>
      <c r="AR625">
        <v>0.4</v>
      </c>
      <c r="AS625" t="s">
        <v>1019</v>
      </c>
      <c r="AT625">
        <v>0</v>
      </c>
      <c r="AU625">
        <v>-0.3</v>
      </c>
      <c r="AV625">
        <v>4</v>
      </c>
      <c r="AW625">
        <v>26</v>
      </c>
      <c r="AX625">
        <v>14</v>
      </c>
      <c r="AY625">
        <v>34</v>
      </c>
      <c r="AZ625" t="s">
        <v>4234</v>
      </c>
      <c r="BA625">
        <v>70</v>
      </c>
      <c r="BB625" t="s">
        <v>35</v>
      </c>
      <c r="BC625" t="s">
        <v>36</v>
      </c>
      <c r="BD625" s="4">
        <f>HYPERLINK("http://mlb.mlb.com/team/player.jsp?player_id=502100",502100)</f>
        <v>502100</v>
      </c>
      <c r="BE625">
        <v>0</v>
      </c>
      <c r="BF625">
        <v>0</v>
      </c>
      <c r="BG625">
        <v>264</v>
      </c>
      <c r="BH625">
        <v>245</v>
      </c>
    </row>
    <row r="626" spans="1:60" x14ac:dyDescent="0.3">
      <c r="A626" s="4">
        <f>HYPERLINK("http://legacy.baseballprospectus.com/p/70779",70779)</f>
        <v>70779</v>
      </c>
      <c r="B626" t="s">
        <v>1123</v>
      </c>
      <c r="C626" t="s">
        <v>204</v>
      </c>
      <c r="D626" s="10">
        <v>32954</v>
      </c>
      <c r="E626" t="s">
        <v>54</v>
      </c>
      <c r="F626" t="s">
        <v>33</v>
      </c>
      <c r="G626" t="s">
        <v>33</v>
      </c>
      <c r="H626">
        <v>73</v>
      </c>
      <c r="I626">
        <v>215</v>
      </c>
      <c r="J626">
        <v>2018</v>
      </c>
      <c r="K626" s="4" t="str">
        <f>HYPERLINK("http://legacy.baseballprospectus.com/fantasy/dc/index.php?tm=BAL","BAL")</f>
        <v>BAL</v>
      </c>
      <c r="L626" t="s">
        <v>95</v>
      </c>
      <c r="M626" t="s">
        <v>34</v>
      </c>
      <c r="N626">
        <v>28</v>
      </c>
      <c r="O626">
        <v>60</v>
      </c>
      <c r="P626">
        <v>19</v>
      </c>
      <c r="Q626">
        <v>53</v>
      </c>
      <c r="R626">
        <v>7</v>
      </c>
      <c r="S626">
        <v>7</v>
      </c>
      <c r="T626">
        <v>2</v>
      </c>
      <c r="U626">
        <v>0</v>
      </c>
      <c r="V626">
        <v>2</v>
      </c>
      <c r="W626">
        <v>11</v>
      </c>
      <c r="X626">
        <v>19</v>
      </c>
      <c r="Y626">
        <v>7</v>
      </c>
      <c r="Z626">
        <v>6</v>
      </c>
      <c r="AA626">
        <v>0</v>
      </c>
      <c r="AB626">
        <v>1</v>
      </c>
      <c r="AC626">
        <v>16</v>
      </c>
      <c r="AD626">
        <v>0</v>
      </c>
      <c r="AE626">
        <v>0</v>
      </c>
      <c r="AF626">
        <v>1</v>
      </c>
      <c r="AG626">
        <v>0</v>
      </c>
      <c r="AH626">
        <v>0</v>
      </c>
      <c r="AI626" s="5">
        <v>0.20799999999999999</v>
      </c>
      <c r="AJ626" s="5">
        <v>0.3</v>
      </c>
      <c r="AK626" s="5">
        <v>0.35799999999999998</v>
      </c>
      <c r="AL626" s="5">
        <v>0.24299999999999999</v>
      </c>
      <c r="AM626" s="5">
        <v>0.27900000000000003</v>
      </c>
      <c r="AN626">
        <v>-0.1</v>
      </c>
      <c r="AO626">
        <v>0.46</v>
      </c>
      <c r="AP626">
        <v>1.61</v>
      </c>
      <c r="AQ626">
        <v>-1.06</v>
      </c>
      <c r="AR626">
        <v>-0.5</v>
      </c>
      <c r="AS626" t="s">
        <v>55</v>
      </c>
      <c r="AT626">
        <v>0</v>
      </c>
      <c r="AU626">
        <v>0.9</v>
      </c>
      <c r="AV626">
        <v>8</v>
      </c>
      <c r="AW626">
        <v>22</v>
      </c>
      <c r="AX626">
        <v>13</v>
      </c>
      <c r="AY626">
        <v>35</v>
      </c>
      <c r="AZ626" t="s">
        <v>3906</v>
      </c>
      <c r="BA626">
        <v>62</v>
      </c>
      <c r="BB626" t="s">
        <v>35</v>
      </c>
      <c r="BC626" t="s">
        <v>36</v>
      </c>
      <c r="BD626" s="4">
        <f>HYPERLINK("http://mlb.mlb.com/team/player.jsp?player_id=572180",572180)</f>
        <v>572180</v>
      </c>
      <c r="BE626">
        <v>1405</v>
      </c>
      <c r="BF626">
        <v>405</v>
      </c>
      <c r="BG626">
        <v>12</v>
      </c>
      <c r="BH626">
        <v>12</v>
      </c>
    </row>
    <row r="627" spans="1:60" x14ac:dyDescent="0.3">
      <c r="A627" s="4">
        <f>HYPERLINK("http://legacy.baseballprospectus.com/p/55951",55951)</f>
        <v>55951</v>
      </c>
      <c r="B627" t="s">
        <v>468</v>
      </c>
      <c r="C627" t="s">
        <v>927</v>
      </c>
      <c r="D627" s="10">
        <v>32580</v>
      </c>
      <c r="E627" t="s">
        <v>54</v>
      </c>
      <c r="F627" t="s">
        <v>37</v>
      </c>
      <c r="G627" t="s">
        <v>33</v>
      </c>
      <c r="H627">
        <v>70</v>
      </c>
      <c r="I627">
        <v>225</v>
      </c>
      <c r="J627">
        <v>2018</v>
      </c>
      <c r="K627" s="4" t="str">
        <f>HYPERLINK("http://legacy.baseballprospectus.com/fantasy/dc/index.php?tm=BOS","BOS")</f>
        <v>BOS</v>
      </c>
      <c r="L627" t="s">
        <v>95</v>
      </c>
      <c r="M627" t="s">
        <v>34</v>
      </c>
      <c r="N627">
        <v>29</v>
      </c>
      <c r="O627">
        <v>222</v>
      </c>
      <c r="P627">
        <v>64</v>
      </c>
      <c r="Q627">
        <v>199</v>
      </c>
      <c r="R627">
        <v>21</v>
      </c>
      <c r="S627">
        <v>32</v>
      </c>
      <c r="T627">
        <v>9</v>
      </c>
      <c r="U627">
        <v>1</v>
      </c>
      <c r="V627">
        <v>4</v>
      </c>
      <c r="W627">
        <v>46</v>
      </c>
      <c r="X627">
        <v>69</v>
      </c>
      <c r="Y627">
        <v>21</v>
      </c>
      <c r="Z627">
        <v>19</v>
      </c>
      <c r="AA627">
        <v>2</v>
      </c>
      <c r="AB627">
        <v>1</v>
      </c>
      <c r="AC627">
        <v>51</v>
      </c>
      <c r="AD627">
        <v>2</v>
      </c>
      <c r="AE627">
        <v>1</v>
      </c>
      <c r="AF627">
        <v>5</v>
      </c>
      <c r="AG627">
        <v>0</v>
      </c>
      <c r="AH627">
        <v>0</v>
      </c>
      <c r="AI627" s="5">
        <v>0.23100000000000001</v>
      </c>
      <c r="AJ627" s="5">
        <v>0.3</v>
      </c>
      <c r="AK627" s="5">
        <v>0.34699999999999998</v>
      </c>
      <c r="AL627" s="5">
        <v>0.22700000000000001</v>
      </c>
      <c r="AM627" s="5">
        <v>0.28399999999999997</v>
      </c>
      <c r="AN627">
        <v>-0.5</v>
      </c>
      <c r="AO627">
        <v>1.69</v>
      </c>
      <c r="AP627">
        <v>5.96</v>
      </c>
      <c r="AQ627">
        <v>-7.81</v>
      </c>
      <c r="AR627">
        <v>0.3</v>
      </c>
      <c r="AS627" t="s">
        <v>71</v>
      </c>
      <c r="AT627">
        <v>0</v>
      </c>
      <c r="AU627">
        <v>-0.6</v>
      </c>
      <c r="AV627">
        <v>4</v>
      </c>
      <c r="AW627">
        <v>26</v>
      </c>
      <c r="AX627">
        <v>15</v>
      </c>
      <c r="AY627">
        <v>33</v>
      </c>
      <c r="AZ627" t="s">
        <v>4325</v>
      </c>
      <c r="BA627">
        <v>70</v>
      </c>
      <c r="BB627" t="s">
        <v>35</v>
      </c>
      <c r="BC627" t="s">
        <v>36</v>
      </c>
      <c r="BD627" s="4">
        <f>HYPERLINK("http://mlb.mlb.com/team/player.jsp?player_id=506702",506702)</f>
        <v>506702</v>
      </c>
      <c r="BE627">
        <v>363</v>
      </c>
      <c r="BF627">
        <v>1363</v>
      </c>
      <c r="BG627">
        <v>301</v>
      </c>
      <c r="BH627">
        <v>271</v>
      </c>
    </row>
    <row r="628" spans="1:60" x14ac:dyDescent="0.3">
      <c r="A628" s="4">
        <f>HYPERLINK("http://legacy.baseballprospectus.com/p/57884",57884)</f>
        <v>57884</v>
      </c>
      <c r="B628" t="s">
        <v>359</v>
      </c>
      <c r="C628" t="s">
        <v>189</v>
      </c>
      <c r="D628" s="10">
        <v>33315</v>
      </c>
      <c r="E628" t="s">
        <v>59</v>
      </c>
      <c r="F628" t="s">
        <v>37</v>
      </c>
      <c r="G628" t="s">
        <v>33</v>
      </c>
      <c r="H628">
        <v>68</v>
      </c>
      <c r="I628">
        <v>170</v>
      </c>
      <c r="J628">
        <v>2018</v>
      </c>
      <c r="K628" s="4" t="str">
        <f>HYPERLINK("http://legacy.baseballprospectus.com/fantasy/dc/index.php?tm=CHA","CHA")</f>
        <v>CHA</v>
      </c>
      <c r="L628" t="s">
        <v>95</v>
      </c>
      <c r="M628" t="s">
        <v>34</v>
      </c>
      <c r="N628">
        <v>27</v>
      </c>
      <c r="O628">
        <v>430</v>
      </c>
      <c r="P628">
        <v>142</v>
      </c>
      <c r="Q628">
        <v>394</v>
      </c>
      <c r="R628">
        <v>51</v>
      </c>
      <c r="S628">
        <v>70</v>
      </c>
      <c r="T628">
        <v>15</v>
      </c>
      <c r="U628">
        <v>3</v>
      </c>
      <c r="V628">
        <v>9</v>
      </c>
      <c r="W628">
        <v>97</v>
      </c>
      <c r="X628">
        <v>145</v>
      </c>
      <c r="Y628">
        <v>40</v>
      </c>
      <c r="Z628">
        <v>22</v>
      </c>
      <c r="AA628">
        <v>2</v>
      </c>
      <c r="AB628">
        <v>5</v>
      </c>
      <c r="AC628">
        <v>103</v>
      </c>
      <c r="AD628">
        <v>6</v>
      </c>
      <c r="AE628">
        <v>2</v>
      </c>
      <c r="AF628">
        <v>9</v>
      </c>
      <c r="AG628">
        <v>16</v>
      </c>
      <c r="AH628">
        <v>7</v>
      </c>
      <c r="AI628" s="5">
        <v>0.246</v>
      </c>
      <c r="AJ628" s="5">
        <v>0.29299999999999998</v>
      </c>
      <c r="AK628" s="5">
        <v>0.36799999999999999</v>
      </c>
      <c r="AL628" s="5">
        <v>0.23100000000000001</v>
      </c>
      <c r="AM628" s="5">
        <v>0.30599999999999999</v>
      </c>
      <c r="AN628">
        <v>1.1000000000000001</v>
      </c>
      <c r="AO628">
        <v>-0.12</v>
      </c>
      <c r="AP628">
        <v>11.54</v>
      </c>
      <c r="AQ628">
        <v>-13.12</v>
      </c>
      <c r="AR628">
        <v>0.8</v>
      </c>
      <c r="AS628" t="s">
        <v>4994</v>
      </c>
      <c r="AT628">
        <v>0</v>
      </c>
      <c r="AU628">
        <v>-0.6</v>
      </c>
      <c r="AV628">
        <v>3</v>
      </c>
      <c r="AW628">
        <v>29</v>
      </c>
      <c r="AX628">
        <v>9</v>
      </c>
      <c r="AY628">
        <v>21</v>
      </c>
      <c r="AZ628" t="s">
        <v>4412</v>
      </c>
      <c r="BA628">
        <v>70</v>
      </c>
      <c r="BB628" t="s">
        <v>35</v>
      </c>
      <c r="BC628" t="s">
        <v>36</v>
      </c>
      <c r="BD628" s="4">
        <f>HYPERLINK("http://mlb.mlb.com/team/player.jsp?player_id=544725",544725)</f>
        <v>544725</v>
      </c>
      <c r="BE628">
        <v>598</v>
      </c>
      <c r="BF628">
        <v>1598</v>
      </c>
      <c r="BG628">
        <v>326</v>
      </c>
      <c r="BH628">
        <v>300</v>
      </c>
    </row>
    <row r="629" spans="1:60" x14ac:dyDescent="0.3">
      <c r="A629" s="4">
        <f>HYPERLINK("http://legacy.baseballprospectus.com/p/69491",69491)</f>
        <v>69491</v>
      </c>
      <c r="B629" t="s">
        <v>926</v>
      </c>
      <c r="C629" t="s">
        <v>119</v>
      </c>
      <c r="D629" s="10">
        <v>34396</v>
      </c>
      <c r="E629" t="s">
        <v>53</v>
      </c>
      <c r="F629" t="s">
        <v>33</v>
      </c>
      <c r="G629" t="s">
        <v>33</v>
      </c>
      <c r="H629">
        <v>73</v>
      </c>
      <c r="I629">
        <v>195</v>
      </c>
      <c r="J629">
        <v>2018</v>
      </c>
      <c r="K629" s="4" t="str">
        <f>HYPERLINK("http://legacy.baseballprospectus.com/fantasy/dc/index.php?tm=CHA","CHA")</f>
        <v>CHA</v>
      </c>
      <c r="L629" t="s">
        <v>95</v>
      </c>
      <c r="M629" t="s">
        <v>34</v>
      </c>
      <c r="N629">
        <v>24</v>
      </c>
      <c r="O629">
        <v>31</v>
      </c>
      <c r="P629">
        <v>10</v>
      </c>
      <c r="Q629">
        <v>29</v>
      </c>
      <c r="R629">
        <v>3</v>
      </c>
      <c r="S629">
        <v>5</v>
      </c>
      <c r="T629">
        <v>1</v>
      </c>
      <c r="U629">
        <v>0</v>
      </c>
      <c r="V629">
        <v>1</v>
      </c>
      <c r="W629">
        <v>7</v>
      </c>
      <c r="X629">
        <v>11</v>
      </c>
      <c r="Y629">
        <v>3</v>
      </c>
      <c r="Z629">
        <v>1</v>
      </c>
      <c r="AA629">
        <v>0</v>
      </c>
      <c r="AB629">
        <v>0</v>
      </c>
      <c r="AC629">
        <v>7</v>
      </c>
      <c r="AD629">
        <v>0</v>
      </c>
      <c r="AE629">
        <v>0</v>
      </c>
      <c r="AF629">
        <v>1</v>
      </c>
      <c r="AG629">
        <v>0</v>
      </c>
      <c r="AH629">
        <v>0</v>
      </c>
      <c r="AI629" s="5">
        <v>0.24099999999999999</v>
      </c>
      <c r="AJ629" s="5">
        <v>0.26700000000000002</v>
      </c>
      <c r="AK629" s="5">
        <v>0.379</v>
      </c>
      <c r="AL629" s="5">
        <v>0.22600000000000001</v>
      </c>
      <c r="AM629" s="5">
        <v>0.28699999999999998</v>
      </c>
      <c r="AN629">
        <v>0</v>
      </c>
      <c r="AO629">
        <v>0.21</v>
      </c>
      <c r="AP629">
        <v>0.83</v>
      </c>
      <c r="AQ629">
        <v>-1.1000000000000001</v>
      </c>
      <c r="AR629">
        <v>-0.2</v>
      </c>
      <c r="AS629" t="s">
        <v>74</v>
      </c>
      <c r="AT629">
        <v>0</v>
      </c>
      <c r="AU629">
        <v>-0.1</v>
      </c>
      <c r="AV629">
        <v>4</v>
      </c>
      <c r="AW629">
        <v>14</v>
      </c>
      <c r="AX629">
        <v>4</v>
      </c>
      <c r="AY629">
        <v>30</v>
      </c>
      <c r="AZ629" t="s">
        <v>4328</v>
      </c>
      <c r="BA629">
        <v>41</v>
      </c>
      <c r="BB629" t="s">
        <v>35</v>
      </c>
      <c r="BC629" t="s">
        <v>35</v>
      </c>
      <c r="BD629" s="4">
        <f>HYPERLINK("http://mlb.mlb.com/team/player.jsp?player_id=602922",602922)</f>
        <v>602922</v>
      </c>
      <c r="BE629">
        <v>529</v>
      </c>
      <c r="BF629">
        <v>1529</v>
      </c>
      <c r="BG629">
        <v>0</v>
      </c>
      <c r="BH629">
        <v>0</v>
      </c>
    </row>
    <row r="630" spans="1:60" x14ac:dyDescent="0.3">
      <c r="A630" s="4">
        <f>HYPERLINK("http://legacy.baseballprospectus.com/p/70493",70493)</f>
        <v>70493</v>
      </c>
      <c r="B630" t="s">
        <v>1236</v>
      </c>
      <c r="C630" t="s">
        <v>175</v>
      </c>
      <c r="D630" s="10">
        <v>33940</v>
      </c>
      <c r="E630" t="s">
        <v>65</v>
      </c>
      <c r="F630" t="s">
        <v>9</v>
      </c>
      <c r="G630" t="s">
        <v>9</v>
      </c>
      <c r="H630">
        <v>71</v>
      </c>
      <c r="I630">
        <v>195</v>
      </c>
      <c r="J630">
        <v>2018</v>
      </c>
      <c r="K630" s="4" t="str">
        <f>HYPERLINK("http://legacy.baseballprospectus.com/fantasy/dc/index.php?tm=CHA","CHA")</f>
        <v>CHA</v>
      </c>
      <c r="L630" t="s">
        <v>95</v>
      </c>
      <c r="M630" t="s">
        <v>34</v>
      </c>
      <c r="N630">
        <v>25</v>
      </c>
      <c r="O630">
        <v>88</v>
      </c>
      <c r="P630">
        <v>27</v>
      </c>
      <c r="Q630">
        <v>80</v>
      </c>
      <c r="R630">
        <v>10</v>
      </c>
      <c r="S630">
        <v>15</v>
      </c>
      <c r="T630">
        <v>3</v>
      </c>
      <c r="U630">
        <v>1</v>
      </c>
      <c r="V630">
        <v>1</v>
      </c>
      <c r="W630">
        <v>20</v>
      </c>
      <c r="X630">
        <v>28</v>
      </c>
      <c r="Y630">
        <v>8</v>
      </c>
      <c r="Z630">
        <v>6</v>
      </c>
      <c r="AA630">
        <v>0</v>
      </c>
      <c r="AB630">
        <v>1</v>
      </c>
      <c r="AC630">
        <v>15</v>
      </c>
      <c r="AD630">
        <v>1</v>
      </c>
      <c r="AE630">
        <v>0</v>
      </c>
      <c r="AF630">
        <v>2</v>
      </c>
      <c r="AG630">
        <v>4</v>
      </c>
      <c r="AH630">
        <v>1</v>
      </c>
      <c r="AI630" s="5">
        <v>0.25</v>
      </c>
      <c r="AJ630" s="5">
        <v>0.31</v>
      </c>
      <c r="AK630" s="5">
        <v>0.35</v>
      </c>
      <c r="AL630" s="5">
        <v>0.24199999999999999</v>
      </c>
      <c r="AM630" s="5">
        <v>0.29499999999999998</v>
      </c>
      <c r="AN630">
        <v>0.4</v>
      </c>
      <c r="AO630">
        <v>0.13</v>
      </c>
      <c r="AP630">
        <v>2.36</v>
      </c>
      <c r="AQ630">
        <v>-1.68</v>
      </c>
      <c r="AR630">
        <v>-1</v>
      </c>
      <c r="AS630" t="s">
        <v>72</v>
      </c>
      <c r="AT630">
        <v>0</v>
      </c>
      <c r="AU630">
        <v>1.2</v>
      </c>
      <c r="AV630">
        <v>4</v>
      </c>
      <c r="AW630">
        <v>29</v>
      </c>
      <c r="AX630">
        <v>11</v>
      </c>
      <c r="AY630">
        <v>31</v>
      </c>
      <c r="AZ630" t="s">
        <v>4277</v>
      </c>
      <c r="BA630">
        <v>50</v>
      </c>
      <c r="BB630" t="s">
        <v>35</v>
      </c>
      <c r="BC630" t="s">
        <v>35</v>
      </c>
      <c r="BD630" s="4">
        <f>HYPERLINK("http://mlb.mlb.com/team/player.jsp?player_id=605508",605508)</f>
        <v>605508</v>
      </c>
      <c r="BE630">
        <v>635</v>
      </c>
      <c r="BF630">
        <v>1635</v>
      </c>
      <c r="BG630">
        <v>0</v>
      </c>
      <c r="BH630">
        <v>0</v>
      </c>
    </row>
    <row r="631" spans="1:60" x14ac:dyDescent="0.3">
      <c r="A631" s="4">
        <f>HYPERLINK("http://legacy.baseballprospectus.com/p/47575",47575)</f>
        <v>47575</v>
      </c>
      <c r="B631" t="s">
        <v>371</v>
      </c>
      <c r="C631" t="s">
        <v>234</v>
      </c>
      <c r="D631" s="10">
        <v>30312</v>
      </c>
      <c r="E631" t="s">
        <v>54</v>
      </c>
      <c r="F631" t="s">
        <v>33</v>
      </c>
      <c r="G631" t="s">
        <v>33</v>
      </c>
      <c r="H631">
        <v>74</v>
      </c>
      <c r="I631">
        <v>230</v>
      </c>
      <c r="J631">
        <v>2018</v>
      </c>
      <c r="K631" s="4" t="str">
        <f>HYPERLINK("http://legacy.baseballprospectus.com/fantasy/dc/index.php?tm=CHN","CHN")</f>
        <v>CHN</v>
      </c>
      <c r="L631" t="s">
        <v>100</v>
      </c>
      <c r="M631" t="s">
        <v>34</v>
      </c>
      <c r="N631">
        <v>35</v>
      </c>
      <c r="O631">
        <v>63</v>
      </c>
      <c r="P631">
        <v>21</v>
      </c>
      <c r="Q631">
        <v>55</v>
      </c>
      <c r="R631">
        <v>7</v>
      </c>
      <c r="S631">
        <v>8</v>
      </c>
      <c r="T631">
        <v>2</v>
      </c>
      <c r="U631">
        <v>0</v>
      </c>
      <c r="V631">
        <v>1</v>
      </c>
      <c r="W631">
        <v>11</v>
      </c>
      <c r="X631">
        <v>16</v>
      </c>
      <c r="Y631">
        <v>6</v>
      </c>
      <c r="Z631">
        <v>7</v>
      </c>
      <c r="AA631">
        <v>0</v>
      </c>
      <c r="AB631">
        <v>1</v>
      </c>
      <c r="AC631">
        <v>15</v>
      </c>
      <c r="AD631">
        <v>1</v>
      </c>
      <c r="AE631">
        <v>0</v>
      </c>
      <c r="AF631">
        <v>2</v>
      </c>
      <c r="AG631">
        <v>0</v>
      </c>
      <c r="AH631">
        <v>0</v>
      </c>
      <c r="AI631" s="5">
        <v>0.2</v>
      </c>
      <c r="AJ631" s="5">
        <v>0.30199999999999999</v>
      </c>
      <c r="AK631" s="5">
        <v>0.29099999999999998</v>
      </c>
      <c r="AL631" s="5">
        <v>0.22900000000000001</v>
      </c>
      <c r="AM631" s="5">
        <v>0.27300000000000002</v>
      </c>
      <c r="AN631">
        <v>-0.1</v>
      </c>
      <c r="AO631">
        <v>0.48</v>
      </c>
      <c r="AP631">
        <v>1.69</v>
      </c>
      <c r="AQ631">
        <v>-2.04</v>
      </c>
      <c r="AR631">
        <v>0</v>
      </c>
      <c r="AS631" t="s">
        <v>71</v>
      </c>
      <c r="AT631">
        <v>0</v>
      </c>
      <c r="AU631">
        <v>0</v>
      </c>
      <c r="AV631">
        <v>1</v>
      </c>
      <c r="AW631">
        <v>31</v>
      </c>
      <c r="AX631">
        <v>13</v>
      </c>
      <c r="AY631">
        <v>31</v>
      </c>
      <c r="AZ631" t="s">
        <v>4001</v>
      </c>
      <c r="BA631">
        <v>71</v>
      </c>
      <c r="BB631" t="s">
        <v>35</v>
      </c>
      <c r="BC631" t="s">
        <v>36</v>
      </c>
      <c r="BD631" s="4">
        <f>HYPERLINK("http://mlb.mlb.com/team/player.jsp?player_id=460269",460269)</f>
        <v>460269</v>
      </c>
      <c r="BE631">
        <v>0</v>
      </c>
      <c r="BF631">
        <v>0</v>
      </c>
      <c r="BG631">
        <v>225</v>
      </c>
      <c r="BH631">
        <v>186</v>
      </c>
    </row>
    <row r="632" spans="1:60" x14ac:dyDescent="0.3">
      <c r="A632" s="4">
        <f>HYPERLINK("http://legacy.baseballprospectus.com/p/48486",48486)</f>
        <v>48486</v>
      </c>
      <c r="B632" t="s">
        <v>564</v>
      </c>
      <c r="C632" t="s">
        <v>565</v>
      </c>
      <c r="D632" s="10">
        <v>30848</v>
      </c>
      <c r="E632" t="s">
        <v>58</v>
      </c>
      <c r="F632" t="s">
        <v>37</v>
      </c>
      <c r="G632" t="s">
        <v>33</v>
      </c>
      <c r="H632">
        <v>71</v>
      </c>
      <c r="I632">
        <v>195</v>
      </c>
      <c r="J632">
        <v>2018</v>
      </c>
      <c r="K632" s="4" t="str">
        <f>HYPERLINK("http://legacy.baseballprospectus.com/fantasy/dc/index.php?tm=CIN","CIN")</f>
        <v>CIN</v>
      </c>
      <c r="L632" t="s">
        <v>100</v>
      </c>
      <c r="M632" t="s">
        <v>34</v>
      </c>
      <c r="N632">
        <v>34</v>
      </c>
      <c r="O632">
        <v>161</v>
      </c>
      <c r="P632">
        <v>51</v>
      </c>
      <c r="Q632">
        <v>142</v>
      </c>
      <c r="R632">
        <v>16</v>
      </c>
      <c r="S632">
        <v>24</v>
      </c>
      <c r="T632">
        <v>5</v>
      </c>
      <c r="U632">
        <v>1</v>
      </c>
      <c r="V632">
        <v>2</v>
      </c>
      <c r="W632">
        <v>32</v>
      </c>
      <c r="X632">
        <v>45</v>
      </c>
      <c r="Y632">
        <v>13</v>
      </c>
      <c r="Z632">
        <v>15</v>
      </c>
      <c r="AA632">
        <v>1</v>
      </c>
      <c r="AB632">
        <v>1</v>
      </c>
      <c r="AC632">
        <v>36</v>
      </c>
      <c r="AD632">
        <v>2</v>
      </c>
      <c r="AE632">
        <v>1</v>
      </c>
      <c r="AF632">
        <v>4</v>
      </c>
      <c r="AG632">
        <v>2</v>
      </c>
      <c r="AH632">
        <v>0</v>
      </c>
      <c r="AI632" s="5">
        <v>0.22500000000000001</v>
      </c>
      <c r="AJ632" s="5">
        <v>0.30199999999999999</v>
      </c>
      <c r="AK632" s="5">
        <v>0.317</v>
      </c>
      <c r="AL632" s="5">
        <v>0.222</v>
      </c>
      <c r="AM632" s="5">
        <v>0.28599999999999998</v>
      </c>
      <c r="AN632">
        <v>0.1</v>
      </c>
      <c r="AO632">
        <v>0.95</v>
      </c>
      <c r="AP632">
        <v>4.32</v>
      </c>
      <c r="AQ632">
        <v>-6.42</v>
      </c>
      <c r="AR632">
        <v>1.3</v>
      </c>
      <c r="AS632" t="s">
        <v>4142</v>
      </c>
      <c r="AT632">
        <v>0</v>
      </c>
      <c r="AU632">
        <v>-1</v>
      </c>
      <c r="AV632">
        <v>3</v>
      </c>
      <c r="AW632">
        <v>27</v>
      </c>
      <c r="AX632">
        <v>20</v>
      </c>
      <c r="AY632">
        <v>35</v>
      </c>
      <c r="AZ632" t="s">
        <v>4143</v>
      </c>
      <c r="BA632">
        <v>82</v>
      </c>
      <c r="BB632" t="s">
        <v>35</v>
      </c>
      <c r="BC632" t="s">
        <v>36</v>
      </c>
      <c r="BD632" s="4">
        <f>HYPERLINK("http://mlb.mlb.com/team/player.jsp?player_id=460060",460060)</f>
        <v>460060</v>
      </c>
      <c r="BE632">
        <v>0</v>
      </c>
      <c r="BF632">
        <v>0</v>
      </c>
      <c r="BG632">
        <v>217</v>
      </c>
      <c r="BH632">
        <v>194</v>
      </c>
    </row>
    <row r="633" spans="1:60" x14ac:dyDescent="0.3">
      <c r="A633" s="4">
        <f>HYPERLINK("http://legacy.baseballprospectus.com/p/50910",50910)</f>
        <v>50910</v>
      </c>
      <c r="B633" t="s">
        <v>114</v>
      </c>
      <c r="C633" t="s">
        <v>1224</v>
      </c>
      <c r="D633" s="10">
        <v>32686</v>
      </c>
      <c r="E633" t="s">
        <v>59</v>
      </c>
      <c r="F633" t="s">
        <v>37</v>
      </c>
      <c r="G633" t="s">
        <v>33</v>
      </c>
      <c r="H633">
        <v>69</v>
      </c>
      <c r="I633">
        <v>210</v>
      </c>
      <c r="J633">
        <v>2018</v>
      </c>
      <c r="K633" s="4" t="str">
        <f>HYPERLINK("http://legacy.baseballprospectus.com/fantasy/dc/index.php?tm=CLE","CLE")</f>
        <v>CLE</v>
      </c>
      <c r="L633" t="s">
        <v>95</v>
      </c>
      <c r="M633" t="s">
        <v>34</v>
      </c>
      <c r="N633">
        <v>29</v>
      </c>
      <c r="O633">
        <v>66</v>
      </c>
      <c r="P633">
        <v>19</v>
      </c>
      <c r="Q633">
        <v>59</v>
      </c>
      <c r="R633">
        <v>8</v>
      </c>
      <c r="S633">
        <v>10</v>
      </c>
      <c r="T633">
        <v>3</v>
      </c>
      <c r="U633">
        <v>1</v>
      </c>
      <c r="V633">
        <v>1</v>
      </c>
      <c r="W633">
        <v>15</v>
      </c>
      <c r="X633">
        <v>23</v>
      </c>
      <c r="Y633">
        <v>6</v>
      </c>
      <c r="Z633">
        <v>6</v>
      </c>
      <c r="AA633">
        <v>0</v>
      </c>
      <c r="AB633">
        <v>0</v>
      </c>
      <c r="AC633">
        <v>15</v>
      </c>
      <c r="AD633">
        <v>1</v>
      </c>
      <c r="AE633">
        <v>0</v>
      </c>
      <c r="AF633">
        <v>2</v>
      </c>
      <c r="AG633">
        <v>2</v>
      </c>
      <c r="AH633">
        <v>0</v>
      </c>
      <c r="AI633" s="5">
        <v>0.254</v>
      </c>
      <c r="AJ633" s="5">
        <v>0.32300000000000001</v>
      </c>
      <c r="AK633" s="5">
        <v>0.39</v>
      </c>
      <c r="AL633" s="5">
        <v>0.24399999999999999</v>
      </c>
      <c r="AM633" s="5">
        <v>0.30399999999999999</v>
      </c>
      <c r="AN633">
        <v>0.2</v>
      </c>
      <c r="AO633">
        <v>-0.12</v>
      </c>
      <c r="AP633">
        <v>1.77</v>
      </c>
      <c r="AQ633">
        <v>-1.08</v>
      </c>
      <c r="AR633">
        <v>-1.1000000000000001</v>
      </c>
      <c r="AS633" t="s">
        <v>1014</v>
      </c>
      <c r="AT633">
        <v>0</v>
      </c>
      <c r="AU633">
        <v>0.7</v>
      </c>
      <c r="AV633">
        <v>1</v>
      </c>
      <c r="AW633">
        <v>21</v>
      </c>
      <c r="AX633">
        <v>17</v>
      </c>
      <c r="AY633">
        <v>31</v>
      </c>
      <c r="AZ633" t="s">
        <v>4414</v>
      </c>
      <c r="BA633">
        <v>63</v>
      </c>
      <c r="BB633" t="s">
        <v>35</v>
      </c>
      <c r="BC633" t="s">
        <v>36</v>
      </c>
      <c r="BD633" s="4">
        <f>HYPERLINK("http://mlb.mlb.com/team/player.jsp?player_id=501659",501659)</f>
        <v>501659</v>
      </c>
      <c r="BE633">
        <v>605</v>
      </c>
      <c r="BF633">
        <v>1605</v>
      </c>
      <c r="BG633">
        <v>195</v>
      </c>
      <c r="BH633">
        <v>172</v>
      </c>
    </row>
    <row r="634" spans="1:60" x14ac:dyDescent="0.3">
      <c r="A634" s="4">
        <f>HYPERLINK("http://legacy.baseballprospectus.com/p/70673",70673)</f>
        <v>70673</v>
      </c>
      <c r="B634" t="s">
        <v>532</v>
      </c>
      <c r="C634" t="s">
        <v>814</v>
      </c>
      <c r="D634" s="10">
        <v>33331</v>
      </c>
      <c r="E634" t="s">
        <v>54</v>
      </c>
      <c r="F634" t="s">
        <v>33</v>
      </c>
      <c r="G634" t="s">
        <v>33</v>
      </c>
      <c r="H634">
        <v>73</v>
      </c>
      <c r="I634">
        <v>220</v>
      </c>
      <c r="J634">
        <v>2018</v>
      </c>
      <c r="K634" s="4" t="str">
        <f>HYPERLINK("http://legacy.baseballprospectus.com/fantasy/dc/index.php?tm=COL","COL")</f>
        <v>COL</v>
      </c>
      <c r="L634" t="s">
        <v>100</v>
      </c>
      <c r="M634" t="s">
        <v>34</v>
      </c>
      <c r="N634">
        <v>27</v>
      </c>
      <c r="O634">
        <v>88</v>
      </c>
      <c r="P634">
        <v>46</v>
      </c>
      <c r="Q634">
        <v>81</v>
      </c>
      <c r="R634">
        <v>11</v>
      </c>
      <c r="S634">
        <v>10</v>
      </c>
      <c r="T634">
        <v>4</v>
      </c>
      <c r="U634">
        <v>1</v>
      </c>
      <c r="V634">
        <v>4</v>
      </c>
      <c r="W634">
        <v>19</v>
      </c>
      <c r="X634">
        <v>37</v>
      </c>
      <c r="Y634">
        <v>12</v>
      </c>
      <c r="Z634">
        <v>6</v>
      </c>
      <c r="AA634">
        <v>0</v>
      </c>
      <c r="AB634">
        <v>1</v>
      </c>
      <c r="AC634">
        <v>29</v>
      </c>
      <c r="AD634">
        <v>0</v>
      </c>
      <c r="AE634">
        <v>0</v>
      </c>
      <c r="AF634">
        <v>2</v>
      </c>
      <c r="AG634">
        <v>0</v>
      </c>
      <c r="AH634">
        <v>0</v>
      </c>
      <c r="AI634" s="5">
        <v>0.23499999999999999</v>
      </c>
      <c r="AJ634" s="5">
        <v>0.29499999999999998</v>
      </c>
      <c r="AK634" s="5">
        <v>0.45700000000000002</v>
      </c>
      <c r="AL634" s="5">
        <v>0.248</v>
      </c>
      <c r="AM634" s="5">
        <v>0.312</v>
      </c>
      <c r="AN634">
        <v>-0.1</v>
      </c>
      <c r="AO634">
        <v>0.02</v>
      </c>
      <c r="AP634">
        <v>2.36</v>
      </c>
      <c r="AQ634">
        <v>-1.08</v>
      </c>
      <c r="AR634">
        <v>-1.3</v>
      </c>
      <c r="AS634" t="s">
        <v>60</v>
      </c>
      <c r="AT634">
        <v>0</v>
      </c>
      <c r="AU634">
        <v>1.2</v>
      </c>
      <c r="AV634">
        <v>1</v>
      </c>
      <c r="AW634">
        <v>13</v>
      </c>
      <c r="AX634">
        <v>9</v>
      </c>
      <c r="AY634">
        <v>16</v>
      </c>
      <c r="AZ634" t="s">
        <v>4280</v>
      </c>
      <c r="BA634">
        <v>38</v>
      </c>
      <c r="BB634" t="s">
        <v>35</v>
      </c>
      <c r="BC634" t="s">
        <v>35</v>
      </c>
      <c r="BD634" s="4">
        <f>HYPERLINK("http://mlb.mlb.com/team/player.jsp?player_id=608596",608596)</f>
        <v>608596</v>
      </c>
      <c r="BE634">
        <v>1402</v>
      </c>
      <c r="BF634">
        <v>402</v>
      </c>
      <c r="BG634">
        <v>26</v>
      </c>
      <c r="BH634">
        <v>24</v>
      </c>
    </row>
    <row r="635" spans="1:60" x14ac:dyDescent="0.3">
      <c r="A635" s="4">
        <f>HYPERLINK("http://legacy.baseballprospectus.com/p/68600",68600)</f>
        <v>68600</v>
      </c>
      <c r="B635" t="s">
        <v>450</v>
      </c>
      <c r="C635" t="s">
        <v>321</v>
      </c>
      <c r="D635" s="10">
        <v>33734</v>
      </c>
      <c r="E635" t="s">
        <v>65</v>
      </c>
      <c r="F635" t="s">
        <v>33</v>
      </c>
      <c r="G635" t="s">
        <v>33</v>
      </c>
      <c r="H635">
        <v>74</v>
      </c>
      <c r="I635">
        <v>205</v>
      </c>
      <c r="J635">
        <v>2018</v>
      </c>
      <c r="K635" s="4" t="str">
        <f>HYPERLINK("http://legacy.baseballprospectus.com/fantasy/dc/index.php?tm=DET","DET")</f>
        <v>DET</v>
      </c>
      <c r="L635" t="s">
        <v>95</v>
      </c>
      <c r="M635" t="s">
        <v>34</v>
      </c>
      <c r="N635">
        <v>26</v>
      </c>
      <c r="O635">
        <v>285</v>
      </c>
      <c r="P635">
        <v>88</v>
      </c>
      <c r="Q635">
        <v>258</v>
      </c>
      <c r="R635">
        <v>37</v>
      </c>
      <c r="S635">
        <v>36</v>
      </c>
      <c r="T635">
        <v>11</v>
      </c>
      <c r="U635">
        <v>2</v>
      </c>
      <c r="V635">
        <v>8</v>
      </c>
      <c r="W635">
        <v>57</v>
      </c>
      <c r="X635">
        <v>96</v>
      </c>
      <c r="Y635">
        <v>28</v>
      </c>
      <c r="Z635">
        <v>21</v>
      </c>
      <c r="AA635">
        <v>1</v>
      </c>
      <c r="AB635">
        <v>3</v>
      </c>
      <c r="AC635">
        <v>93</v>
      </c>
      <c r="AD635">
        <v>1</v>
      </c>
      <c r="AE635">
        <v>2</v>
      </c>
      <c r="AF635">
        <v>6</v>
      </c>
      <c r="AG635">
        <v>8</v>
      </c>
      <c r="AH635">
        <v>3</v>
      </c>
      <c r="AI635" s="5">
        <v>0.221</v>
      </c>
      <c r="AJ635" s="5">
        <v>0.28499999999999998</v>
      </c>
      <c r="AK635" s="5">
        <v>0.372</v>
      </c>
      <c r="AL635" s="5">
        <v>0.23</v>
      </c>
      <c r="AM635" s="5">
        <v>0.311</v>
      </c>
      <c r="AN635">
        <v>0.7</v>
      </c>
      <c r="AO635">
        <v>-0.3</v>
      </c>
      <c r="AP635">
        <v>7.65</v>
      </c>
      <c r="AQ635">
        <v>-8.9700000000000006</v>
      </c>
      <c r="AR635">
        <v>0.4</v>
      </c>
      <c r="AS635" t="s">
        <v>4982</v>
      </c>
      <c r="AT635">
        <v>0</v>
      </c>
      <c r="AU635">
        <v>-0.9</v>
      </c>
      <c r="AV635">
        <v>4</v>
      </c>
      <c r="AW635">
        <v>17</v>
      </c>
      <c r="AX635">
        <v>9</v>
      </c>
      <c r="AY635">
        <v>23</v>
      </c>
      <c r="AZ635" t="s">
        <v>4200</v>
      </c>
      <c r="BA635">
        <v>41</v>
      </c>
      <c r="BB635" t="s">
        <v>35</v>
      </c>
      <c r="BC635" t="s">
        <v>36</v>
      </c>
      <c r="BD635" s="4">
        <f>HYPERLINK("http://mlb.mlb.com/team/player.jsp?player_id=592444",592444)</f>
        <v>592444</v>
      </c>
      <c r="BE635">
        <v>611</v>
      </c>
      <c r="BF635">
        <v>1611</v>
      </c>
      <c r="BG635">
        <v>154</v>
      </c>
      <c r="BH635">
        <v>141</v>
      </c>
    </row>
    <row r="636" spans="1:60" x14ac:dyDescent="0.3">
      <c r="A636" s="4">
        <f>HYPERLINK("http://legacy.baseballprospectus.com/p/69538",69538)</f>
        <v>69538</v>
      </c>
      <c r="B636" t="s">
        <v>1364</v>
      </c>
      <c r="C636" t="s">
        <v>1365</v>
      </c>
      <c r="D636" s="10">
        <v>33397</v>
      </c>
      <c r="E636" t="s">
        <v>65</v>
      </c>
      <c r="F636" t="s">
        <v>33</v>
      </c>
      <c r="G636" t="s">
        <v>33</v>
      </c>
      <c r="H636">
        <v>67</v>
      </c>
      <c r="I636">
        <v>165</v>
      </c>
      <c r="J636">
        <v>2018</v>
      </c>
      <c r="K636" s="4" t="str">
        <f>HYPERLINK("http://legacy.baseballprospectus.com/fantasy/dc/index.php?tm=KCA","KCA")</f>
        <v>KCA</v>
      </c>
      <c r="L636" t="s">
        <v>95</v>
      </c>
      <c r="M636" t="s">
        <v>34</v>
      </c>
      <c r="N636">
        <v>27</v>
      </c>
      <c r="O636">
        <v>29</v>
      </c>
      <c r="P636">
        <v>9</v>
      </c>
      <c r="Q636">
        <v>25</v>
      </c>
      <c r="R636">
        <v>4</v>
      </c>
      <c r="S636">
        <v>5</v>
      </c>
      <c r="T636">
        <v>1</v>
      </c>
      <c r="U636">
        <v>0</v>
      </c>
      <c r="V636">
        <v>0</v>
      </c>
      <c r="W636">
        <v>6</v>
      </c>
      <c r="X636">
        <v>7</v>
      </c>
      <c r="Y636">
        <v>2</v>
      </c>
      <c r="Z636">
        <v>2</v>
      </c>
      <c r="AA636">
        <v>0</v>
      </c>
      <c r="AB636">
        <v>0</v>
      </c>
      <c r="AC636">
        <v>7</v>
      </c>
      <c r="AD636">
        <v>1</v>
      </c>
      <c r="AE636">
        <v>0</v>
      </c>
      <c r="AF636">
        <v>1</v>
      </c>
      <c r="AG636">
        <v>3</v>
      </c>
      <c r="AH636">
        <v>0</v>
      </c>
      <c r="AI636" s="5">
        <v>0.24</v>
      </c>
      <c r="AJ636" s="5">
        <v>0.29599999999999999</v>
      </c>
      <c r="AK636" s="5">
        <v>0.28000000000000003</v>
      </c>
      <c r="AL636" s="5">
        <v>0.20699999999999999</v>
      </c>
      <c r="AM636" s="5">
        <v>0.28399999999999997</v>
      </c>
      <c r="AN636">
        <v>0.4</v>
      </c>
      <c r="AO636">
        <v>0.04</v>
      </c>
      <c r="AP636">
        <v>0.78</v>
      </c>
      <c r="AQ636">
        <v>-1.61</v>
      </c>
      <c r="AR636">
        <v>0.3</v>
      </c>
      <c r="AS636" t="s">
        <v>1022</v>
      </c>
      <c r="AT636">
        <v>0</v>
      </c>
      <c r="AU636">
        <v>-0.3</v>
      </c>
      <c r="AV636">
        <v>4</v>
      </c>
      <c r="AW636">
        <v>10</v>
      </c>
      <c r="AX636">
        <v>2</v>
      </c>
      <c r="AY636">
        <v>9</v>
      </c>
      <c r="AZ636" t="s">
        <v>4334</v>
      </c>
      <c r="BA636">
        <v>15</v>
      </c>
      <c r="BB636" t="s">
        <v>35</v>
      </c>
      <c r="BC636" t="s">
        <v>35</v>
      </c>
      <c r="BD636" s="4">
        <f>HYPERLINK("http://mlb.mlb.com/team/player.jsp?player_id=605253",605253)</f>
        <v>605253</v>
      </c>
      <c r="BE636">
        <v>0</v>
      </c>
      <c r="BF636">
        <v>0</v>
      </c>
      <c r="BG636">
        <v>5</v>
      </c>
      <c r="BH636">
        <v>4</v>
      </c>
    </row>
    <row r="637" spans="1:60" x14ac:dyDescent="0.3">
      <c r="A637" s="4">
        <f>HYPERLINK("http://legacy.baseballprospectus.com/p/68483",68483)</f>
        <v>68483</v>
      </c>
      <c r="B637" t="s">
        <v>5008</v>
      </c>
      <c r="C637" t="s">
        <v>192</v>
      </c>
      <c r="D637" s="10">
        <v>33104</v>
      </c>
      <c r="E637" t="s">
        <v>53</v>
      </c>
      <c r="F637" t="s">
        <v>9</v>
      </c>
      <c r="G637" t="s">
        <v>33</v>
      </c>
      <c r="H637">
        <v>66</v>
      </c>
      <c r="I637">
        <v>155</v>
      </c>
      <c r="J637">
        <v>2018</v>
      </c>
      <c r="K637" s="4" t="str">
        <f>HYPERLINK("http://legacy.baseballprospectus.com/fantasy/dc/index.php?tm=MIA","MIA")</f>
        <v>MIA</v>
      </c>
      <c r="L637" t="s">
        <v>100</v>
      </c>
      <c r="M637" t="s">
        <v>34</v>
      </c>
      <c r="N637">
        <v>27</v>
      </c>
      <c r="O637">
        <v>61</v>
      </c>
      <c r="P637">
        <v>19</v>
      </c>
      <c r="Q637">
        <v>55</v>
      </c>
      <c r="R637">
        <v>6</v>
      </c>
      <c r="S637">
        <v>9</v>
      </c>
      <c r="T637">
        <v>2</v>
      </c>
      <c r="U637">
        <v>0</v>
      </c>
      <c r="V637">
        <v>1</v>
      </c>
      <c r="W637">
        <v>12</v>
      </c>
      <c r="X637">
        <v>17</v>
      </c>
      <c r="Y637">
        <v>5</v>
      </c>
      <c r="Z637">
        <v>5</v>
      </c>
      <c r="AA637">
        <v>0</v>
      </c>
      <c r="AB637">
        <v>0</v>
      </c>
      <c r="AC637">
        <v>10</v>
      </c>
      <c r="AD637">
        <v>0</v>
      </c>
      <c r="AE637">
        <v>0</v>
      </c>
      <c r="AF637">
        <v>2</v>
      </c>
      <c r="AG637">
        <v>0</v>
      </c>
      <c r="AH637">
        <v>0</v>
      </c>
      <c r="AI637" s="5">
        <v>0.218</v>
      </c>
      <c r="AJ637" s="5">
        <v>0.28299999999999997</v>
      </c>
      <c r="AK637" s="5">
        <v>0.309</v>
      </c>
      <c r="AL637" s="5">
        <v>0.22800000000000001</v>
      </c>
      <c r="AM637" s="5">
        <v>0.26100000000000001</v>
      </c>
      <c r="AN637">
        <v>-0.1</v>
      </c>
      <c r="AO637">
        <v>0.42</v>
      </c>
      <c r="AP637">
        <v>1.64</v>
      </c>
      <c r="AQ637">
        <v>-2.02</v>
      </c>
      <c r="AR637">
        <v>0.3</v>
      </c>
      <c r="AS637" t="s">
        <v>61</v>
      </c>
      <c r="AT637">
        <v>0</v>
      </c>
      <c r="AU637">
        <v>-0.1</v>
      </c>
      <c r="AV637">
        <v>5</v>
      </c>
      <c r="AW637">
        <v>5</v>
      </c>
      <c r="AX637">
        <v>3</v>
      </c>
      <c r="AY637">
        <v>9</v>
      </c>
      <c r="AZ637" t="s">
        <v>5009</v>
      </c>
      <c r="BA637">
        <v>17</v>
      </c>
      <c r="BB637" t="s">
        <v>35</v>
      </c>
      <c r="BC637" t="s">
        <v>35</v>
      </c>
      <c r="BD637" s="4">
        <f>HYPERLINK("http://mlb.mlb.com/team/player.jsp?player_id=573041",573041)</f>
        <v>573041</v>
      </c>
      <c r="BE637">
        <v>0</v>
      </c>
      <c r="BF637">
        <v>0</v>
      </c>
      <c r="BG637">
        <v>0</v>
      </c>
      <c r="BH637">
        <v>0</v>
      </c>
    </row>
    <row r="638" spans="1:60" x14ac:dyDescent="0.3">
      <c r="A638" s="4">
        <f>HYPERLINK("http://legacy.baseballprospectus.com/p/68982",68982)</f>
        <v>68982</v>
      </c>
      <c r="B638" t="s">
        <v>4338</v>
      </c>
      <c r="C638" t="s">
        <v>713</v>
      </c>
      <c r="D638" s="10">
        <v>33546</v>
      </c>
      <c r="E638" t="s">
        <v>54</v>
      </c>
      <c r="F638" t="s">
        <v>33</v>
      </c>
      <c r="G638" t="s">
        <v>33</v>
      </c>
      <c r="H638">
        <v>75</v>
      </c>
      <c r="I638">
        <v>230</v>
      </c>
      <c r="J638">
        <v>2018</v>
      </c>
      <c r="K638" s="4" t="str">
        <f>HYPERLINK("http://legacy.baseballprospectus.com/fantasy/dc/index.php?tm=MIA","MIA")</f>
        <v>MIA</v>
      </c>
      <c r="L638" t="s">
        <v>100</v>
      </c>
      <c r="M638" t="s">
        <v>34</v>
      </c>
      <c r="N638">
        <v>26</v>
      </c>
      <c r="O638">
        <v>32</v>
      </c>
      <c r="P638">
        <v>10</v>
      </c>
      <c r="Q638">
        <v>29</v>
      </c>
      <c r="R638">
        <v>3</v>
      </c>
      <c r="S638">
        <v>4</v>
      </c>
      <c r="T638">
        <v>1</v>
      </c>
      <c r="U638">
        <v>0</v>
      </c>
      <c r="V638">
        <v>1</v>
      </c>
      <c r="W638">
        <v>6</v>
      </c>
      <c r="X638">
        <v>10</v>
      </c>
      <c r="Y638">
        <v>3</v>
      </c>
      <c r="Z638">
        <v>3</v>
      </c>
      <c r="AA638">
        <v>0</v>
      </c>
      <c r="AB638">
        <v>0</v>
      </c>
      <c r="AC638">
        <v>8</v>
      </c>
      <c r="AD638">
        <v>0</v>
      </c>
      <c r="AE638">
        <v>0</v>
      </c>
      <c r="AF638">
        <v>1</v>
      </c>
      <c r="AG638">
        <v>0</v>
      </c>
      <c r="AH638">
        <v>0</v>
      </c>
      <c r="AI638" s="5">
        <v>0.20699999999999999</v>
      </c>
      <c r="AJ638" s="5">
        <v>0.28100000000000003</v>
      </c>
      <c r="AK638" s="5">
        <v>0.34499999999999997</v>
      </c>
      <c r="AL638" s="5">
        <v>0.23799999999999999</v>
      </c>
      <c r="AM638" s="5">
        <v>0.27</v>
      </c>
      <c r="AN638">
        <v>-0.1</v>
      </c>
      <c r="AO638">
        <v>0.24</v>
      </c>
      <c r="AP638">
        <v>0.86</v>
      </c>
      <c r="AQ638">
        <v>-0.72</v>
      </c>
      <c r="AR638">
        <v>-0.2</v>
      </c>
      <c r="AS638" t="s">
        <v>55</v>
      </c>
      <c r="AT638">
        <v>0</v>
      </c>
      <c r="AU638">
        <v>0.3</v>
      </c>
      <c r="AV638">
        <v>2</v>
      </c>
      <c r="AW638">
        <v>10</v>
      </c>
      <c r="AX638">
        <v>9</v>
      </c>
      <c r="AY638">
        <v>23</v>
      </c>
      <c r="AZ638" t="s">
        <v>4339</v>
      </c>
      <c r="BA638">
        <v>40</v>
      </c>
      <c r="BB638" t="s">
        <v>35</v>
      </c>
      <c r="BC638" t="s">
        <v>35</v>
      </c>
      <c r="BD638" s="4">
        <f>HYPERLINK("http://mlb.mlb.com/team/player.jsp?player_id=595453",595453)</f>
        <v>595453</v>
      </c>
      <c r="BE638">
        <v>1407</v>
      </c>
      <c r="BF638">
        <v>407</v>
      </c>
      <c r="BG638">
        <v>11</v>
      </c>
      <c r="BH638">
        <v>11</v>
      </c>
    </row>
    <row r="639" spans="1:60" x14ac:dyDescent="0.3">
      <c r="A639" s="4">
        <f>HYPERLINK("http://legacy.baseballprospectus.com/p/69158",69158)</f>
        <v>69158</v>
      </c>
      <c r="B639" t="s">
        <v>1356</v>
      </c>
      <c r="C639" t="s">
        <v>1357</v>
      </c>
      <c r="D639" s="10">
        <v>32958</v>
      </c>
      <c r="E639" t="s">
        <v>54</v>
      </c>
      <c r="F639" t="s">
        <v>33</v>
      </c>
      <c r="G639" t="s">
        <v>33</v>
      </c>
      <c r="H639">
        <v>76</v>
      </c>
      <c r="I639">
        <v>235</v>
      </c>
      <c r="J639">
        <v>2018</v>
      </c>
      <c r="K639" s="4" t="str">
        <f>HYPERLINK("http://legacy.baseballprospectus.com/fantasy/dc/index.php?tm=MIL","MIL")</f>
        <v>MIL</v>
      </c>
      <c r="L639" t="s">
        <v>100</v>
      </c>
      <c r="M639" t="s">
        <v>34</v>
      </c>
      <c r="N639">
        <v>28</v>
      </c>
      <c r="O639">
        <v>130</v>
      </c>
      <c r="P639">
        <v>39</v>
      </c>
      <c r="Q639">
        <v>118</v>
      </c>
      <c r="R639">
        <v>15</v>
      </c>
      <c r="S639">
        <v>18</v>
      </c>
      <c r="T639">
        <v>6</v>
      </c>
      <c r="U639">
        <v>0</v>
      </c>
      <c r="V639">
        <v>4</v>
      </c>
      <c r="W639">
        <v>28</v>
      </c>
      <c r="X639">
        <v>46</v>
      </c>
      <c r="Y639">
        <v>15</v>
      </c>
      <c r="Z639">
        <v>7</v>
      </c>
      <c r="AA639">
        <v>0</v>
      </c>
      <c r="AB639">
        <v>3</v>
      </c>
      <c r="AC639">
        <v>28</v>
      </c>
      <c r="AD639">
        <v>0</v>
      </c>
      <c r="AE639">
        <v>1</v>
      </c>
      <c r="AF639">
        <v>4</v>
      </c>
      <c r="AG639">
        <v>1</v>
      </c>
      <c r="AH639">
        <v>0</v>
      </c>
      <c r="AI639" s="5">
        <v>0.23699999999999999</v>
      </c>
      <c r="AJ639" s="5">
        <v>0.29499999999999998</v>
      </c>
      <c r="AK639" s="5">
        <v>0.39</v>
      </c>
      <c r="AL639" s="5">
        <v>0.24199999999999999</v>
      </c>
      <c r="AM639" s="5">
        <v>0.27400000000000002</v>
      </c>
      <c r="AN639">
        <v>-0.2</v>
      </c>
      <c r="AO639">
        <v>0.99</v>
      </c>
      <c r="AP639">
        <v>3.49</v>
      </c>
      <c r="AQ639">
        <v>-2.39</v>
      </c>
      <c r="AR639">
        <v>-2.2000000000000002</v>
      </c>
      <c r="AS639" t="s">
        <v>1222</v>
      </c>
      <c r="AT639">
        <v>0</v>
      </c>
      <c r="AU639">
        <v>1.8</v>
      </c>
      <c r="AV639">
        <v>8</v>
      </c>
      <c r="AW639">
        <v>33</v>
      </c>
      <c r="AX639">
        <v>12</v>
      </c>
      <c r="AY639">
        <v>36</v>
      </c>
      <c r="AZ639" t="s">
        <v>4340</v>
      </c>
      <c r="BA639">
        <v>80</v>
      </c>
      <c r="BB639" t="s">
        <v>35</v>
      </c>
      <c r="BC639" t="s">
        <v>36</v>
      </c>
      <c r="BD639" s="4">
        <f>HYPERLINK("http://mlb.mlb.com/team/player.jsp?player_id=542908",542908)</f>
        <v>542908</v>
      </c>
      <c r="BE639">
        <v>1392</v>
      </c>
      <c r="BF639">
        <v>392</v>
      </c>
      <c r="BG639">
        <v>188</v>
      </c>
      <c r="BH639">
        <v>169</v>
      </c>
    </row>
    <row r="640" spans="1:60" x14ac:dyDescent="0.3">
      <c r="A640" s="4">
        <f>HYPERLINK("http://legacy.baseballprospectus.com/p/59021",59021)</f>
        <v>59021</v>
      </c>
      <c r="B640" t="s">
        <v>568</v>
      </c>
      <c r="C640" t="s">
        <v>570</v>
      </c>
      <c r="D640" s="10">
        <v>33323</v>
      </c>
      <c r="E640" t="s">
        <v>58</v>
      </c>
      <c r="F640" t="s">
        <v>33</v>
      </c>
      <c r="G640" t="s">
        <v>33</v>
      </c>
      <c r="H640">
        <v>73</v>
      </c>
      <c r="I640">
        <v>215</v>
      </c>
      <c r="J640">
        <v>2018</v>
      </c>
      <c r="K640" s="4" t="str">
        <f>HYPERLINK("http://legacy.baseballprospectus.com/fantasy/dc/index.php?tm=MIL","MIL")</f>
        <v>MIL</v>
      </c>
      <c r="L640" t="s">
        <v>100</v>
      </c>
      <c r="M640" t="s">
        <v>34</v>
      </c>
      <c r="N640">
        <v>27</v>
      </c>
      <c r="O640">
        <v>257</v>
      </c>
      <c r="P640">
        <v>87</v>
      </c>
      <c r="Q640">
        <v>243</v>
      </c>
      <c r="R640">
        <v>29</v>
      </c>
      <c r="S640">
        <v>44</v>
      </c>
      <c r="T640">
        <v>12</v>
      </c>
      <c r="U640">
        <v>2</v>
      </c>
      <c r="V640">
        <v>5</v>
      </c>
      <c r="W640">
        <v>63</v>
      </c>
      <c r="X640">
        <v>94</v>
      </c>
      <c r="Y640">
        <v>26</v>
      </c>
      <c r="Z640">
        <v>10</v>
      </c>
      <c r="AA640">
        <v>1</v>
      </c>
      <c r="AB640">
        <v>1</v>
      </c>
      <c r="AC640">
        <v>46</v>
      </c>
      <c r="AD640">
        <v>2</v>
      </c>
      <c r="AE640">
        <v>1</v>
      </c>
      <c r="AF640">
        <v>6</v>
      </c>
      <c r="AG640">
        <v>11</v>
      </c>
      <c r="AH640">
        <v>3</v>
      </c>
      <c r="AI640" s="5">
        <v>0.25900000000000001</v>
      </c>
      <c r="AJ640" s="5">
        <v>0.28999999999999998</v>
      </c>
      <c r="AK640" s="5">
        <v>0.38700000000000001</v>
      </c>
      <c r="AL640" s="5">
        <v>0.23100000000000001</v>
      </c>
      <c r="AM640" s="5">
        <v>0.29299999999999998</v>
      </c>
      <c r="AN640">
        <v>1.3</v>
      </c>
      <c r="AO640">
        <v>0.65</v>
      </c>
      <c r="AP640">
        <v>6.9</v>
      </c>
      <c r="AQ640">
        <v>-7.74</v>
      </c>
      <c r="AR640">
        <v>-1.2</v>
      </c>
      <c r="AS640" t="s">
        <v>3692</v>
      </c>
      <c r="AT640">
        <v>0</v>
      </c>
      <c r="AU640">
        <v>1.1000000000000001</v>
      </c>
      <c r="AV640">
        <v>8</v>
      </c>
      <c r="AW640">
        <v>29</v>
      </c>
      <c r="AX640">
        <v>11</v>
      </c>
      <c r="AY640">
        <v>24</v>
      </c>
      <c r="AZ640" t="s">
        <v>4341</v>
      </c>
      <c r="BA640">
        <v>74</v>
      </c>
      <c r="BB640" t="s">
        <v>35</v>
      </c>
      <c r="BC640" t="s">
        <v>36</v>
      </c>
      <c r="BD640" s="4">
        <f>HYPERLINK("http://mlb.mlb.com/team/player.jsp?player_id=541650",541650)</f>
        <v>541650</v>
      </c>
      <c r="BE640">
        <v>1498</v>
      </c>
      <c r="BF640">
        <v>498</v>
      </c>
      <c r="BG640">
        <v>458</v>
      </c>
      <c r="BH640">
        <v>432</v>
      </c>
    </row>
    <row r="641" spans="1:60" x14ac:dyDescent="0.3">
      <c r="A641" s="4">
        <f>HYPERLINK("http://legacy.baseballprospectus.com/p/46027",46027)</f>
        <v>46027</v>
      </c>
      <c r="B641" t="s">
        <v>320</v>
      </c>
      <c r="C641" t="s">
        <v>321</v>
      </c>
      <c r="D641" s="10">
        <v>30570</v>
      </c>
      <c r="E641" t="s">
        <v>65</v>
      </c>
      <c r="F641" t="s">
        <v>9</v>
      </c>
      <c r="G641" t="s">
        <v>9</v>
      </c>
      <c r="H641">
        <v>73</v>
      </c>
      <c r="I641">
        <v>195</v>
      </c>
      <c r="J641">
        <v>2018</v>
      </c>
      <c r="K641" s="4" t="str">
        <f>HYPERLINK("http://legacy.baseballprospectus.com/fantasy/dc/index.php?tm=NYA","NYA")</f>
        <v>NYA</v>
      </c>
      <c r="L641" t="s">
        <v>95</v>
      </c>
      <c r="M641" t="s">
        <v>34</v>
      </c>
      <c r="N641">
        <v>34</v>
      </c>
      <c r="O641">
        <v>181</v>
      </c>
      <c r="P641">
        <v>43</v>
      </c>
      <c r="Q641">
        <v>164</v>
      </c>
      <c r="R641">
        <v>23</v>
      </c>
      <c r="S641">
        <v>31</v>
      </c>
      <c r="T641">
        <v>7</v>
      </c>
      <c r="U641">
        <v>1</v>
      </c>
      <c r="V641">
        <v>3</v>
      </c>
      <c r="W641">
        <v>42</v>
      </c>
      <c r="X641">
        <v>60</v>
      </c>
      <c r="Y641">
        <v>15</v>
      </c>
      <c r="Z641">
        <v>14</v>
      </c>
      <c r="AA641">
        <v>1</v>
      </c>
      <c r="AB641">
        <v>1</v>
      </c>
      <c r="AC641">
        <v>29</v>
      </c>
      <c r="AD641">
        <v>1</v>
      </c>
      <c r="AE641">
        <v>1</v>
      </c>
      <c r="AF641">
        <v>4</v>
      </c>
      <c r="AG641">
        <v>7</v>
      </c>
      <c r="AH641">
        <v>2</v>
      </c>
      <c r="AI641" s="5">
        <v>0.25600000000000001</v>
      </c>
      <c r="AJ641" s="5">
        <v>0.317</v>
      </c>
      <c r="AK641" s="5">
        <v>0.36599999999999999</v>
      </c>
      <c r="AL641" s="5">
        <v>0.246</v>
      </c>
      <c r="AM641" s="5">
        <v>0.29499999999999998</v>
      </c>
      <c r="AN641">
        <v>0.8</v>
      </c>
      <c r="AO641">
        <v>0.04</v>
      </c>
      <c r="AP641">
        <v>4.8600000000000003</v>
      </c>
      <c r="AQ641">
        <v>-2.72</v>
      </c>
      <c r="AR641">
        <v>-2.5</v>
      </c>
      <c r="AS641" t="s">
        <v>4288</v>
      </c>
      <c r="AT641">
        <v>0</v>
      </c>
      <c r="AU641">
        <v>3</v>
      </c>
      <c r="AV641">
        <v>1</v>
      </c>
      <c r="AW641">
        <v>33</v>
      </c>
      <c r="AX641">
        <v>8</v>
      </c>
      <c r="AY641">
        <v>18</v>
      </c>
      <c r="AZ641" t="s">
        <v>4289</v>
      </c>
      <c r="BA641">
        <v>86</v>
      </c>
      <c r="BB641" t="s">
        <v>35</v>
      </c>
      <c r="BC641" t="s">
        <v>36</v>
      </c>
      <c r="BD641" s="4">
        <f>HYPERLINK("http://mlb.mlb.com/team/player.jsp?player_id=453056",453056)</f>
        <v>453056</v>
      </c>
      <c r="BE641">
        <v>590</v>
      </c>
      <c r="BF641">
        <v>1590</v>
      </c>
      <c r="BG641">
        <v>409</v>
      </c>
      <c r="BH641">
        <v>356</v>
      </c>
    </row>
    <row r="642" spans="1:60" x14ac:dyDescent="0.3">
      <c r="A642" s="4">
        <f>HYPERLINK("http://legacy.baseballprospectus.com/p/50845",50845)</f>
        <v>50845</v>
      </c>
      <c r="B642" t="s">
        <v>467</v>
      </c>
      <c r="C642" t="s">
        <v>314</v>
      </c>
      <c r="D642" s="10">
        <v>32584</v>
      </c>
      <c r="E642" t="s">
        <v>65</v>
      </c>
      <c r="F642" t="s">
        <v>33</v>
      </c>
      <c r="G642" t="s">
        <v>33</v>
      </c>
      <c r="H642">
        <v>73</v>
      </c>
      <c r="I642">
        <v>215</v>
      </c>
      <c r="J642">
        <v>2018</v>
      </c>
      <c r="K642" s="4" t="str">
        <f>HYPERLINK("http://legacy.baseballprospectus.com/fantasy/dc/index.php?tm=NYN","NYN")</f>
        <v>NYN</v>
      </c>
      <c r="L642" t="s">
        <v>100</v>
      </c>
      <c r="M642" t="s">
        <v>34</v>
      </c>
      <c r="N642">
        <v>29</v>
      </c>
      <c r="O642">
        <v>284</v>
      </c>
      <c r="P642">
        <v>83</v>
      </c>
      <c r="Q642">
        <v>264</v>
      </c>
      <c r="R642">
        <v>32</v>
      </c>
      <c r="S642">
        <v>48</v>
      </c>
      <c r="T642">
        <v>13</v>
      </c>
      <c r="U642">
        <v>2</v>
      </c>
      <c r="V642">
        <v>4</v>
      </c>
      <c r="W642">
        <v>67</v>
      </c>
      <c r="X642">
        <v>96</v>
      </c>
      <c r="Y642">
        <v>24</v>
      </c>
      <c r="Z642">
        <v>13</v>
      </c>
      <c r="AA642">
        <v>1</v>
      </c>
      <c r="AB642">
        <v>3</v>
      </c>
      <c r="AC642">
        <v>56</v>
      </c>
      <c r="AD642">
        <v>2</v>
      </c>
      <c r="AE642">
        <v>2</v>
      </c>
      <c r="AF642">
        <v>6</v>
      </c>
      <c r="AG642">
        <v>6</v>
      </c>
      <c r="AH642">
        <v>3</v>
      </c>
      <c r="AI642" s="5">
        <v>0.254</v>
      </c>
      <c r="AJ642" s="5">
        <v>0.29399999999999998</v>
      </c>
      <c r="AK642" s="5">
        <v>0.36399999999999999</v>
      </c>
      <c r="AL642" s="5">
        <v>0.23599999999999999</v>
      </c>
      <c r="AM642" s="5">
        <v>0.30499999999999999</v>
      </c>
      <c r="AN642">
        <v>0.3</v>
      </c>
      <c r="AO642">
        <v>0.41</v>
      </c>
      <c r="AP642">
        <v>7.62</v>
      </c>
      <c r="AQ642">
        <v>-7.27</v>
      </c>
      <c r="AR642">
        <v>-1.1000000000000001</v>
      </c>
      <c r="AS642" t="s">
        <v>72</v>
      </c>
      <c r="AT642">
        <v>0</v>
      </c>
      <c r="AU642">
        <v>1</v>
      </c>
      <c r="AV642">
        <v>1</v>
      </c>
      <c r="AW642">
        <v>44</v>
      </c>
      <c r="AX642">
        <v>9</v>
      </c>
      <c r="AY642">
        <v>17</v>
      </c>
      <c r="AZ642" t="s">
        <v>4343</v>
      </c>
      <c r="BA642">
        <v>91</v>
      </c>
      <c r="BB642" t="s">
        <v>35</v>
      </c>
      <c r="BC642" t="s">
        <v>36</v>
      </c>
      <c r="BD642" s="4">
        <f>HYPERLINK("http://mlb.mlb.com/team/player.jsp?player_id=501571",501571)</f>
        <v>501571</v>
      </c>
      <c r="BE642">
        <v>1615</v>
      </c>
      <c r="BF642">
        <v>615</v>
      </c>
      <c r="BG642">
        <v>272</v>
      </c>
      <c r="BH642">
        <v>252</v>
      </c>
    </row>
    <row r="643" spans="1:60" x14ac:dyDescent="0.3">
      <c r="A643" s="4">
        <f>HYPERLINK("http://legacy.baseballprospectus.com/p/47910",47910)</f>
        <v>47910</v>
      </c>
      <c r="B643" t="s">
        <v>478</v>
      </c>
      <c r="C643" t="s">
        <v>119</v>
      </c>
      <c r="D643" s="10">
        <v>30976</v>
      </c>
      <c r="E643" t="s">
        <v>54</v>
      </c>
      <c r="F643" t="s">
        <v>37</v>
      </c>
      <c r="G643" t="s">
        <v>33</v>
      </c>
      <c r="H643">
        <v>73</v>
      </c>
      <c r="I643">
        <v>205</v>
      </c>
      <c r="J643">
        <v>2018</v>
      </c>
      <c r="K643" s="4" t="str">
        <f>HYPERLINK("http://legacy.baseballprospectus.com/fantasy/dc/index.php?tm=NYN","NYN")</f>
        <v>NYN</v>
      </c>
      <c r="L643" t="s">
        <v>100</v>
      </c>
      <c r="M643" t="s">
        <v>34</v>
      </c>
      <c r="N643">
        <v>33</v>
      </c>
      <c r="O643">
        <v>64</v>
      </c>
      <c r="P643">
        <v>19</v>
      </c>
      <c r="Q643">
        <v>57</v>
      </c>
      <c r="R643">
        <v>6</v>
      </c>
      <c r="S643">
        <v>9</v>
      </c>
      <c r="T643">
        <v>2</v>
      </c>
      <c r="U643">
        <v>0</v>
      </c>
      <c r="V643">
        <v>1</v>
      </c>
      <c r="W643">
        <v>12</v>
      </c>
      <c r="X643">
        <v>17</v>
      </c>
      <c r="Y643">
        <v>6</v>
      </c>
      <c r="Z643">
        <v>6</v>
      </c>
      <c r="AA643">
        <v>0</v>
      </c>
      <c r="AB643">
        <v>0</v>
      </c>
      <c r="AC643">
        <v>15</v>
      </c>
      <c r="AD643">
        <v>0</v>
      </c>
      <c r="AE643">
        <v>0</v>
      </c>
      <c r="AF643">
        <v>2</v>
      </c>
      <c r="AG643">
        <v>0</v>
      </c>
      <c r="AH643">
        <v>0</v>
      </c>
      <c r="AI643" s="5">
        <v>0.21099999999999999</v>
      </c>
      <c r="AJ643" s="5">
        <v>0.28599999999999998</v>
      </c>
      <c r="AK643" s="5">
        <v>0.29799999999999999</v>
      </c>
      <c r="AL643" s="5">
        <v>0.22700000000000001</v>
      </c>
      <c r="AM643" s="5">
        <v>0.27200000000000002</v>
      </c>
      <c r="AN643">
        <v>-0.1</v>
      </c>
      <c r="AO643">
        <v>0.49</v>
      </c>
      <c r="AP643">
        <v>1.72</v>
      </c>
      <c r="AQ643">
        <v>-2.19</v>
      </c>
      <c r="AR643">
        <v>0</v>
      </c>
      <c r="AS643" t="s">
        <v>55</v>
      </c>
      <c r="AT643">
        <v>0</v>
      </c>
      <c r="AU643">
        <v>-0.1</v>
      </c>
      <c r="AV643">
        <v>3</v>
      </c>
      <c r="AW643">
        <v>39</v>
      </c>
      <c r="AX643">
        <v>8</v>
      </c>
      <c r="AY643">
        <v>24</v>
      </c>
      <c r="AZ643" t="s">
        <v>4344</v>
      </c>
      <c r="BA643">
        <v>90</v>
      </c>
      <c r="BB643" t="s">
        <v>35</v>
      </c>
      <c r="BC643" t="s">
        <v>36</v>
      </c>
      <c r="BD643" s="4">
        <f>HYPERLINK("http://mlb.mlb.com/team/player.jsp?player_id=446653",446653)</f>
        <v>446653</v>
      </c>
      <c r="BE643">
        <v>0</v>
      </c>
      <c r="BF643">
        <v>0</v>
      </c>
      <c r="BG643">
        <v>158</v>
      </c>
      <c r="BH643">
        <v>141</v>
      </c>
    </row>
    <row r="644" spans="1:60" x14ac:dyDescent="0.3">
      <c r="A644" s="4">
        <f>HYPERLINK("http://legacy.baseballprospectus.com/p/70210",70210)</f>
        <v>70210</v>
      </c>
      <c r="B644" t="s">
        <v>602</v>
      </c>
      <c r="C644" t="s">
        <v>1175</v>
      </c>
      <c r="D644" s="10">
        <v>32443</v>
      </c>
      <c r="E644" t="s">
        <v>50</v>
      </c>
      <c r="F644" t="s">
        <v>33</v>
      </c>
      <c r="G644" t="s">
        <v>33</v>
      </c>
      <c r="H644">
        <v>73</v>
      </c>
      <c r="I644">
        <v>203</v>
      </c>
      <c r="J644">
        <v>2018</v>
      </c>
      <c r="K644" s="4" t="str">
        <f>HYPERLINK("http://legacy.baseballprospectus.com/fantasy/dc/index.php?tm=NYN","NYN")</f>
        <v>NYN</v>
      </c>
      <c r="L644" t="s">
        <v>100</v>
      </c>
      <c r="M644" t="s">
        <v>34</v>
      </c>
      <c r="N644">
        <v>29</v>
      </c>
      <c r="O644">
        <v>66</v>
      </c>
      <c r="P644">
        <v>19</v>
      </c>
      <c r="Q644">
        <v>62</v>
      </c>
      <c r="R644">
        <v>7</v>
      </c>
      <c r="S644">
        <v>12</v>
      </c>
      <c r="T644">
        <v>3</v>
      </c>
      <c r="U644">
        <v>0</v>
      </c>
      <c r="V644">
        <v>2</v>
      </c>
      <c r="W644">
        <v>17</v>
      </c>
      <c r="X644">
        <v>26</v>
      </c>
      <c r="Y644">
        <v>8</v>
      </c>
      <c r="Z644">
        <v>3</v>
      </c>
      <c r="AA644">
        <v>0</v>
      </c>
      <c r="AB644">
        <v>1</v>
      </c>
      <c r="AC644">
        <v>11</v>
      </c>
      <c r="AD644">
        <v>0</v>
      </c>
      <c r="AE644">
        <v>0</v>
      </c>
      <c r="AF644">
        <v>2</v>
      </c>
      <c r="AG644">
        <v>0</v>
      </c>
      <c r="AH644">
        <v>0</v>
      </c>
      <c r="AI644" s="5">
        <v>0.27400000000000002</v>
      </c>
      <c r="AJ644" s="5">
        <v>0.318</v>
      </c>
      <c r="AK644" s="5">
        <v>0.41899999999999998</v>
      </c>
      <c r="AL644" s="5">
        <v>0.26</v>
      </c>
      <c r="AM644" s="5">
        <v>0.313</v>
      </c>
      <c r="AN644">
        <v>-0.1</v>
      </c>
      <c r="AO644">
        <v>-0.76</v>
      </c>
      <c r="AP644">
        <v>1.77</v>
      </c>
      <c r="AQ644">
        <v>0.01</v>
      </c>
      <c r="AR644">
        <v>-0.5</v>
      </c>
      <c r="AS644" t="s">
        <v>64</v>
      </c>
      <c r="AT644">
        <v>0</v>
      </c>
      <c r="AU644">
        <v>0.9</v>
      </c>
      <c r="AV644">
        <v>1</v>
      </c>
      <c r="AW644">
        <v>16</v>
      </c>
      <c r="AX644">
        <v>9</v>
      </c>
      <c r="AY644">
        <v>23</v>
      </c>
      <c r="AZ644" t="s">
        <v>4345</v>
      </c>
      <c r="BA644">
        <v>50</v>
      </c>
      <c r="BB644" t="s">
        <v>35</v>
      </c>
      <c r="BC644" t="s">
        <v>36</v>
      </c>
      <c r="BD644" s="4">
        <f>HYPERLINK("http://mlb.mlb.com/team/player.jsp?player_id=608061",608061)</f>
        <v>608061</v>
      </c>
      <c r="BE644">
        <v>1501</v>
      </c>
      <c r="BF644">
        <v>501</v>
      </c>
      <c r="BG644">
        <v>231</v>
      </c>
      <c r="BH644">
        <v>214</v>
      </c>
    </row>
    <row r="645" spans="1:60" x14ac:dyDescent="0.3">
      <c r="A645" s="4">
        <f>HYPERLINK("http://legacy.baseballprospectus.com/p/60649",60649)</f>
        <v>60649</v>
      </c>
      <c r="B645" t="s">
        <v>572</v>
      </c>
      <c r="C645" t="s">
        <v>150</v>
      </c>
      <c r="D645" s="10">
        <v>32185</v>
      </c>
      <c r="E645" t="s">
        <v>54</v>
      </c>
      <c r="F645" t="s">
        <v>33</v>
      </c>
      <c r="G645" t="s">
        <v>33</v>
      </c>
      <c r="H645">
        <v>70</v>
      </c>
      <c r="I645">
        <v>230</v>
      </c>
      <c r="J645">
        <v>2018</v>
      </c>
      <c r="K645" s="4" t="str">
        <f>HYPERLINK("http://legacy.baseballprospectus.com/fantasy/dc/index.php?tm=OAK","OAK")</f>
        <v>OAK</v>
      </c>
      <c r="L645" t="s">
        <v>95</v>
      </c>
      <c r="M645" t="s">
        <v>34</v>
      </c>
      <c r="N645">
        <v>30</v>
      </c>
      <c r="O645">
        <v>129</v>
      </c>
      <c r="P645">
        <v>39</v>
      </c>
      <c r="Q645">
        <v>119</v>
      </c>
      <c r="R645">
        <v>14</v>
      </c>
      <c r="S645">
        <v>17</v>
      </c>
      <c r="T645">
        <v>7</v>
      </c>
      <c r="U645">
        <v>1</v>
      </c>
      <c r="V645">
        <v>5</v>
      </c>
      <c r="W645">
        <v>30</v>
      </c>
      <c r="X645">
        <v>54</v>
      </c>
      <c r="Y645">
        <v>17</v>
      </c>
      <c r="Z645">
        <v>7</v>
      </c>
      <c r="AA645">
        <v>0</v>
      </c>
      <c r="AB645">
        <v>2</v>
      </c>
      <c r="AC645">
        <v>25</v>
      </c>
      <c r="AD645">
        <v>0</v>
      </c>
      <c r="AE645">
        <v>1</v>
      </c>
      <c r="AF645">
        <v>3</v>
      </c>
      <c r="AG645">
        <v>0</v>
      </c>
      <c r="AH645">
        <v>0</v>
      </c>
      <c r="AI645" s="5">
        <v>0.252</v>
      </c>
      <c r="AJ645" s="5">
        <v>0.30199999999999999</v>
      </c>
      <c r="AK645" s="5">
        <v>0.45400000000000001</v>
      </c>
      <c r="AL645" s="5">
        <v>0.247</v>
      </c>
      <c r="AM645" s="5">
        <v>0.26900000000000002</v>
      </c>
      <c r="AN645">
        <v>-0.3</v>
      </c>
      <c r="AO645">
        <v>0.98</v>
      </c>
      <c r="AP645">
        <v>3.46</v>
      </c>
      <c r="AQ645">
        <v>-1.76</v>
      </c>
      <c r="AR645">
        <v>-2.2999999999999998</v>
      </c>
      <c r="AS645" t="s">
        <v>1222</v>
      </c>
      <c r="AT645">
        <v>0</v>
      </c>
      <c r="AU645">
        <v>2.4</v>
      </c>
      <c r="AV645">
        <v>3</v>
      </c>
      <c r="AW645">
        <v>27</v>
      </c>
      <c r="AX645">
        <v>14</v>
      </c>
      <c r="AY645">
        <v>20</v>
      </c>
      <c r="AZ645" t="s">
        <v>4292</v>
      </c>
      <c r="BA645">
        <v>72</v>
      </c>
      <c r="BB645" t="s">
        <v>35</v>
      </c>
      <c r="BC645" t="s">
        <v>36</v>
      </c>
      <c r="BD645" s="4">
        <f>HYPERLINK("http://mlb.mlb.com/team/player.jsp?player_id=572033",572033)</f>
        <v>572033</v>
      </c>
      <c r="BE645">
        <v>375</v>
      </c>
      <c r="BF645">
        <v>1375</v>
      </c>
      <c r="BG645">
        <v>161</v>
      </c>
      <c r="BH645">
        <v>149</v>
      </c>
    </row>
    <row r="646" spans="1:60" x14ac:dyDescent="0.3">
      <c r="A646" s="4">
        <f>HYPERLINK("http://legacy.baseballprospectus.com/p/68908",68908)</f>
        <v>68908</v>
      </c>
      <c r="B646" t="s">
        <v>1429</v>
      </c>
      <c r="C646" t="s">
        <v>204</v>
      </c>
      <c r="D646" s="10">
        <v>33551</v>
      </c>
      <c r="E646" t="s">
        <v>54</v>
      </c>
      <c r="F646" t="s">
        <v>37</v>
      </c>
      <c r="G646" t="s">
        <v>33</v>
      </c>
      <c r="H646">
        <v>73</v>
      </c>
      <c r="I646">
        <v>195</v>
      </c>
      <c r="J646">
        <v>2018</v>
      </c>
      <c r="K646" s="4" t="str">
        <f>HYPERLINK("http://legacy.baseballprospectus.com/fantasy/dc/index.php?tm=PHI","PHI")</f>
        <v>PHI</v>
      </c>
      <c r="L646" t="s">
        <v>100</v>
      </c>
      <c r="M646" t="s">
        <v>34</v>
      </c>
      <c r="N646">
        <v>26</v>
      </c>
      <c r="O646">
        <v>32</v>
      </c>
      <c r="P646">
        <v>9</v>
      </c>
      <c r="Q646">
        <v>29</v>
      </c>
      <c r="R646">
        <v>4</v>
      </c>
      <c r="S646">
        <v>5</v>
      </c>
      <c r="T646">
        <v>2</v>
      </c>
      <c r="U646">
        <v>0</v>
      </c>
      <c r="V646">
        <v>1</v>
      </c>
      <c r="W646">
        <v>8</v>
      </c>
      <c r="X646">
        <v>13</v>
      </c>
      <c r="Y646">
        <v>4</v>
      </c>
      <c r="Z646">
        <v>3</v>
      </c>
      <c r="AA646">
        <v>0</v>
      </c>
      <c r="AB646">
        <v>0</v>
      </c>
      <c r="AC646">
        <v>9</v>
      </c>
      <c r="AD646">
        <v>0</v>
      </c>
      <c r="AE646">
        <v>0</v>
      </c>
      <c r="AF646">
        <v>1</v>
      </c>
      <c r="AG646">
        <v>0</v>
      </c>
      <c r="AH646">
        <v>0</v>
      </c>
      <c r="AI646" s="5">
        <v>0.27600000000000002</v>
      </c>
      <c r="AJ646" s="5">
        <v>0.34399999999999997</v>
      </c>
      <c r="AK646" s="5">
        <v>0.44800000000000001</v>
      </c>
      <c r="AL646" s="5">
        <v>0.25700000000000001</v>
      </c>
      <c r="AM646" s="5">
        <v>0.32300000000000001</v>
      </c>
      <c r="AN646">
        <v>-0.1</v>
      </c>
      <c r="AO646">
        <v>0.24</v>
      </c>
      <c r="AP646">
        <v>0.86</v>
      </c>
      <c r="AQ646">
        <v>-0.12</v>
      </c>
      <c r="AR646">
        <v>-0.8</v>
      </c>
      <c r="AS646" t="s">
        <v>60</v>
      </c>
      <c r="AT646">
        <v>0</v>
      </c>
      <c r="AU646">
        <v>0.9</v>
      </c>
      <c r="AV646">
        <v>5</v>
      </c>
      <c r="AW646">
        <v>25</v>
      </c>
      <c r="AX646">
        <v>17</v>
      </c>
      <c r="AY646">
        <v>34</v>
      </c>
      <c r="AZ646" t="s">
        <v>4347</v>
      </c>
      <c r="BA646">
        <v>70</v>
      </c>
      <c r="BB646" t="s">
        <v>35</v>
      </c>
      <c r="BC646" t="s">
        <v>36</v>
      </c>
      <c r="BD646" s="4">
        <f>HYPERLINK("http://mlb.mlb.com/team/player.jsp?player_id=595284",595284)</f>
        <v>595284</v>
      </c>
      <c r="BE646">
        <v>1390</v>
      </c>
      <c r="BF646">
        <v>390</v>
      </c>
      <c r="BG646">
        <v>204</v>
      </c>
      <c r="BH646">
        <v>171</v>
      </c>
    </row>
    <row r="647" spans="1:60" x14ac:dyDescent="0.3">
      <c r="A647" s="4">
        <f>HYPERLINK("http://legacy.baseballprospectus.com/p/57302",57302)</f>
        <v>57302</v>
      </c>
      <c r="B647" t="s">
        <v>356</v>
      </c>
      <c r="C647" t="s">
        <v>357</v>
      </c>
      <c r="D647" s="10">
        <v>32826</v>
      </c>
      <c r="E647" t="s">
        <v>53</v>
      </c>
      <c r="F647" t="s">
        <v>37</v>
      </c>
      <c r="G647" t="s">
        <v>33</v>
      </c>
      <c r="H647">
        <v>70</v>
      </c>
      <c r="I647">
        <v>185</v>
      </c>
      <c r="J647">
        <v>2018</v>
      </c>
      <c r="K647" s="4" t="str">
        <f>HYPERLINK("http://legacy.baseballprospectus.com/fantasy/dc/index.php?tm=SDN","SDN")</f>
        <v>SDN</v>
      </c>
      <c r="L647" t="s">
        <v>100</v>
      </c>
      <c r="M647" t="s">
        <v>34</v>
      </c>
      <c r="N647">
        <v>28</v>
      </c>
      <c r="O647">
        <v>553</v>
      </c>
      <c r="P647">
        <v>143</v>
      </c>
      <c r="Q647">
        <v>511</v>
      </c>
      <c r="R647">
        <v>58</v>
      </c>
      <c r="S647">
        <v>84</v>
      </c>
      <c r="T647">
        <v>21</v>
      </c>
      <c r="U647">
        <v>4</v>
      </c>
      <c r="V647">
        <v>11</v>
      </c>
      <c r="W647">
        <v>120</v>
      </c>
      <c r="X647">
        <v>182</v>
      </c>
      <c r="Y647">
        <v>52</v>
      </c>
      <c r="Z647">
        <v>31</v>
      </c>
      <c r="AA647">
        <v>2</v>
      </c>
      <c r="AB647">
        <v>3</v>
      </c>
      <c r="AC647">
        <v>106</v>
      </c>
      <c r="AD647">
        <v>5</v>
      </c>
      <c r="AE647">
        <v>3</v>
      </c>
      <c r="AF647">
        <v>14</v>
      </c>
      <c r="AG647">
        <v>11</v>
      </c>
      <c r="AH647">
        <v>4</v>
      </c>
      <c r="AI647" s="5">
        <v>0.23499999999999999</v>
      </c>
      <c r="AJ647" s="5">
        <v>0.28100000000000003</v>
      </c>
      <c r="AK647" s="5">
        <v>0.35599999999999998</v>
      </c>
      <c r="AL647" s="5">
        <v>0.22900000000000001</v>
      </c>
      <c r="AM647" s="5">
        <v>0.27200000000000002</v>
      </c>
      <c r="AN647">
        <v>0.9</v>
      </c>
      <c r="AO647">
        <v>3.81</v>
      </c>
      <c r="AP647">
        <v>14.85</v>
      </c>
      <c r="AQ647">
        <v>-18.12</v>
      </c>
      <c r="AR647">
        <v>-1.9</v>
      </c>
      <c r="AS647" t="s">
        <v>1013</v>
      </c>
      <c r="AT647">
        <v>0</v>
      </c>
      <c r="AU647">
        <v>1.5</v>
      </c>
      <c r="AV647">
        <v>1</v>
      </c>
      <c r="AW647">
        <v>42</v>
      </c>
      <c r="AX647">
        <v>8</v>
      </c>
      <c r="AY647">
        <v>15</v>
      </c>
      <c r="AZ647" t="s">
        <v>4351</v>
      </c>
      <c r="BA647">
        <v>95</v>
      </c>
      <c r="BB647" t="s">
        <v>35</v>
      </c>
      <c r="BC647" t="s">
        <v>36</v>
      </c>
      <c r="BD647" s="4">
        <f>HYPERLINK("http://mlb.mlb.com/team/player.jsp?player_id=520471",520471)</f>
        <v>520471</v>
      </c>
      <c r="BE647">
        <v>1519</v>
      </c>
      <c r="BF647">
        <v>519</v>
      </c>
      <c r="BG647">
        <v>663</v>
      </c>
      <c r="BH647">
        <v>608</v>
      </c>
    </row>
    <row r="648" spans="1:60" x14ac:dyDescent="0.3">
      <c r="A648" s="4">
        <f>HYPERLINK("http://legacy.baseballprospectus.com/p/58495",58495)</f>
        <v>58495</v>
      </c>
      <c r="B648" t="s">
        <v>539</v>
      </c>
      <c r="C648" t="s">
        <v>540</v>
      </c>
      <c r="D648" s="10">
        <v>31996</v>
      </c>
      <c r="E648" t="s">
        <v>59</v>
      </c>
      <c r="F648" t="s">
        <v>9</v>
      </c>
      <c r="G648" t="s">
        <v>33</v>
      </c>
      <c r="H648">
        <v>75</v>
      </c>
      <c r="I648">
        <v>225</v>
      </c>
      <c r="J648">
        <v>2018</v>
      </c>
      <c r="K648" s="4" t="str">
        <f>HYPERLINK("http://legacy.baseballprospectus.com/fantasy/dc/index.php?tm=SEA","SEA")</f>
        <v>SEA</v>
      </c>
      <c r="L648" t="s">
        <v>95</v>
      </c>
      <c r="M648" t="s">
        <v>34</v>
      </c>
      <c r="N648">
        <v>30</v>
      </c>
      <c r="O648">
        <v>37</v>
      </c>
      <c r="P648">
        <v>12</v>
      </c>
      <c r="Q648">
        <v>32</v>
      </c>
      <c r="R648">
        <v>5</v>
      </c>
      <c r="S648">
        <v>4</v>
      </c>
      <c r="T648">
        <v>2</v>
      </c>
      <c r="U648">
        <v>0</v>
      </c>
      <c r="V648">
        <v>1</v>
      </c>
      <c r="W648">
        <v>7</v>
      </c>
      <c r="X648">
        <v>12</v>
      </c>
      <c r="Y648">
        <v>4</v>
      </c>
      <c r="Z648">
        <v>4</v>
      </c>
      <c r="AA648">
        <v>0</v>
      </c>
      <c r="AB648">
        <v>0</v>
      </c>
      <c r="AC648">
        <v>12</v>
      </c>
      <c r="AD648">
        <v>0</v>
      </c>
      <c r="AE648">
        <v>0</v>
      </c>
      <c r="AF648">
        <v>1</v>
      </c>
      <c r="AG648">
        <v>1</v>
      </c>
      <c r="AH648">
        <v>0</v>
      </c>
      <c r="AI648" s="5">
        <v>0.219</v>
      </c>
      <c r="AJ648" s="5">
        <v>0.30599999999999999</v>
      </c>
      <c r="AK648" s="5">
        <v>0.375</v>
      </c>
      <c r="AL648" s="5">
        <v>0.24199999999999999</v>
      </c>
      <c r="AM648" s="5">
        <v>0.28100000000000003</v>
      </c>
      <c r="AN648">
        <v>0</v>
      </c>
      <c r="AO648">
        <v>-7.0000000000000007E-2</v>
      </c>
      <c r="AP648">
        <v>0.99</v>
      </c>
      <c r="AQ648">
        <v>-0.71</v>
      </c>
      <c r="AR648">
        <v>0.3</v>
      </c>
      <c r="AS648" t="s">
        <v>1019</v>
      </c>
      <c r="AT648">
        <v>0</v>
      </c>
      <c r="AU648">
        <v>0.2</v>
      </c>
      <c r="AV648">
        <v>3</v>
      </c>
      <c r="AW648">
        <v>21</v>
      </c>
      <c r="AX648">
        <v>10</v>
      </c>
      <c r="AY648">
        <v>20</v>
      </c>
      <c r="AZ648" t="s">
        <v>4353</v>
      </c>
      <c r="BA648">
        <v>60</v>
      </c>
      <c r="BB648" t="s">
        <v>35</v>
      </c>
      <c r="BC648" t="s">
        <v>36</v>
      </c>
      <c r="BD648" s="4">
        <f>HYPERLINK("http://mlb.mlb.com/team/player.jsp?player_id=543590",543590)</f>
        <v>543590</v>
      </c>
      <c r="BE648">
        <v>0</v>
      </c>
      <c r="BF648">
        <v>0</v>
      </c>
      <c r="BG648">
        <v>31</v>
      </c>
      <c r="BH648">
        <v>26</v>
      </c>
    </row>
    <row r="649" spans="1:60" x14ac:dyDescent="0.3">
      <c r="A649" s="4">
        <f>HYPERLINK("http://legacy.baseballprospectus.com/p/1184",1184)</f>
        <v>1184</v>
      </c>
      <c r="B649" t="s">
        <v>656</v>
      </c>
      <c r="C649" t="s">
        <v>658</v>
      </c>
      <c r="D649" s="10">
        <v>26959</v>
      </c>
      <c r="E649" t="s">
        <v>57</v>
      </c>
      <c r="F649" t="s">
        <v>9</v>
      </c>
      <c r="G649" t="s">
        <v>33</v>
      </c>
      <c r="H649">
        <v>71</v>
      </c>
      <c r="I649">
        <v>175</v>
      </c>
      <c r="J649">
        <v>2018</v>
      </c>
      <c r="K649" s="4" t="str">
        <f>HYPERLINK("http://legacy.baseballprospectus.com/fantasy/dc/index.php?tm=SEA","SEA")</f>
        <v>SEA</v>
      </c>
      <c r="L649" t="s">
        <v>95</v>
      </c>
      <c r="M649" t="s">
        <v>34</v>
      </c>
      <c r="N649">
        <v>44</v>
      </c>
      <c r="O649">
        <v>105</v>
      </c>
      <c r="P649">
        <v>30</v>
      </c>
      <c r="Q649">
        <v>96</v>
      </c>
      <c r="R649">
        <v>11</v>
      </c>
      <c r="S649">
        <v>20</v>
      </c>
      <c r="T649">
        <v>3</v>
      </c>
      <c r="U649">
        <v>1</v>
      </c>
      <c r="V649">
        <v>1</v>
      </c>
      <c r="W649">
        <v>25</v>
      </c>
      <c r="X649">
        <v>33</v>
      </c>
      <c r="Y649">
        <v>7</v>
      </c>
      <c r="Z649">
        <v>7</v>
      </c>
      <c r="AA649">
        <v>0</v>
      </c>
      <c r="AB649">
        <v>1</v>
      </c>
      <c r="AC649">
        <v>16</v>
      </c>
      <c r="AD649">
        <v>1</v>
      </c>
      <c r="AE649">
        <v>1</v>
      </c>
      <c r="AF649">
        <v>3</v>
      </c>
      <c r="AG649">
        <v>2</v>
      </c>
      <c r="AH649">
        <v>1</v>
      </c>
      <c r="AI649" s="5">
        <v>0.26</v>
      </c>
      <c r="AJ649" s="5">
        <v>0.314</v>
      </c>
      <c r="AK649" s="5">
        <v>0.34399999999999997</v>
      </c>
      <c r="AL649" s="5">
        <v>0.222</v>
      </c>
      <c r="AM649" s="5">
        <v>0.28699999999999998</v>
      </c>
      <c r="AN649">
        <v>0.2</v>
      </c>
      <c r="AO649">
        <v>-0.22</v>
      </c>
      <c r="AP649">
        <v>2.82</v>
      </c>
      <c r="AQ649">
        <v>-4.25</v>
      </c>
      <c r="AR649">
        <v>1</v>
      </c>
      <c r="AS649" t="s">
        <v>1342</v>
      </c>
      <c r="AT649">
        <v>0</v>
      </c>
      <c r="AU649">
        <v>-1.5</v>
      </c>
      <c r="AV649">
        <v>0</v>
      </c>
      <c r="AW649">
        <v>21</v>
      </c>
      <c r="AX649">
        <v>0</v>
      </c>
      <c r="AY649">
        <v>12</v>
      </c>
      <c r="AZ649" t="s">
        <v>4362</v>
      </c>
      <c r="BA649">
        <v>56</v>
      </c>
      <c r="BB649" t="s">
        <v>35</v>
      </c>
      <c r="BC649" t="s">
        <v>36</v>
      </c>
      <c r="BD649" s="4">
        <f>HYPERLINK("http://mlb.mlb.com/team/player.jsp?player_id=400085",400085)</f>
        <v>400085</v>
      </c>
      <c r="BE649">
        <v>0</v>
      </c>
      <c r="BF649">
        <v>0</v>
      </c>
      <c r="BG649">
        <v>215</v>
      </c>
      <c r="BH649">
        <v>196</v>
      </c>
    </row>
    <row r="650" spans="1:60" x14ac:dyDescent="0.3">
      <c r="A650" s="4">
        <f>HYPERLINK("http://legacy.baseballprospectus.com/p/67754",67754)</f>
        <v>67754</v>
      </c>
      <c r="B650" t="s">
        <v>359</v>
      </c>
      <c r="C650" t="s">
        <v>302</v>
      </c>
      <c r="D650" s="10">
        <v>32728</v>
      </c>
      <c r="E650" t="s">
        <v>58</v>
      </c>
      <c r="F650" t="s">
        <v>9</v>
      </c>
      <c r="G650" t="s">
        <v>33</v>
      </c>
      <c r="H650">
        <v>72</v>
      </c>
      <c r="I650">
        <v>190</v>
      </c>
      <c r="J650">
        <v>2018</v>
      </c>
      <c r="K650" s="4" t="str">
        <f>HYPERLINK("http://legacy.baseballprospectus.com/fantasy/dc/index.php?tm=SLN","SLN")</f>
        <v>SLN</v>
      </c>
      <c r="L650" t="s">
        <v>100</v>
      </c>
      <c r="M650" t="s">
        <v>34</v>
      </c>
      <c r="N650">
        <v>28</v>
      </c>
      <c r="O650">
        <v>238</v>
      </c>
      <c r="P650">
        <v>85</v>
      </c>
      <c r="Q650">
        <v>204</v>
      </c>
      <c r="R650">
        <v>25</v>
      </c>
      <c r="S650">
        <v>38</v>
      </c>
      <c r="T650">
        <v>9</v>
      </c>
      <c r="U650">
        <v>1</v>
      </c>
      <c r="V650">
        <v>3</v>
      </c>
      <c r="W650">
        <v>51</v>
      </c>
      <c r="X650">
        <v>71</v>
      </c>
      <c r="Y650">
        <v>21</v>
      </c>
      <c r="Z650">
        <v>26</v>
      </c>
      <c r="AA650">
        <v>2</v>
      </c>
      <c r="AB650">
        <v>4</v>
      </c>
      <c r="AC650">
        <v>49</v>
      </c>
      <c r="AD650">
        <v>2</v>
      </c>
      <c r="AE650">
        <v>1</v>
      </c>
      <c r="AF650">
        <v>5</v>
      </c>
      <c r="AG650">
        <v>2</v>
      </c>
      <c r="AH650">
        <v>1</v>
      </c>
      <c r="AI650" s="5">
        <v>0.25</v>
      </c>
      <c r="AJ650" s="5">
        <v>0.34499999999999997</v>
      </c>
      <c r="AK650" s="5">
        <v>0.34799999999999998</v>
      </c>
      <c r="AL650" s="5">
        <v>0.247</v>
      </c>
      <c r="AM650" s="5">
        <v>0.31</v>
      </c>
      <c r="AN650">
        <v>-0.2</v>
      </c>
      <c r="AO650">
        <v>0.76</v>
      </c>
      <c r="AP650">
        <v>6.39</v>
      </c>
      <c r="AQ650">
        <v>-3.23</v>
      </c>
      <c r="AR650">
        <v>-3.6</v>
      </c>
      <c r="AS650" t="s">
        <v>4354</v>
      </c>
      <c r="AT650">
        <v>0</v>
      </c>
      <c r="AU650">
        <v>3.7</v>
      </c>
      <c r="AV650">
        <v>6</v>
      </c>
      <c r="AW650">
        <v>32</v>
      </c>
      <c r="AX650">
        <v>12</v>
      </c>
      <c r="AY650">
        <v>20</v>
      </c>
      <c r="AZ650" t="s">
        <v>4355</v>
      </c>
      <c r="BA650">
        <v>75</v>
      </c>
      <c r="BB650" t="s">
        <v>35</v>
      </c>
      <c r="BC650" t="s">
        <v>36</v>
      </c>
      <c r="BD650" s="4">
        <f>HYPERLINK("http://mlb.mlb.com/team/player.jsp?player_id=594824",594824)</f>
        <v>594824</v>
      </c>
      <c r="BE650">
        <v>1464</v>
      </c>
      <c r="BF650">
        <v>464</v>
      </c>
      <c r="BG650">
        <v>290</v>
      </c>
      <c r="BH650">
        <v>241</v>
      </c>
    </row>
    <row r="651" spans="1:60" x14ac:dyDescent="0.3">
      <c r="A651" s="4">
        <f>HYPERLINK("http://legacy.baseballprospectus.com/p/100281",100281)</f>
        <v>100281</v>
      </c>
      <c r="B651" t="s">
        <v>400</v>
      </c>
      <c r="C651" t="s">
        <v>714</v>
      </c>
      <c r="D651" s="10">
        <v>34627</v>
      </c>
      <c r="E651" t="s">
        <v>50</v>
      </c>
      <c r="F651" t="s">
        <v>9</v>
      </c>
      <c r="G651" t="s">
        <v>9</v>
      </c>
      <c r="H651">
        <v>77</v>
      </c>
      <c r="I651">
        <v>205</v>
      </c>
      <c r="J651">
        <v>2018</v>
      </c>
      <c r="K651" s="4" t="str">
        <f>HYPERLINK("http://legacy.baseballprospectus.com/fantasy/dc/index.php?tm=TEX","TEX")</f>
        <v>TEX</v>
      </c>
      <c r="L651" t="s">
        <v>95</v>
      </c>
      <c r="M651" t="s">
        <v>34</v>
      </c>
      <c r="N651">
        <v>23</v>
      </c>
      <c r="O651">
        <v>96</v>
      </c>
      <c r="P651">
        <v>30</v>
      </c>
      <c r="Q651">
        <v>88</v>
      </c>
      <c r="R651">
        <v>11</v>
      </c>
      <c r="S651">
        <v>15</v>
      </c>
      <c r="T651">
        <v>4</v>
      </c>
      <c r="U651">
        <v>1</v>
      </c>
      <c r="V651">
        <v>3</v>
      </c>
      <c r="W651">
        <v>23</v>
      </c>
      <c r="X651">
        <v>38</v>
      </c>
      <c r="Y651">
        <v>11</v>
      </c>
      <c r="Z651">
        <v>7</v>
      </c>
      <c r="AA651">
        <v>1</v>
      </c>
      <c r="AB651">
        <v>1</v>
      </c>
      <c r="AC651">
        <v>21</v>
      </c>
      <c r="AD651">
        <v>0</v>
      </c>
      <c r="AE651">
        <v>0</v>
      </c>
      <c r="AF651">
        <v>2</v>
      </c>
      <c r="AG651">
        <v>0</v>
      </c>
      <c r="AH651">
        <v>0</v>
      </c>
      <c r="AI651" s="5">
        <v>0.26100000000000001</v>
      </c>
      <c r="AJ651" s="5">
        <v>0.32300000000000001</v>
      </c>
      <c r="AK651" s="5">
        <v>0.432</v>
      </c>
      <c r="AL651" s="5">
        <v>0.24199999999999999</v>
      </c>
      <c r="AM651" s="5">
        <v>0.30499999999999999</v>
      </c>
      <c r="AN651">
        <v>-0.1</v>
      </c>
      <c r="AO651">
        <v>-0.79</v>
      </c>
      <c r="AP651">
        <v>2.58</v>
      </c>
      <c r="AQ651">
        <v>-1.78</v>
      </c>
      <c r="AR651">
        <v>-0.2</v>
      </c>
      <c r="AS651" t="s">
        <v>1848</v>
      </c>
      <c r="AT651">
        <v>0</v>
      </c>
      <c r="AU651">
        <v>-0.1</v>
      </c>
      <c r="AV651">
        <v>5</v>
      </c>
      <c r="AW651">
        <v>10</v>
      </c>
      <c r="AX651">
        <v>3</v>
      </c>
      <c r="AY651">
        <v>11</v>
      </c>
      <c r="AZ651" t="s">
        <v>4434</v>
      </c>
      <c r="BA651">
        <v>16</v>
      </c>
      <c r="BB651" t="s">
        <v>35</v>
      </c>
      <c r="BC651" t="s">
        <v>35</v>
      </c>
      <c r="BD651" s="4">
        <f>HYPERLINK("http://mlb.mlb.com/team/player.jsp?player_id=608597",608597)</f>
        <v>608597</v>
      </c>
      <c r="BE651">
        <v>433</v>
      </c>
      <c r="BF651">
        <v>1433</v>
      </c>
      <c r="BG651">
        <v>0</v>
      </c>
      <c r="BH651">
        <v>0</v>
      </c>
    </row>
    <row r="652" spans="1:60" x14ac:dyDescent="0.3">
      <c r="A652" s="4">
        <f>HYPERLINK("http://legacy.baseballprospectus.com/p/66557",66557)</f>
        <v>66557</v>
      </c>
      <c r="B652" t="s">
        <v>452</v>
      </c>
      <c r="C652" t="s">
        <v>332</v>
      </c>
      <c r="D652" s="10">
        <v>33435</v>
      </c>
      <c r="E652" t="s">
        <v>50</v>
      </c>
      <c r="F652" t="s">
        <v>33</v>
      </c>
      <c r="G652" t="s">
        <v>33</v>
      </c>
      <c r="H652">
        <v>73</v>
      </c>
      <c r="I652">
        <v>255</v>
      </c>
      <c r="J652">
        <v>2018</v>
      </c>
      <c r="K652" s="4" t="str">
        <f>HYPERLINK("http://legacy.baseballprospectus.com/fantasy/dc/index.php?tm=TEX","TEX")</f>
        <v>TEX</v>
      </c>
      <c r="L652" t="s">
        <v>95</v>
      </c>
      <c r="M652" t="s">
        <v>34</v>
      </c>
      <c r="N652">
        <v>26</v>
      </c>
      <c r="O652">
        <v>130</v>
      </c>
      <c r="P652">
        <v>35</v>
      </c>
      <c r="Q652">
        <v>119</v>
      </c>
      <c r="R652">
        <v>17</v>
      </c>
      <c r="S652">
        <v>18</v>
      </c>
      <c r="T652">
        <v>7</v>
      </c>
      <c r="U652">
        <v>0</v>
      </c>
      <c r="V652">
        <v>6</v>
      </c>
      <c r="W652">
        <v>31</v>
      </c>
      <c r="X652">
        <v>56</v>
      </c>
      <c r="Y652">
        <v>18</v>
      </c>
      <c r="Z652">
        <v>8</v>
      </c>
      <c r="AA652">
        <v>0</v>
      </c>
      <c r="AB652">
        <v>1</v>
      </c>
      <c r="AC652">
        <v>27</v>
      </c>
      <c r="AD652">
        <v>0</v>
      </c>
      <c r="AE652">
        <v>1</v>
      </c>
      <c r="AF652">
        <v>4</v>
      </c>
      <c r="AG652">
        <v>0</v>
      </c>
      <c r="AH652">
        <v>0</v>
      </c>
      <c r="AI652" s="5">
        <v>0.26100000000000001</v>
      </c>
      <c r="AJ652" s="5">
        <v>0.31</v>
      </c>
      <c r="AK652" s="5">
        <v>0.47099999999999997</v>
      </c>
      <c r="AL652" s="5">
        <v>0.25900000000000001</v>
      </c>
      <c r="AM652" s="5">
        <v>0.28199999999999997</v>
      </c>
      <c r="AN652">
        <v>-0.3</v>
      </c>
      <c r="AO652">
        <v>-1.38</v>
      </c>
      <c r="AP652">
        <v>3.49</v>
      </c>
      <c r="AQ652">
        <v>-0.15</v>
      </c>
      <c r="AR652">
        <v>-1.3</v>
      </c>
      <c r="AS652" t="s">
        <v>64</v>
      </c>
      <c r="AT652">
        <v>0</v>
      </c>
      <c r="AU652">
        <v>1.7</v>
      </c>
      <c r="AV652">
        <v>3</v>
      </c>
      <c r="AW652">
        <v>56</v>
      </c>
      <c r="AX652">
        <v>2</v>
      </c>
      <c r="AY652">
        <v>8</v>
      </c>
      <c r="AZ652" t="s">
        <v>4212</v>
      </c>
      <c r="BA652">
        <v>93</v>
      </c>
      <c r="BB652" t="s">
        <v>35</v>
      </c>
      <c r="BC652" t="s">
        <v>36</v>
      </c>
      <c r="BD652" s="4">
        <f>HYPERLINK("http://mlb.mlb.com/team/player.jsp?player_id=571830",571830)</f>
        <v>571830</v>
      </c>
      <c r="BE652">
        <v>1430</v>
      </c>
      <c r="BF652">
        <v>430</v>
      </c>
      <c r="BG652">
        <v>533</v>
      </c>
      <c r="BH652">
        <v>495</v>
      </c>
    </row>
    <row r="653" spans="1:60" x14ac:dyDescent="0.3">
      <c r="A653" s="4">
        <f>HYPERLINK("http://legacy.baseballprospectus.com/p/40963",40963)</f>
        <v>40963</v>
      </c>
      <c r="B653" t="s">
        <v>566</v>
      </c>
      <c r="C653" t="s">
        <v>567</v>
      </c>
      <c r="D653" s="10">
        <v>30099</v>
      </c>
      <c r="E653" t="s">
        <v>51</v>
      </c>
      <c r="F653" t="s">
        <v>33</v>
      </c>
      <c r="G653" t="s">
        <v>33</v>
      </c>
      <c r="H653">
        <v>74</v>
      </c>
      <c r="I653">
        <v>225</v>
      </c>
      <c r="J653">
        <v>2018</v>
      </c>
      <c r="K653" s="4" t="str">
        <f>HYPERLINK("http://legacy.baseballprospectus.com/fantasy/dc/index.php?tm=BOS","BOS")</f>
        <v>BOS</v>
      </c>
      <c r="L653" t="s">
        <v>95</v>
      </c>
      <c r="M653" t="s">
        <v>34</v>
      </c>
      <c r="N653">
        <v>36</v>
      </c>
      <c r="O653">
        <v>250</v>
      </c>
      <c r="P653" t="s">
        <v>1680</v>
      </c>
      <c r="Q653">
        <v>227</v>
      </c>
      <c r="R653">
        <v>26</v>
      </c>
      <c r="S653">
        <v>39</v>
      </c>
      <c r="T653">
        <v>13</v>
      </c>
      <c r="U653">
        <v>0</v>
      </c>
      <c r="V653">
        <v>7</v>
      </c>
      <c r="W653">
        <v>59</v>
      </c>
      <c r="X653">
        <v>93</v>
      </c>
      <c r="Y653">
        <v>29</v>
      </c>
      <c r="Z653">
        <v>20</v>
      </c>
      <c r="AA653">
        <v>1</v>
      </c>
      <c r="AB653">
        <v>1</v>
      </c>
      <c r="AC653">
        <v>52</v>
      </c>
      <c r="AD653">
        <v>0</v>
      </c>
      <c r="AE653">
        <v>2</v>
      </c>
      <c r="AF653">
        <v>7</v>
      </c>
      <c r="AG653">
        <v>1</v>
      </c>
      <c r="AH653">
        <v>1</v>
      </c>
      <c r="AI653" s="5">
        <v>0.25900000000000001</v>
      </c>
      <c r="AJ653" s="5">
        <v>0.32</v>
      </c>
      <c r="AK653" s="5">
        <v>0.40400000000000003</v>
      </c>
      <c r="AL653" s="5">
        <v>0.247</v>
      </c>
      <c r="AM653" s="5">
        <v>0.307</v>
      </c>
      <c r="AN653">
        <v>-1.1000000000000001</v>
      </c>
      <c r="AO653">
        <v>1.56</v>
      </c>
      <c r="AP653">
        <v>7</v>
      </c>
      <c r="AQ653">
        <v>-3.41</v>
      </c>
      <c r="AR653">
        <v>-3.7</v>
      </c>
      <c r="AS653" t="s">
        <v>4364</v>
      </c>
      <c r="AT653">
        <v>0</v>
      </c>
      <c r="AU653">
        <v>4</v>
      </c>
      <c r="AV653">
        <v>0</v>
      </c>
      <c r="AW653">
        <v>37</v>
      </c>
      <c r="AX653">
        <v>7</v>
      </c>
      <c r="AY653">
        <v>25</v>
      </c>
      <c r="AZ653" t="s">
        <v>4365</v>
      </c>
      <c r="BA653">
        <v>75</v>
      </c>
      <c r="BB653" t="s">
        <v>36</v>
      </c>
      <c r="BC653" t="s">
        <v>36</v>
      </c>
      <c r="BD653" s="4">
        <f>HYPERLINK("http://mlb.mlb.com/team/player.jsp?player_id=425509",425509)</f>
        <v>425509</v>
      </c>
      <c r="BE653">
        <v>0</v>
      </c>
      <c r="BF653">
        <v>0</v>
      </c>
      <c r="BG653">
        <v>58</v>
      </c>
      <c r="BH653">
        <v>54</v>
      </c>
    </row>
    <row r="654" spans="1:60" x14ac:dyDescent="0.3">
      <c r="A654" s="4">
        <f>HYPERLINK("http://legacy.baseballprospectus.com/p/45858",45858)</f>
        <v>45858</v>
      </c>
      <c r="B654" t="s">
        <v>288</v>
      </c>
      <c r="C654" t="s">
        <v>289</v>
      </c>
      <c r="D654" s="10">
        <v>30783</v>
      </c>
      <c r="E654" t="s">
        <v>57</v>
      </c>
      <c r="F654" t="s">
        <v>9</v>
      </c>
      <c r="G654" t="s">
        <v>9</v>
      </c>
      <c r="H654">
        <v>72</v>
      </c>
      <c r="I654">
        <v>195</v>
      </c>
      <c r="J654">
        <v>2018</v>
      </c>
      <c r="K654" s="4" t="str">
        <f>HYPERLINK("http://legacy.baseballprospectus.com/fantasy/dc/index.php?tm=NYN","NYN")</f>
        <v>NYN</v>
      </c>
      <c r="L654" t="s">
        <v>100</v>
      </c>
      <c r="M654" t="s">
        <v>34</v>
      </c>
      <c r="N654">
        <v>34</v>
      </c>
      <c r="O654">
        <v>250</v>
      </c>
      <c r="P654" t="s">
        <v>1680</v>
      </c>
      <c r="Q654">
        <v>222</v>
      </c>
      <c r="R654">
        <v>28</v>
      </c>
      <c r="S654">
        <v>36</v>
      </c>
      <c r="T654">
        <v>10</v>
      </c>
      <c r="U654">
        <v>2</v>
      </c>
      <c r="V654">
        <v>6</v>
      </c>
      <c r="W654">
        <v>54</v>
      </c>
      <c r="X654">
        <v>86</v>
      </c>
      <c r="Y654">
        <v>25</v>
      </c>
      <c r="Z654">
        <v>21</v>
      </c>
      <c r="AA654">
        <v>1</v>
      </c>
      <c r="AB654">
        <v>3</v>
      </c>
      <c r="AC654">
        <v>58</v>
      </c>
      <c r="AD654">
        <v>2</v>
      </c>
      <c r="AE654">
        <v>2</v>
      </c>
      <c r="AF654">
        <v>6</v>
      </c>
      <c r="AG654">
        <v>4</v>
      </c>
      <c r="AH654">
        <v>2</v>
      </c>
      <c r="AI654" s="5">
        <v>0.24</v>
      </c>
      <c r="AJ654" s="5">
        <v>0.312</v>
      </c>
      <c r="AK654" s="5">
        <v>0.379</v>
      </c>
      <c r="AL654" s="5">
        <v>0.23599999999999999</v>
      </c>
      <c r="AM654" s="5">
        <v>0.29399999999999998</v>
      </c>
      <c r="AN654">
        <v>-0.6</v>
      </c>
      <c r="AO654">
        <v>1.45</v>
      </c>
      <c r="AP654">
        <v>7</v>
      </c>
      <c r="AQ654">
        <v>-6.29</v>
      </c>
      <c r="AR654">
        <v>-1.2</v>
      </c>
      <c r="AS654" t="s">
        <v>1797</v>
      </c>
      <c r="AT654">
        <v>0</v>
      </c>
      <c r="AU654">
        <v>1.5</v>
      </c>
      <c r="AV654">
        <v>0</v>
      </c>
      <c r="AW654">
        <v>25</v>
      </c>
      <c r="AX654">
        <v>20</v>
      </c>
      <c r="AY654">
        <v>28</v>
      </c>
      <c r="AZ654" t="s">
        <v>4229</v>
      </c>
      <c r="BA654">
        <v>81</v>
      </c>
      <c r="BB654" t="s">
        <v>36</v>
      </c>
      <c r="BC654" t="s">
        <v>36</v>
      </c>
      <c r="BD654" s="4">
        <f>HYPERLINK("http://mlb.mlb.com/team/player.jsp?player_id=457477",457477)</f>
        <v>457477</v>
      </c>
      <c r="BE654">
        <v>0</v>
      </c>
      <c r="BF654">
        <v>0</v>
      </c>
      <c r="BG654">
        <v>70</v>
      </c>
      <c r="BH654">
        <v>62</v>
      </c>
    </row>
    <row r="655" spans="1:60" x14ac:dyDescent="0.3">
      <c r="A655" s="4">
        <f>HYPERLINK("http://legacy.baseballprospectus.com/p/50054",50054)</f>
        <v>50054</v>
      </c>
      <c r="B655" t="s">
        <v>191</v>
      </c>
      <c r="C655" t="s">
        <v>192</v>
      </c>
      <c r="D655" s="10">
        <v>31867</v>
      </c>
      <c r="E655" t="s">
        <v>65</v>
      </c>
      <c r="F655" t="s">
        <v>33</v>
      </c>
      <c r="G655" t="s">
        <v>33</v>
      </c>
      <c r="H655">
        <v>73</v>
      </c>
      <c r="I655">
        <v>175</v>
      </c>
      <c r="J655">
        <v>2018</v>
      </c>
      <c r="K655" s="4" t="str">
        <f>HYPERLINK("http://legacy.baseballprospectus.com/fantasy/dc/index.php?tm=ATL","ATL")</f>
        <v>ATL</v>
      </c>
      <c r="L655" t="s">
        <v>95</v>
      </c>
      <c r="M655" t="s">
        <v>34</v>
      </c>
      <c r="N655">
        <v>31</v>
      </c>
      <c r="O655">
        <v>250</v>
      </c>
      <c r="P655" t="s">
        <v>1680</v>
      </c>
      <c r="Q655">
        <v>224</v>
      </c>
      <c r="R655">
        <v>27</v>
      </c>
      <c r="S655">
        <v>34</v>
      </c>
      <c r="T655">
        <v>9</v>
      </c>
      <c r="U655">
        <v>3</v>
      </c>
      <c r="V655">
        <v>5</v>
      </c>
      <c r="W655">
        <v>51</v>
      </c>
      <c r="X655">
        <v>81</v>
      </c>
      <c r="Y655">
        <v>24</v>
      </c>
      <c r="Z655">
        <v>17</v>
      </c>
      <c r="AA655">
        <v>1</v>
      </c>
      <c r="AB655">
        <v>4</v>
      </c>
      <c r="AC655">
        <v>68</v>
      </c>
      <c r="AD655">
        <v>4</v>
      </c>
      <c r="AE655">
        <v>1</v>
      </c>
      <c r="AF655">
        <v>6</v>
      </c>
      <c r="AG655">
        <v>6</v>
      </c>
      <c r="AH655">
        <v>4</v>
      </c>
      <c r="AI655" s="5">
        <v>0.22700000000000001</v>
      </c>
      <c r="AJ655" s="5">
        <v>0.28999999999999998</v>
      </c>
      <c r="AK655" s="5">
        <v>0.36299999999999999</v>
      </c>
      <c r="AL655" s="5">
        <v>0.22700000000000001</v>
      </c>
      <c r="AM655" s="5">
        <v>0.29199999999999998</v>
      </c>
      <c r="AN655">
        <v>0.5</v>
      </c>
      <c r="AO655">
        <v>2.11</v>
      </c>
      <c r="AP655">
        <v>7</v>
      </c>
      <c r="AQ655">
        <v>-8.65</v>
      </c>
      <c r="AR655">
        <v>-0.6</v>
      </c>
      <c r="AS655" t="s">
        <v>4232</v>
      </c>
      <c r="AT655">
        <v>0</v>
      </c>
      <c r="AU655">
        <v>0.9</v>
      </c>
      <c r="AV655">
        <v>1</v>
      </c>
      <c r="AW655">
        <v>40</v>
      </c>
      <c r="AX655">
        <v>11</v>
      </c>
      <c r="AY655">
        <v>22</v>
      </c>
      <c r="AZ655" t="s">
        <v>4233</v>
      </c>
      <c r="BA655">
        <v>81</v>
      </c>
      <c r="BB655" t="s">
        <v>36</v>
      </c>
      <c r="BC655" t="s">
        <v>36</v>
      </c>
      <c r="BD655" s="4">
        <f>HYPERLINK("http://mlb.mlb.com/team/player.jsp?player_id=488721",488721)</f>
        <v>488721</v>
      </c>
      <c r="BE655">
        <v>0</v>
      </c>
      <c r="BF655">
        <v>0</v>
      </c>
      <c r="BG655">
        <v>203</v>
      </c>
      <c r="BH655">
        <v>188</v>
      </c>
    </row>
    <row r="656" spans="1:60" x14ac:dyDescent="0.3">
      <c r="A656" s="4">
        <f>HYPERLINK("http://legacy.baseballprospectus.com/p/50131",50131)</f>
        <v>50131</v>
      </c>
      <c r="B656" t="s">
        <v>4319</v>
      </c>
      <c r="C656" t="s">
        <v>828</v>
      </c>
      <c r="D656" s="10">
        <v>31444</v>
      </c>
      <c r="E656" t="s">
        <v>58</v>
      </c>
      <c r="F656" t="s">
        <v>33</v>
      </c>
      <c r="G656" t="s">
        <v>33</v>
      </c>
      <c r="H656">
        <v>72</v>
      </c>
      <c r="I656">
        <v>190</v>
      </c>
      <c r="J656">
        <v>2018</v>
      </c>
      <c r="K656" s="4" t="str">
        <f>HYPERLINK("http://legacy.baseballprospectus.com/fantasy/dc/index.php?tm=ARI","ARI")</f>
        <v>ARI</v>
      </c>
      <c r="L656" t="s">
        <v>100</v>
      </c>
      <c r="M656" t="s">
        <v>34</v>
      </c>
      <c r="N656">
        <v>32</v>
      </c>
      <c r="O656">
        <v>45</v>
      </c>
      <c r="P656" t="s">
        <v>1680</v>
      </c>
      <c r="Q656">
        <v>40</v>
      </c>
      <c r="R656">
        <v>5</v>
      </c>
      <c r="S656">
        <v>6</v>
      </c>
      <c r="T656">
        <v>2</v>
      </c>
      <c r="U656">
        <v>0</v>
      </c>
      <c r="V656">
        <v>1</v>
      </c>
      <c r="W656">
        <v>9</v>
      </c>
      <c r="X656">
        <v>14</v>
      </c>
      <c r="Y656">
        <v>5</v>
      </c>
      <c r="Z656">
        <v>3</v>
      </c>
      <c r="AA656">
        <v>0</v>
      </c>
      <c r="AB656">
        <v>1</v>
      </c>
      <c r="AC656">
        <v>12</v>
      </c>
      <c r="AD656">
        <v>1</v>
      </c>
      <c r="AE656">
        <v>0</v>
      </c>
      <c r="AF656">
        <v>1</v>
      </c>
      <c r="AG656">
        <v>1</v>
      </c>
      <c r="AH656">
        <v>0</v>
      </c>
      <c r="AI656" s="5">
        <v>0.22900000000000001</v>
      </c>
      <c r="AJ656" s="5">
        <v>0.29199999999999998</v>
      </c>
      <c r="AK656" s="5">
        <v>0.377</v>
      </c>
      <c r="AL656" s="5">
        <v>0.22600000000000001</v>
      </c>
      <c r="AM656" s="5">
        <v>0.28999999999999998</v>
      </c>
      <c r="AN656">
        <v>0.1</v>
      </c>
      <c r="AO656">
        <v>0.55000000000000004</v>
      </c>
      <c r="AP656">
        <v>1.26</v>
      </c>
      <c r="AQ656">
        <v>-1.62</v>
      </c>
      <c r="AR656">
        <v>-0.2</v>
      </c>
      <c r="AS656" t="s">
        <v>999</v>
      </c>
      <c r="AT656">
        <v>0</v>
      </c>
      <c r="AU656">
        <v>0.3</v>
      </c>
      <c r="AV656">
        <v>3</v>
      </c>
      <c r="AW656">
        <v>13</v>
      </c>
      <c r="AX656">
        <v>8</v>
      </c>
      <c r="AY656">
        <v>28</v>
      </c>
      <c r="AZ656" t="s">
        <v>4320</v>
      </c>
      <c r="BA656">
        <v>40</v>
      </c>
      <c r="BB656" t="s">
        <v>36</v>
      </c>
      <c r="BC656" t="s">
        <v>36</v>
      </c>
      <c r="BD656" s="4">
        <f>HYPERLINK("http://mlb.mlb.com/team/player.jsp?player_id=502117",502117)</f>
        <v>502117</v>
      </c>
      <c r="BE656">
        <v>0</v>
      </c>
      <c r="BF656">
        <v>0</v>
      </c>
      <c r="BG656">
        <v>31</v>
      </c>
      <c r="BH656">
        <v>25</v>
      </c>
    </row>
    <row r="657" spans="1:60" x14ac:dyDescent="0.3">
      <c r="A657" s="4">
        <f>HYPERLINK("http://legacy.baseballprospectus.com/p/56655",56655)</f>
        <v>56655</v>
      </c>
      <c r="B657" t="s">
        <v>226</v>
      </c>
      <c r="C657" t="s">
        <v>151</v>
      </c>
      <c r="D657" s="10">
        <v>31094</v>
      </c>
      <c r="E657" t="s">
        <v>50</v>
      </c>
      <c r="F657" t="s">
        <v>9</v>
      </c>
      <c r="G657" t="s">
        <v>9</v>
      </c>
      <c r="H657">
        <v>77</v>
      </c>
      <c r="I657">
        <v>240</v>
      </c>
      <c r="J657">
        <v>2018</v>
      </c>
      <c r="K657" s="4" t="str">
        <f>HYPERLINK("http://legacy.baseballprospectus.com/fantasy/dc/index.php?tm=WAS","WAS")</f>
        <v>WAS</v>
      </c>
      <c r="L657" t="s">
        <v>100</v>
      </c>
      <c r="M657" t="s">
        <v>34</v>
      </c>
      <c r="N657">
        <v>33</v>
      </c>
      <c r="O657">
        <v>250</v>
      </c>
      <c r="P657" t="s">
        <v>1680</v>
      </c>
      <c r="Q657">
        <v>220</v>
      </c>
      <c r="R657">
        <v>28</v>
      </c>
      <c r="S657">
        <v>35</v>
      </c>
      <c r="T657">
        <v>11</v>
      </c>
      <c r="U657">
        <v>1</v>
      </c>
      <c r="V657">
        <v>9</v>
      </c>
      <c r="W657">
        <v>56</v>
      </c>
      <c r="X657">
        <v>96</v>
      </c>
      <c r="Y657">
        <v>32</v>
      </c>
      <c r="Z657">
        <v>25</v>
      </c>
      <c r="AA657">
        <v>1</v>
      </c>
      <c r="AB657">
        <v>2</v>
      </c>
      <c r="AC657">
        <v>54</v>
      </c>
      <c r="AD657">
        <v>1</v>
      </c>
      <c r="AE657">
        <v>2</v>
      </c>
      <c r="AF657">
        <v>6</v>
      </c>
      <c r="AG657">
        <v>0</v>
      </c>
      <c r="AH657">
        <v>0</v>
      </c>
      <c r="AI657" s="5">
        <v>0.249</v>
      </c>
      <c r="AJ657" s="5">
        <v>0.33</v>
      </c>
      <c r="AK657" s="5">
        <v>0.41699999999999998</v>
      </c>
      <c r="AL657" s="5">
        <v>0.249</v>
      </c>
      <c r="AM657" s="5">
        <v>0.28999999999999998</v>
      </c>
      <c r="AN657">
        <v>-0.5</v>
      </c>
      <c r="AO657">
        <v>-2.02</v>
      </c>
      <c r="AP657">
        <v>7</v>
      </c>
      <c r="AQ657">
        <v>-3</v>
      </c>
      <c r="AR657">
        <v>-1.8</v>
      </c>
      <c r="AS657" t="s">
        <v>4253</v>
      </c>
      <c r="AT657">
        <v>0</v>
      </c>
      <c r="AU657">
        <v>1.5</v>
      </c>
      <c r="AV657">
        <v>4</v>
      </c>
      <c r="AW657">
        <v>26</v>
      </c>
      <c r="AX657">
        <v>10</v>
      </c>
      <c r="AY657">
        <v>23</v>
      </c>
      <c r="AZ657" t="s">
        <v>4366</v>
      </c>
      <c r="BA657">
        <v>65</v>
      </c>
      <c r="BB657" t="s">
        <v>36</v>
      </c>
      <c r="BC657" t="s">
        <v>36</v>
      </c>
      <c r="BD657" s="4">
        <f>HYPERLINK("http://mlb.mlb.com/team/player.jsp?player_id=519208",519208)</f>
        <v>519208</v>
      </c>
      <c r="BE657">
        <v>0</v>
      </c>
      <c r="BF657">
        <v>0</v>
      </c>
      <c r="BG657">
        <v>0</v>
      </c>
      <c r="BH657">
        <v>0</v>
      </c>
    </row>
    <row r="658" spans="1:60" x14ac:dyDescent="0.3">
      <c r="A658" s="4">
        <f>HYPERLINK("http://legacy.baseballprospectus.com/p/56991",56991)</f>
        <v>56991</v>
      </c>
      <c r="B658" t="s">
        <v>537</v>
      </c>
      <c r="C658" t="s">
        <v>4367</v>
      </c>
      <c r="D658" s="10">
        <v>31546</v>
      </c>
      <c r="E658" t="s">
        <v>50</v>
      </c>
      <c r="F658" t="s">
        <v>9</v>
      </c>
      <c r="G658" t="s">
        <v>9</v>
      </c>
      <c r="H658">
        <v>72</v>
      </c>
      <c r="I658">
        <v>210</v>
      </c>
      <c r="J658">
        <v>2018</v>
      </c>
      <c r="K658" s="4" t="str">
        <f>HYPERLINK("http://legacy.baseballprospectus.com/fantasy/dc/index.php?tm=CHN","CHN")</f>
        <v>CHN</v>
      </c>
      <c r="L658" t="s">
        <v>95</v>
      </c>
      <c r="M658" t="s">
        <v>34</v>
      </c>
      <c r="N658">
        <v>32</v>
      </c>
      <c r="O658">
        <v>250</v>
      </c>
      <c r="P658" t="s">
        <v>1680</v>
      </c>
      <c r="Q658">
        <v>222</v>
      </c>
      <c r="R658">
        <v>25</v>
      </c>
      <c r="S658">
        <v>41</v>
      </c>
      <c r="T658">
        <v>11</v>
      </c>
      <c r="U658">
        <v>1</v>
      </c>
      <c r="V658">
        <v>5</v>
      </c>
      <c r="W658">
        <v>58</v>
      </c>
      <c r="X658">
        <v>86</v>
      </c>
      <c r="Y658">
        <v>26</v>
      </c>
      <c r="Z658">
        <v>25</v>
      </c>
      <c r="AA658">
        <v>1</v>
      </c>
      <c r="AB658">
        <v>1</v>
      </c>
      <c r="AC658">
        <v>51</v>
      </c>
      <c r="AD658">
        <v>0</v>
      </c>
      <c r="AE658">
        <v>1</v>
      </c>
      <c r="AF658">
        <v>8</v>
      </c>
      <c r="AG658">
        <v>0</v>
      </c>
      <c r="AH658">
        <v>1</v>
      </c>
      <c r="AI658" s="5">
        <v>0.26100000000000001</v>
      </c>
      <c r="AJ658" s="5">
        <v>0.33600000000000002</v>
      </c>
      <c r="AK658" s="5">
        <v>0.38300000000000001</v>
      </c>
      <c r="AL658" s="5">
        <v>0.24099999999999999</v>
      </c>
      <c r="AM658" s="5">
        <v>0.318</v>
      </c>
      <c r="AN658">
        <v>-0.5</v>
      </c>
      <c r="AO658">
        <v>-1.93</v>
      </c>
      <c r="AP658">
        <v>7</v>
      </c>
      <c r="AQ658">
        <v>-5.1100000000000003</v>
      </c>
      <c r="AR658">
        <v>0.5</v>
      </c>
      <c r="AS658" t="s">
        <v>4920</v>
      </c>
      <c r="AT658">
        <v>0</v>
      </c>
      <c r="AU658">
        <v>-0.6</v>
      </c>
      <c r="AV658">
        <v>2</v>
      </c>
      <c r="AW658">
        <v>10</v>
      </c>
      <c r="AX658">
        <v>9</v>
      </c>
      <c r="AY658">
        <v>26</v>
      </c>
      <c r="AZ658" t="s">
        <v>4368</v>
      </c>
      <c r="BA658">
        <v>33</v>
      </c>
      <c r="BB658" t="s">
        <v>36</v>
      </c>
      <c r="BC658" t="s">
        <v>36</v>
      </c>
      <c r="BD658" s="4">
        <f>HYPERLINK("http://mlb.mlb.com/team/player.jsp?player_id=519068",519068)</f>
        <v>519068</v>
      </c>
      <c r="BE658">
        <v>0</v>
      </c>
      <c r="BF658">
        <v>0</v>
      </c>
      <c r="BG658">
        <v>69</v>
      </c>
      <c r="BH658">
        <v>61</v>
      </c>
    </row>
    <row r="659" spans="1:60" x14ac:dyDescent="0.3">
      <c r="A659" s="4">
        <f>HYPERLINK("http://legacy.baseballprospectus.com/p/57645",57645)</f>
        <v>57645</v>
      </c>
      <c r="B659" t="s">
        <v>152</v>
      </c>
      <c r="C659" t="s">
        <v>153</v>
      </c>
      <c r="D659" s="10">
        <v>31359</v>
      </c>
      <c r="E659" t="s">
        <v>58</v>
      </c>
      <c r="F659" t="s">
        <v>33</v>
      </c>
      <c r="G659" t="s">
        <v>33</v>
      </c>
      <c r="H659">
        <v>70</v>
      </c>
      <c r="I659">
        <v>180</v>
      </c>
      <c r="J659">
        <v>2018</v>
      </c>
      <c r="K659" s="4" t="str">
        <f>HYPERLINK("http://legacy.baseballprospectus.com/fantasy/dc/index.php?tm=TOR","TOR")</f>
        <v>TOR</v>
      </c>
      <c r="L659" t="s">
        <v>95</v>
      </c>
      <c r="M659" t="s">
        <v>34</v>
      </c>
      <c r="N659">
        <v>32</v>
      </c>
      <c r="O659">
        <v>329</v>
      </c>
      <c r="P659" t="s">
        <v>1680</v>
      </c>
      <c r="Q659">
        <v>299</v>
      </c>
      <c r="R659">
        <v>33</v>
      </c>
      <c r="S659">
        <v>52</v>
      </c>
      <c r="T659">
        <v>14</v>
      </c>
      <c r="U659">
        <v>1</v>
      </c>
      <c r="V659">
        <v>6</v>
      </c>
      <c r="W659">
        <v>73</v>
      </c>
      <c r="X659">
        <v>107</v>
      </c>
      <c r="Y659">
        <v>31</v>
      </c>
      <c r="Z659">
        <v>22</v>
      </c>
      <c r="AA659">
        <v>1</v>
      </c>
      <c r="AB659">
        <v>3</v>
      </c>
      <c r="AC659">
        <v>52</v>
      </c>
      <c r="AD659">
        <v>3</v>
      </c>
      <c r="AE659">
        <v>2</v>
      </c>
      <c r="AF659">
        <v>10</v>
      </c>
      <c r="AG659">
        <v>4</v>
      </c>
      <c r="AH659">
        <v>2</v>
      </c>
      <c r="AI659" s="5">
        <v>0.24099999999999999</v>
      </c>
      <c r="AJ659" s="5">
        <v>0.29699999999999999</v>
      </c>
      <c r="AK659" s="5">
        <v>0.35099999999999998</v>
      </c>
      <c r="AL659" s="5">
        <v>0.22</v>
      </c>
      <c r="AM659" s="5">
        <v>0.26800000000000002</v>
      </c>
      <c r="AN659">
        <v>-0.6</v>
      </c>
      <c r="AO659">
        <v>3.72</v>
      </c>
      <c r="AP659">
        <v>9.2100000000000009</v>
      </c>
      <c r="AQ659">
        <v>-13.69</v>
      </c>
      <c r="AR659">
        <v>1.6</v>
      </c>
      <c r="AS659" t="s">
        <v>1702</v>
      </c>
      <c r="AT659">
        <v>0</v>
      </c>
      <c r="AU659">
        <v>-1.3</v>
      </c>
      <c r="AV659">
        <v>5</v>
      </c>
      <c r="AW659">
        <v>37</v>
      </c>
      <c r="AX659">
        <v>11</v>
      </c>
      <c r="AY659">
        <v>28</v>
      </c>
      <c r="AZ659" t="s">
        <v>4369</v>
      </c>
      <c r="BA659">
        <v>87</v>
      </c>
      <c r="BB659" t="s">
        <v>36</v>
      </c>
      <c r="BC659" t="s">
        <v>36</v>
      </c>
      <c r="BD659" s="4">
        <f>HYPERLINK("http://mlb.mlb.com/team/player.jsp?player_id=446381",446381)</f>
        <v>446381</v>
      </c>
      <c r="BE659">
        <v>710</v>
      </c>
      <c r="BF659">
        <v>1710</v>
      </c>
      <c r="BG659">
        <v>362</v>
      </c>
      <c r="BH659">
        <v>336</v>
      </c>
    </row>
    <row r="660" spans="1:60" x14ac:dyDescent="0.3">
      <c r="A660" s="4">
        <f>HYPERLINK("http://legacy.baseballprospectus.com/p/65828",65828)</f>
        <v>65828</v>
      </c>
      <c r="B660" t="s">
        <v>4427</v>
      </c>
      <c r="C660" t="s">
        <v>4428</v>
      </c>
      <c r="D660" s="10">
        <v>32195</v>
      </c>
      <c r="E660" t="s">
        <v>54</v>
      </c>
      <c r="F660" t="s">
        <v>33</v>
      </c>
      <c r="G660" t="s">
        <v>33</v>
      </c>
      <c r="H660">
        <v>73</v>
      </c>
      <c r="I660">
        <v>185</v>
      </c>
      <c r="J660">
        <v>2018</v>
      </c>
      <c r="K660" s="4" t="str">
        <f>HYPERLINK("http://legacy.baseballprospectus.com/fantasy/dc/index.php?tm=LAN","LAN")</f>
        <v>LAN</v>
      </c>
      <c r="L660" t="s">
        <v>100</v>
      </c>
      <c r="M660" t="s">
        <v>34</v>
      </c>
      <c r="N660">
        <v>30</v>
      </c>
      <c r="O660">
        <v>61</v>
      </c>
      <c r="P660" t="s">
        <v>1680</v>
      </c>
      <c r="Q660">
        <v>55</v>
      </c>
      <c r="R660">
        <v>5</v>
      </c>
      <c r="S660">
        <v>9</v>
      </c>
      <c r="T660">
        <v>2</v>
      </c>
      <c r="U660">
        <v>0</v>
      </c>
      <c r="V660">
        <v>1</v>
      </c>
      <c r="W660">
        <v>12</v>
      </c>
      <c r="X660">
        <v>17</v>
      </c>
      <c r="Y660">
        <v>6</v>
      </c>
      <c r="Z660">
        <v>4</v>
      </c>
      <c r="AA660">
        <v>0</v>
      </c>
      <c r="AB660">
        <v>1</v>
      </c>
      <c r="AC660">
        <v>13</v>
      </c>
      <c r="AD660">
        <v>0</v>
      </c>
      <c r="AE660">
        <v>0</v>
      </c>
      <c r="AF660">
        <v>2</v>
      </c>
      <c r="AG660">
        <v>0</v>
      </c>
      <c r="AH660">
        <v>0</v>
      </c>
      <c r="AI660" s="5">
        <v>0.22700000000000001</v>
      </c>
      <c r="AJ660" s="5">
        <v>0.28599999999999998</v>
      </c>
      <c r="AK660" s="5">
        <v>0.32900000000000001</v>
      </c>
      <c r="AL660" s="5">
        <v>0.21299999999999999</v>
      </c>
      <c r="AM660" s="5">
        <v>0.27500000000000002</v>
      </c>
      <c r="AN660">
        <v>-0.1</v>
      </c>
      <c r="AO660">
        <v>1.34</v>
      </c>
      <c r="AP660">
        <v>1.71</v>
      </c>
      <c r="AQ660">
        <v>-3.02</v>
      </c>
      <c r="AR660">
        <v>0</v>
      </c>
      <c r="AS660" t="s">
        <v>71</v>
      </c>
      <c r="AT660">
        <v>0</v>
      </c>
      <c r="AU660">
        <v>0</v>
      </c>
      <c r="AV660">
        <v>2</v>
      </c>
      <c r="AW660">
        <v>12</v>
      </c>
      <c r="AX660">
        <v>6</v>
      </c>
      <c r="AY660">
        <v>17</v>
      </c>
      <c r="AZ660" t="s">
        <v>4429</v>
      </c>
      <c r="BA660">
        <v>33</v>
      </c>
      <c r="BB660" t="s">
        <v>36</v>
      </c>
      <c r="BC660" t="s">
        <v>35</v>
      </c>
      <c r="BD660" s="4">
        <f>HYPERLINK("http://mlb.mlb.com/team/player.jsp?player_id=502570",502570)</f>
        <v>502570</v>
      </c>
      <c r="BE660">
        <v>1408</v>
      </c>
      <c r="BF660">
        <v>408</v>
      </c>
      <c r="BG660">
        <v>10</v>
      </c>
      <c r="BH660">
        <v>10</v>
      </c>
    </row>
    <row r="661" spans="1:60" x14ac:dyDescent="0.3">
      <c r="A661" s="4">
        <f>HYPERLINK("http://legacy.baseballprospectus.com/p/66317",66317)</f>
        <v>66317</v>
      </c>
      <c r="B661" t="s">
        <v>568</v>
      </c>
      <c r="C661" t="s">
        <v>1756</v>
      </c>
      <c r="D661" s="10">
        <v>33293</v>
      </c>
      <c r="E661" t="s">
        <v>65</v>
      </c>
      <c r="F661" t="s">
        <v>37</v>
      </c>
      <c r="G661" t="s">
        <v>33</v>
      </c>
      <c r="H661">
        <v>71</v>
      </c>
      <c r="I661">
        <v>170</v>
      </c>
      <c r="J661">
        <v>2018</v>
      </c>
      <c r="K661" s="4" t="str">
        <f>HYPERLINK("http://legacy.baseballprospectus.com/fantasy/dc/index.php?tm=MIA","MIA")</f>
        <v>MIA</v>
      </c>
      <c r="L661" t="s">
        <v>100</v>
      </c>
      <c r="M661" t="s">
        <v>34</v>
      </c>
      <c r="N661">
        <v>27</v>
      </c>
      <c r="O661">
        <v>250</v>
      </c>
      <c r="P661" t="s">
        <v>1680</v>
      </c>
      <c r="Q661">
        <v>223</v>
      </c>
      <c r="R661">
        <v>33</v>
      </c>
      <c r="S661">
        <v>37</v>
      </c>
      <c r="T661">
        <v>7</v>
      </c>
      <c r="U661">
        <v>2</v>
      </c>
      <c r="V661">
        <v>4</v>
      </c>
      <c r="W661">
        <v>50</v>
      </c>
      <c r="X661">
        <v>73</v>
      </c>
      <c r="Y661">
        <v>19</v>
      </c>
      <c r="Z661">
        <v>21</v>
      </c>
      <c r="AA661">
        <v>1</v>
      </c>
      <c r="AB661">
        <v>1</v>
      </c>
      <c r="AC661">
        <v>58</v>
      </c>
      <c r="AD661">
        <v>3</v>
      </c>
      <c r="AE661">
        <v>1</v>
      </c>
      <c r="AF661">
        <v>5</v>
      </c>
      <c r="AG661">
        <v>15</v>
      </c>
      <c r="AH661">
        <v>5</v>
      </c>
      <c r="AI661" s="5">
        <v>0.223</v>
      </c>
      <c r="AJ661" s="5">
        <v>0.29099999999999998</v>
      </c>
      <c r="AK661" s="5">
        <v>0.32700000000000001</v>
      </c>
      <c r="AL661" s="5">
        <v>0.21199999999999999</v>
      </c>
      <c r="AM661" s="5">
        <v>0.27500000000000002</v>
      </c>
      <c r="AN661">
        <v>1.4</v>
      </c>
      <c r="AO661">
        <v>3.2</v>
      </c>
      <c r="AP661">
        <v>7</v>
      </c>
      <c r="AQ661">
        <v>-12.59</v>
      </c>
      <c r="AR661">
        <v>0.9</v>
      </c>
      <c r="AS661" t="s">
        <v>4370</v>
      </c>
      <c r="AT661">
        <v>0</v>
      </c>
      <c r="AU661">
        <v>-1</v>
      </c>
      <c r="AV661">
        <v>3</v>
      </c>
      <c r="AW661">
        <v>13</v>
      </c>
      <c r="AX661">
        <v>1</v>
      </c>
      <c r="AY661">
        <v>8</v>
      </c>
      <c r="AZ661" t="s">
        <v>4371</v>
      </c>
      <c r="BA661">
        <v>18</v>
      </c>
      <c r="BB661" t="s">
        <v>36</v>
      </c>
      <c r="BC661" t="s">
        <v>35</v>
      </c>
      <c r="BD661" s="4">
        <f>HYPERLINK("http://mlb.mlb.com/team/player.jsp?player_id=570639",570639)</f>
        <v>570639</v>
      </c>
      <c r="BE661">
        <v>0</v>
      </c>
      <c r="BF661">
        <v>0</v>
      </c>
      <c r="BG661">
        <v>0</v>
      </c>
      <c r="BH661">
        <v>0</v>
      </c>
    </row>
    <row r="662" spans="1:60" x14ac:dyDescent="0.3">
      <c r="A662" s="4">
        <f>HYPERLINK("http://legacy.baseballprospectus.com/p/66525",66525)</f>
        <v>66525</v>
      </c>
      <c r="B662" t="s">
        <v>4372</v>
      </c>
      <c r="C662" t="s">
        <v>4373</v>
      </c>
      <c r="D662" s="10">
        <v>33513</v>
      </c>
      <c r="E662" t="s">
        <v>65</v>
      </c>
      <c r="F662" t="s">
        <v>33</v>
      </c>
      <c r="G662" t="s">
        <v>33</v>
      </c>
      <c r="H662">
        <v>74</v>
      </c>
      <c r="I662">
        <v>210</v>
      </c>
      <c r="J662">
        <v>2018</v>
      </c>
      <c r="K662" s="4" t="str">
        <f>HYPERLINK("http://legacy.baseballprospectus.com/fantasy/dc/index.php?tm=COL","COL")</f>
        <v>COL</v>
      </c>
      <c r="L662" t="s">
        <v>100</v>
      </c>
      <c r="M662" t="s">
        <v>34</v>
      </c>
      <c r="N662">
        <v>26</v>
      </c>
      <c r="O662">
        <v>250</v>
      </c>
      <c r="P662" t="s">
        <v>1680</v>
      </c>
      <c r="Q662">
        <v>231</v>
      </c>
      <c r="R662">
        <v>28</v>
      </c>
      <c r="S662">
        <v>41</v>
      </c>
      <c r="T662">
        <v>10</v>
      </c>
      <c r="U662">
        <v>3</v>
      </c>
      <c r="V662">
        <v>7</v>
      </c>
      <c r="W662">
        <v>61</v>
      </c>
      <c r="X662">
        <v>98</v>
      </c>
      <c r="Y662">
        <v>29</v>
      </c>
      <c r="Z662">
        <v>12</v>
      </c>
      <c r="AA662">
        <v>1</v>
      </c>
      <c r="AB662">
        <v>3</v>
      </c>
      <c r="AC662">
        <v>59</v>
      </c>
      <c r="AD662">
        <v>2</v>
      </c>
      <c r="AE662">
        <v>1</v>
      </c>
      <c r="AF662">
        <v>8</v>
      </c>
      <c r="AG662">
        <v>6</v>
      </c>
      <c r="AH662">
        <v>2</v>
      </c>
      <c r="AI662" s="5">
        <v>0.26200000000000001</v>
      </c>
      <c r="AJ662" s="5">
        <v>0.307</v>
      </c>
      <c r="AK662" s="5">
        <v>0.41699999999999998</v>
      </c>
      <c r="AL662" s="5">
        <v>0.23300000000000001</v>
      </c>
      <c r="AM662" s="5">
        <v>0.31900000000000001</v>
      </c>
      <c r="AN662">
        <v>0.6</v>
      </c>
      <c r="AO662">
        <v>1.49</v>
      </c>
      <c r="AP662">
        <v>7</v>
      </c>
      <c r="AQ662">
        <v>-7.22</v>
      </c>
      <c r="AR662">
        <v>-1.8</v>
      </c>
      <c r="AS662" t="s">
        <v>4857</v>
      </c>
      <c r="AT662">
        <v>0</v>
      </c>
      <c r="AU662">
        <v>1.8</v>
      </c>
      <c r="AV662">
        <v>1</v>
      </c>
      <c r="AW662">
        <v>8</v>
      </c>
      <c r="AX662">
        <v>4</v>
      </c>
      <c r="AY662">
        <v>16</v>
      </c>
      <c r="AZ662" t="s">
        <v>4374</v>
      </c>
      <c r="BA662">
        <v>17</v>
      </c>
      <c r="BB662" t="s">
        <v>36</v>
      </c>
      <c r="BC662" t="s">
        <v>35</v>
      </c>
      <c r="BD662" s="4">
        <f>HYPERLINK("http://mlb.mlb.com/team/player.jsp?player_id=571595",571595)</f>
        <v>571595</v>
      </c>
      <c r="BE662">
        <v>0</v>
      </c>
      <c r="BF662">
        <v>0</v>
      </c>
      <c r="BG662">
        <v>0</v>
      </c>
      <c r="BH662">
        <v>0</v>
      </c>
    </row>
    <row r="663" spans="1:60" x14ac:dyDescent="0.3">
      <c r="A663" s="4">
        <f>HYPERLINK("http://legacy.baseballprospectus.com/p/68943",68943)</f>
        <v>68943</v>
      </c>
      <c r="B663" t="s">
        <v>1718</v>
      </c>
      <c r="C663" t="s">
        <v>278</v>
      </c>
      <c r="D663" s="10">
        <v>33804</v>
      </c>
      <c r="E663" t="s">
        <v>53</v>
      </c>
      <c r="F663" t="s">
        <v>33</v>
      </c>
      <c r="G663" t="s">
        <v>33</v>
      </c>
      <c r="H663">
        <v>73</v>
      </c>
      <c r="I663">
        <v>185</v>
      </c>
      <c r="J663">
        <v>2018</v>
      </c>
      <c r="K663" s="4" t="str">
        <f>HYPERLINK("http://legacy.baseballprospectus.com/fantasy/dc/index.php?tm=ARI","ARI")</f>
        <v>ARI</v>
      </c>
      <c r="L663" t="s">
        <v>100</v>
      </c>
      <c r="M663" t="s">
        <v>34</v>
      </c>
      <c r="N663">
        <v>25</v>
      </c>
      <c r="O663">
        <v>250</v>
      </c>
      <c r="P663" t="s">
        <v>1680</v>
      </c>
      <c r="Q663">
        <v>227</v>
      </c>
      <c r="R663">
        <v>28</v>
      </c>
      <c r="S663">
        <v>39</v>
      </c>
      <c r="T663">
        <v>11</v>
      </c>
      <c r="U663">
        <v>1</v>
      </c>
      <c r="V663">
        <v>4</v>
      </c>
      <c r="W663">
        <v>55</v>
      </c>
      <c r="X663">
        <v>80</v>
      </c>
      <c r="Y663">
        <v>20</v>
      </c>
      <c r="Z663">
        <v>20</v>
      </c>
      <c r="AA663">
        <v>1</v>
      </c>
      <c r="AB663">
        <v>2</v>
      </c>
      <c r="AC663">
        <v>57</v>
      </c>
      <c r="AD663">
        <v>1</v>
      </c>
      <c r="AE663">
        <v>1</v>
      </c>
      <c r="AF663">
        <v>5</v>
      </c>
      <c r="AG663">
        <v>5</v>
      </c>
      <c r="AH663">
        <v>3</v>
      </c>
      <c r="AI663" s="5">
        <v>0.24199999999999999</v>
      </c>
      <c r="AJ663" s="5">
        <v>0.30499999999999999</v>
      </c>
      <c r="AK663" s="5">
        <v>0.35099999999999998</v>
      </c>
      <c r="AL663" s="5">
        <v>0.22800000000000001</v>
      </c>
      <c r="AM663" s="5">
        <v>0.30499999999999999</v>
      </c>
      <c r="AN663">
        <v>-0.2</v>
      </c>
      <c r="AO663">
        <v>3.28</v>
      </c>
      <c r="AP663">
        <v>7</v>
      </c>
      <c r="AQ663">
        <v>-8.3800000000000008</v>
      </c>
      <c r="AR663">
        <v>-1.6</v>
      </c>
      <c r="AS663" t="s">
        <v>1948</v>
      </c>
      <c r="AT663">
        <v>0</v>
      </c>
      <c r="AU663">
        <v>1.7</v>
      </c>
      <c r="AV663">
        <v>3</v>
      </c>
      <c r="AW663">
        <v>15</v>
      </c>
      <c r="AX663">
        <v>10</v>
      </c>
      <c r="AY663">
        <v>23</v>
      </c>
      <c r="AZ663" t="s">
        <v>4375</v>
      </c>
      <c r="BA663">
        <v>38</v>
      </c>
      <c r="BB663" t="s">
        <v>36</v>
      </c>
      <c r="BC663" t="s">
        <v>35</v>
      </c>
      <c r="BD663" s="4">
        <f>HYPERLINK("http://mlb.mlb.com/team/player.jsp?player_id=595373",595373)</f>
        <v>595373</v>
      </c>
      <c r="BE663">
        <v>1548</v>
      </c>
      <c r="BF663">
        <v>548</v>
      </c>
      <c r="BG663">
        <v>5</v>
      </c>
      <c r="BH663">
        <v>5</v>
      </c>
    </row>
    <row r="664" spans="1:60" x14ac:dyDescent="0.3">
      <c r="A664" s="4">
        <f>HYPERLINK("http://legacy.baseballprospectus.com/p/71116",71116)</f>
        <v>71116</v>
      </c>
      <c r="B664" t="s">
        <v>984</v>
      </c>
      <c r="C664" t="s">
        <v>247</v>
      </c>
      <c r="D664" s="10">
        <v>33930</v>
      </c>
      <c r="E664" t="s">
        <v>51</v>
      </c>
      <c r="F664" t="s">
        <v>33</v>
      </c>
      <c r="G664" t="s">
        <v>33</v>
      </c>
      <c r="H664">
        <v>74</v>
      </c>
      <c r="I664">
        <v>195</v>
      </c>
      <c r="J664">
        <v>2018</v>
      </c>
      <c r="K664" s="4" t="str">
        <f>HYPERLINK("http://legacy.baseballprospectus.com/fantasy/dc/index.php?tm=PIT","PIT")</f>
        <v>PIT</v>
      </c>
      <c r="L664" t="s">
        <v>100</v>
      </c>
      <c r="M664" t="s">
        <v>34</v>
      </c>
      <c r="N664">
        <v>25</v>
      </c>
      <c r="O664">
        <v>250</v>
      </c>
      <c r="P664" t="s">
        <v>1680</v>
      </c>
      <c r="Q664">
        <v>222</v>
      </c>
      <c r="R664">
        <v>27</v>
      </c>
      <c r="S664">
        <v>30</v>
      </c>
      <c r="T664">
        <v>10</v>
      </c>
      <c r="U664">
        <v>1</v>
      </c>
      <c r="V664">
        <v>9</v>
      </c>
      <c r="W664">
        <v>50</v>
      </c>
      <c r="X664">
        <v>89</v>
      </c>
      <c r="Y664">
        <v>31</v>
      </c>
      <c r="Z664">
        <v>23</v>
      </c>
      <c r="AA664">
        <v>1</v>
      </c>
      <c r="AB664">
        <v>2</v>
      </c>
      <c r="AC664">
        <v>67</v>
      </c>
      <c r="AD664">
        <v>1</v>
      </c>
      <c r="AE664">
        <v>2</v>
      </c>
      <c r="AF664">
        <v>7</v>
      </c>
      <c r="AG664">
        <v>2</v>
      </c>
      <c r="AH664">
        <v>1</v>
      </c>
      <c r="AI664" s="5">
        <v>0.22700000000000001</v>
      </c>
      <c r="AJ664" s="5">
        <v>0.30199999999999999</v>
      </c>
      <c r="AK664" s="5">
        <v>0.40200000000000002</v>
      </c>
      <c r="AL664" s="5">
        <v>0.23699999999999999</v>
      </c>
      <c r="AM664" s="5">
        <v>0.27900000000000003</v>
      </c>
      <c r="AN664">
        <v>-0.2</v>
      </c>
      <c r="AO664">
        <v>0.62</v>
      </c>
      <c r="AP664">
        <v>7</v>
      </c>
      <c r="AQ664">
        <v>-5.97</v>
      </c>
      <c r="AR664">
        <v>-1.4</v>
      </c>
      <c r="AS664" t="s">
        <v>3716</v>
      </c>
      <c r="AT664">
        <v>0</v>
      </c>
      <c r="AU664">
        <v>1.5</v>
      </c>
      <c r="AV664">
        <v>5</v>
      </c>
      <c r="AW664">
        <v>9</v>
      </c>
      <c r="AX664">
        <v>7</v>
      </c>
      <c r="AY664">
        <v>19</v>
      </c>
      <c r="AZ664" t="s">
        <v>4376</v>
      </c>
      <c r="BA664">
        <v>23</v>
      </c>
      <c r="BB664" t="s">
        <v>36</v>
      </c>
      <c r="BC664" t="s">
        <v>35</v>
      </c>
      <c r="BD664" s="4">
        <f>HYPERLINK("http://mlb.mlb.com/team/player.jsp?player_id=607780",607780)</f>
        <v>607780</v>
      </c>
      <c r="BE664">
        <v>0</v>
      </c>
      <c r="BF664">
        <v>0</v>
      </c>
      <c r="BG664">
        <v>0</v>
      </c>
      <c r="BH664">
        <v>0</v>
      </c>
    </row>
    <row r="665" spans="1:60" x14ac:dyDescent="0.3">
      <c r="A665" s="4">
        <f>HYPERLINK("http://legacy.baseballprospectus.com/p/100145",100145)</f>
        <v>100145</v>
      </c>
      <c r="B665" t="s">
        <v>1227</v>
      </c>
      <c r="C665" t="s">
        <v>234</v>
      </c>
      <c r="D665" s="10">
        <v>30613</v>
      </c>
      <c r="E665" t="s">
        <v>50</v>
      </c>
      <c r="F665" t="s">
        <v>33</v>
      </c>
      <c r="G665" t="s">
        <v>33</v>
      </c>
      <c r="H665">
        <v>76</v>
      </c>
      <c r="I665">
        <v>210</v>
      </c>
      <c r="J665">
        <v>2018</v>
      </c>
      <c r="K665" s="4" t="str">
        <f>HYPERLINK("http://legacy.baseballprospectus.com/fantasy/dc/index.php?tm=TOR","TOR")</f>
        <v>TOR</v>
      </c>
      <c r="L665" t="s">
        <v>95</v>
      </c>
      <c r="M665" t="s">
        <v>34</v>
      </c>
      <c r="N665">
        <v>34</v>
      </c>
      <c r="O665">
        <v>250</v>
      </c>
      <c r="P665" t="s">
        <v>1680</v>
      </c>
      <c r="Q665">
        <v>223</v>
      </c>
      <c r="R665">
        <v>29</v>
      </c>
      <c r="S665">
        <v>34</v>
      </c>
      <c r="T665">
        <v>10</v>
      </c>
      <c r="U665">
        <v>0</v>
      </c>
      <c r="V665">
        <v>9</v>
      </c>
      <c r="W665">
        <v>53</v>
      </c>
      <c r="X665">
        <v>90</v>
      </c>
      <c r="Y665">
        <v>33</v>
      </c>
      <c r="Z665">
        <v>23</v>
      </c>
      <c r="AA665">
        <v>1</v>
      </c>
      <c r="AB665">
        <v>2</v>
      </c>
      <c r="AC665">
        <v>73</v>
      </c>
      <c r="AD665">
        <v>0</v>
      </c>
      <c r="AE665">
        <v>1</v>
      </c>
      <c r="AF665">
        <v>8</v>
      </c>
      <c r="AG665">
        <v>0</v>
      </c>
      <c r="AH665">
        <v>0</v>
      </c>
      <c r="AI665" s="5">
        <v>0.24399999999999999</v>
      </c>
      <c r="AJ665" s="5">
        <v>0.318</v>
      </c>
      <c r="AK665" s="5">
        <v>0.41899999999999998</v>
      </c>
      <c r="AL665" s="5">
        <v>0.25</v>
      </c>
      <c r="AM665" s="5">
        <v>0.315</v>
      </c>
      <c r="AN665">
        <v>0.3</v>
      </c>
      <c r="AO665">
        <v>-1.72</v>
      </c>
      <c r="AP665">
        <v>7</v>
      </c>
      <c r="AQ665">
        <v>-2.59</v>
      </c>
      <c r="AR665">
        <v>-2.6</v>
      </c>
      <c r="AS665" t="s">
        <v>4253</v>
      </c>
      <c r="AT665">
        <v>0</v>
      </c>
      <c r="AU665">
        <v>2.9</v>
      </c>
      <c r="AV665">
        <v>3</v>
      </c>
      <c r="AW665">
        <v>16</v>
      </c>
      <c r="AX665">
        <v>10</v>
      </c>
      <c r="AY665">
        <v>29</v>
      </c>
      <c r="AZ665" t="s">
        <v>4254</v>
      </c>
      <c r="BA665">
        <v>69</v>
      </c>
      <c r="BB665" t="s">
        <v>36</v>
      </c>
      <c r="BC665" t="s">
        <v>36</v>
      </c>
      <c r="BD665" s="4">
        <f>HYPERLINK("http://mlb.mlb.com/team/player.jsp?player_id=499624",499624)</f>
        <v>499624</v>
      </c>
      <c r="BE665">
        <v>0</v>
      </c>
      <c r="BF665">
        <v>0</v>
      </c>
      <c r="BG665">
        <v>0</v>
      </c>
      <c r="BH665">
        <v>0</v>
      </c>
    </row>
    <row r="666" spans="1:60" x14ac:dyDescent="0.3">
      <c r="A666" s="4">
        <f>HYPERLINK("http://legacy.baseballprospectus.com/p/103230",103230)</f>
        <v>103230</v>
      </c>
      <c r="B666" t="s">
        <v>1407</v>
      </c>
      <c r="C666" t="s">
        <v>621</v>
      </c>
      <c r="D666" s="10">
        <v>34953</v>
      </c>
      <c r="E666" t="s">
        <v>58</v>
      </c>
      <c r="F666" t="s">
        <v>37</v>
      </c>
      <c r="G666" t="s">
        <v>33</v>
      </c>
      <c r="H666">
        <v>71</v>
      </c>
      <c r="I666">
        <v>160</v>
      </c>
      <c r="J666">
        <v>2018</v>
      </c>
      <c r="K666" s="4" t="str">
        <f>HYPERLINK("http://legacy.baseballprospectus.com/fantasy/dc/index.php?tm=ARI","ARI")</f>
        <v>ARI</v>
      </c>
      <c r="L666" t="s">
        <v>100</v>
      </c>
      <c r="M666" t="s">
        <v>34</v>
      </c>
      <c r="N666">
        <v>22</v>
      </c>
      <c r="O666">
        <v>32</v>
      </c>
      <c r="P666">
        <v>10</v>
      </c>
      <c r="Q666">
        <v>30</v>
      </c>
      <c r="R666">
        <v>3</v>
      </c>
      <c r="S666">
        <v>5</v>
      </c>
      <c r="T666">
        <v>2</v>
      </c>
      <c r="U666">
        <v>0</v>
      </c>
      <c r="V666">
        <v>1</v>
      </c>
      <c r="W666">
        <v>8</v>
      </c>
      <c r="X666">
        <v>13</v>
      </c>
      <c r="Y666">
        <v>3</v>
      </c>
      <c r="Z666">
        <v>2</v>
      </c>
      <c r="AA666">
        <v>0</v>
      </c>
      <c r="AB666">
        <v>0</v>
      </c>
      <c r="AC666">
        <v>6</v>
      </c>
      <c r="AD666">
        <v>0</v>
      </c>
      <c r="AE666">
        <v>0</v>
      </c>
      <c r="AF666">
        <v>1</v>
      </c>
      <c r="AG666">
        <v>0</v>
      </c>
      <c r="AH666">
        <v>0</v>
      </c>
      <c r="AI666" s="5">
        <v>0.26700000000000002</v>
      </c>
      <c r="AJ666" s="5">
        <v>0.312</v>
      </c>
      <c r="AK666" s="5">
        <v>0.433</v>
      </c>
      <c r="AL666" s="5">
        <v>0.222</v>
      </c>
      <c r="AM666" s="5">
        <v>0.28100000000000003</v>
      </c>
      <c r="AN666">
        <v>0</v>
      </c>
      <c r="AO666">
        <v>0.17</v>
      </c>
      <c r="AP666">
        <v>0.86</v>
      </c>
      <c r="AQ666">
        <v>-1.28</v>
      </c>
      <c r="AR666">
        <v>-0.2</v>
      </c>
      <c r="AS666" t="s">
        <v>999</v>
      </c>
      <c r="AT666">
        <v>0</v>
      </c>
      <c r="AU666">
        <v>-0.3</v>
      </c>
      <c r="AV666">
        <v>5</v>
      </c>
      <c r="AW666">
        <v>14</v>
      </c>
      <c r="AX666">
        <v>9</v>
      </c>
      <c r="AY666">
        <v>18</v>
      </c>
      <c r="AZ666" t="s">
        <v>4548</v>
      </c>
      <c r="BA666">
        <v>26</v>
      </c>
      <c r="BB666" t="s">
        <v>35</v>
      </c>
      <c r="BC666" t="s">
        <v>35</v>
      </c>
      <c r="BD666" s="4">
        <f>HYPERLINK("http://mlb.mlb.com/team/player.jsp?player_id=642736",642736)</f>
        <v>642736</v>
      </c>
      <c r="BE666">
        <v>1572</v>
      </c>
      <c r="BF666">
        <v>572</v>
      </c>
      <c r="BG666">
        <v>0</v>
      </c>
      <c r="BH666">
        <v>0</v>
      </c>
    </row>
    <row r="667" spans="1:60" x14ac:dyDescent="0.3">
      <c r="A667" s="4">
        <f>HYPERLINK("http://legacy.baseballprospectus.com/p/102743",102743)</f>
        <v>102743</v>
      </c>
      <c r="B667" t="s">
        <v>1392</v>
      </c>
      <c r="C667" t="s">
        <v>930</v>
      </c>
      <c r="D667" s="10">
        <v>34754</v>
      </c>
      <c r="E667" t="s">
        <v>54</v>
      </c>
      <c r="F667" t="s">
        <v>9</v>
      </c>
      <c r="G667" t="s">
        <v>33</v>
      </c>
      <c r="H667">
        <v>74</v>
      </c>
      <c r="I667">
        <v>195</v>
      </c>
      <c r="J667">
        <v>2018</v>
      </c>
      <c r="K667" s="4" t="str">
        <f>HYPERLINK("http://legacy.baseballprospectus.com/fantasy/dc/index.php?tm=BAL","BAL")</f>
        <v>BAL</v>
      </c>
      <c r="L667" t="s">
        <v>95</v>
      </c>
      <c r="M667" t="s">
        <v>34</v>
      </c>
      <c r="N667">
        <v>23</v>
      </c>
      <c r="O667">
        <v>251</v>
      </c>
      <c r="P667">
        <v>77</v>
      </c>
      <c r="Q667">
        <v>223</v>
      </c>
      <c r="R667">
        <v>29</v>
      </c>
      <c r="S667">
        <v>39</v>
      </c>
      <c r="T667">
        <v>12</v>
      </c>
      <c r="U667">
        <v>0</v>
      </c>
      <c r="V667">
        <v>6</v>
      </c>
      <c r="W667">
        <v>57</v>
      </c>
      <c r="X667">
        <v>87</v>
      </c>
      <c r="Y667">
        <v>27</v>
      </c>
      <c r="Z667">
        <v>24</v>
      </c>
      <c r="AA667">
        <v>1</v>
      </c>
      <c r="AB667">
        <v>3</v>
      </c>
      <c r="AC667">
        <v>61</v>
      </c>
      <c r="AD667">
        <v>1</v>
      </c>
      <c r="AE667">
        <v>1</v>
      </c>
      <c r="AF667">
        <v>6</v>
      </c>
      <c r="AG667">
        <v>0</v>
      </c>
      <c r="AH667">
        <v>0</v>
      </c>
      <c r="AI667" s="5">
        <v>0.25600000000000001</v>
      </c>
      <c r="AJ667" s="5">
        <v>0.33500000000000002</v>
      </c>
      <c r="AK667" s="5">
        <v>0.39</v>
      </c>
      <c r="AL667" s="5">
        <v>0.255</v>
      </c>
      <c r="AM667" s="5">
        <v>0.32300000000000001</v>
      </c>
      <c r="AN667">
        <v>-0.6</v>
      </c>
      <c r="AO667">
        <v>1.91</v>
      </c>
      <c r="AP667">
        <v>6.74</v>
      </c>
      <c r="AQ667">
        <v>-1.27</v>
      </c>
      <c r="AR667">
        <v>-6.4</v>
      </c>
      <c r="AS667" t="s">
        <v>2182</v>
      </c>
      <c r="AT667">
        <v>0</v>
      </c>
      <c r="AU667">
        <v>6.8</v>
      </c>
      <c r="AV667">
        <v>6</v>
      </c>
      <c r="AW667">
        <v>19</v>
      </c>
      <c r="AX667">
        <v>8</v>
      </c>
      <c r="AY667">
        <v>23</v>
      </c>
      <c r="AZ667" t="s">
        <v>4304</v>
      </c>
      <c r="BA667">
        <v>41</v>
      </c>
      <c r="BB667" t="s">
        <v>35</v>
      </c>
      <c r="BC667" t="s">
        <v>35</v>
      </c>
      <c r="BD667" s="4">
        <f>HYPERLINK("http://mlb.mlb.com/team/player.jsp?player_id=642082",642082)</f>
        <v>642082</v>
      </c>
      <c r="BE667">
        <v>384</v>
      </c>
      <c r="BF667">
        <v>1384</v>
      </c>
      <c r="BG667">
        <v>22</v>
      </c>
      <c r="BH667">
        <v>18</v>
      </c>
    </row>
    <row r="668" spans="1:60" x14ac:dyDescent="0.3">
      <c r="A668" s="4">
        <f>HYPERLINK("http://legacy.baseballprospectus.com/p/101121",101121)</f>
        <v>101121</v>
      </c>
      <c r="B668" t="s">
        <v>1725</v>
      </c>
      <c r="C668" t="s">
        <v>1726</v>
      </c>
      <c r="D668" s="10">
        <v>34507</v>
      </c>
      <c r="E668" t="s">
        <v>51</v>
      </c>
      <c r="F668" t="s">
        <v>37</v>
      </c>
      <c r="G668" t="s">
        <v>33</v>
      </c>
      <c r="H668">
        <v>71</v>
      </c>
      <c r="I668">
        <v>155</v>
      </c>
      <c r="J668">
        <v>2018</v>
      </c>
      <c r="K668" s="4" t="str">
        <f>HYPERLINK("http://legacy.baseballprospectus.com/fantasy/dc/index.php?tm=BAL","BAL")</f>
        <v>BAL</v>
      </c>
      <c r="L668" t="s">
        <v>95</v>
      </c>
      <c r="M668" t="s">
        <v>34</v>
      </c>
      <c r="N668">
        <v>24</v>
      </c>
      <c r="O668">
        <v>58</v>
      </c>
      <c r="P668">
        <v>18</v>
      </c>
      <c r="Q668">
        <v>53</v>
      </c>
      <c r="R668">
        <v>6</v>
      </c>
      <c r="S668">
        <v>9</v>
      </c>
      <c r="T668">
        <v>2</v>
      </c>
      <c r="U668">
        <v>0</v>
      </c>
      <c r="V668">
        <v>1</v>
      </c>
      <c r="W668">
        <v>12</v>
      </c>
      <c r="X668">
        <v>17</v>
      </c>
      <c r="Y668">
        <v>5</v>
      </c>
      <c r="Z668">
        <v>4</v>
      </c>
      <c r="AA668">
        <v>0</v>
      </c>
      <c r="AB668">
        <v>0</v>
      </c>
      <c r="AC668">
        <v>13</v>
      </c>
      <c r="AD668">
        <v>1</v>
      </c>
      <c r="AE668">
        <v>0</v>
      </c>
      <c r="AF668">
        <v>1</v>
      </c>
      <c r="AG668">
        <v>1</v>
      </c>
      <c r="AH668">
        <v>1</v>
      </c>
      <c r="AI668" s="5">
        <v>0.22600000000000001</v>
      </c>
      <c r="AJ668" s="5">
        <v>0.28100000000000003</v>
      </c>
      <c r="AK668" s="5">
        <v>0.32100000000000001</v>
      </c>
      <c r="AL668" s="5">
        <v>0.216</v>
      </c>
      <c r="AM668" s="5">
        <v>0.28399999999999997</v>
      </c>
      <c r="AN668">
        <v>-0.1</v>
      </c>
      <c r="AO668">
        <v>0.05</v>
      </c>
      <c r="AP668">
        <v>1.56</v>
      </c>
      <c r="AQ668">
        <v>-2.68</v>
      </c>
      <c r="AR668">
        <v>1</v>
      </c>
      <c r="AS668" t="s">
        <v>52</v>
      </c>
      <c r="AT668">
        <v>0</v>
      </c>
      <c r="AU668">
        <v>-1.2</v>
      </c>
      <c r="AV668">
        <v>2</v>
      </c>
      <c r="AW668">
        <v>6</v>
      </c>
      <c r="AX668">
        <v>4</v>
      </c>
      <c r="AY668">
        <v>20</v>
      </c>
      <c r="AZ668" t="s">
        <v>4089</v>
      </c>
      <c r="BA668">
        <v>23</v>
      </c>
      <c r="BB668" t="s">
        <v>35</v>
      </c>
      <c r="BC668" t="s">
        <v>35</v>
      </c>
      <c r="BD668" s="4">
        <f>HYPERLINK("http://mlb.mlb.com/team/player.jsp?player_id=622713",622713)</f>
        <v>622713</v>
      </c>
      <c r="BE668">
        <v>0</v>
      </c>
      <c r="BF668">
        <v>0</v>
      </c>
      <c r="BG668">
        <v>0</v>
      </c>
      <c r="BH668">
        <v>0</v>
      </c>
    </row>
    <row r="669" spans="1:60" x14ac:dyDescent="0.3">
      <c r="A669" s="4">
        <f>HYPERLINK("http://legacy.baseballprospectus.com/p/101601",101601)</f>
        <v>101601</v>
      </c>
      <c r="B669" t="s">
        <v>4441</v>
      </c>
      <c r="C669" t="s">
        <v>4442</v>
      </c>
      <c r="D669" s="10">
        <v>34380</v>
      </c>
      <c r="E669" t="s">
        <v>53</v>
      </c>
      <c r="F669" t="s">
        <v>9</v>
      </c>
      <c r="G669" t="s">
        <v>33</v>
      </c>
      <c r="H669">
        <v>69</v>
      </c>
      <c r="I669">
        <v>155</v>
      </c>
      <c r="J669">
        <v>2018</v>
      </c>
      <c r="K669" s="4" t="str">
        <f>HYPERLINK("http://legacy.baseballprospectus.com/fantasy/dc/index.php?tm=BOS","BOS")</f>
        <v>BOS</v>
      </c>
      <c r="L669" t="s">
        <v>95</v>
      </c>
      <c r="M669" t="s">
        <v>34</v>
      </c>
      <c r="N669">
        <v>24</v>
      </c>
      <c r="O669">
        <v>95</v>
      </c>
      <c r="P669">
        <v>29</v>
      </c>
      <c r="Q669">
        <v>86</v>
      </c>
      <c r="R669">
        <v>10</v>
      </c>
      <c r="S669">
        <v>15</v>
      </c>
      <c r="T669">
        <v>3</v>
      </c>
      <c r="U669">
        <v>1</v>
      </c>
      <c r="V669">
        <v>1</v>
      </c>
      <c r="W669">
        <v>20</v>
      </c>
      <c r="X669">
        <v>28</v>
      </c>
      <c r="Y669">
        <v>8</v>
      </c>
      <c r="Z669">
        <v>7</v>
      </c>
      <c r="AA669">
        <v>0</v>
      </c>
      <c r="AB669">
        <v>0</v>
      </c>
      <c r="AC669">
        <v>19</v>
      </c>
      <c r="AD669">
        <v>1</v>
      </c>
      <c r="AE669">
        <v>0</v>
      </c>
      <c r="AF669">
        <v>2</v>
      </c>
      <c r="AG669">
        <v>2</v>
      </c>
      <c r="AH669">
        <v>1</v>
      </c>
      <c r="AI669" s="5">
        <v>0.23300000000000001</v>
      </c>
      <c r="AJ669" s="5">
        <v>0.28999999999999998</v>
      </c>
      <c r="AK669" s="5">
        <v>0.32600000000000001</v>
      </c>
      <c r="AL669" s="5">
        <v>0.222</v>
      </c>
      <c r="AM669" s="5">
        <v>0.27800000000000002</v>
      </c>
      <c r="AN669">
        <v>0.1</v>
      </c>
      <c r="AO669">
        <v>0.6</v>
      </c>
      <c r="AP669">
        <v>2.5499999999999998</v>
      </c>
      <c r="AQ669">
        <v>-3.82</v>
      </c>
      <c r="AR669">
        <v>0.4</v>
      </c>
      <c r="AS669" t="s">
        <v>4866</v>
      </c>
      <c r="AT669">
        <v>0</v>
      </c>
      <c r="AU669">
        <v>-0.6</v>
      </c>
      <c r="AV669">
        <v>3</v>
      </c>
      <c r="AW669">
        <v>11</v>
      </c>
      <c r="AX669">
        <v>5</v>
      </c>
      <c r="AY669">
        <v>25</v>
      </c>
      <c r="AZ669" t="s">
        <v>4443</v>
      </c>
      <c r="BA669">
        <v>32</v>
      </c>
      <c r="BB669" t="s">
        <v>35</v>
      </c>
      <c r="BC669" t="s">
        <v>35</v>
      </c>
      <c r="BD669" s="4">
        <f>HYPERLINK("http://mlb.mlb.com/team/player.jsp?player_id=624407",624407)</f>
        <v>624407</v>
      </c>
      <c r="BE669">
        <v>524</v>
      </c>
      <c r="BF669">
        <v>1524</v>
      </c>
      <c r="BG669">
        <v>66</v>
      </c>
      <c r="BH669">
        <v>56</v>
      </c>
    </row>
    <row r="670" spans="1:60" x14ac:dyDescent="0.3">
      <c r="A670" s="4">
        <f>HYPERLINK("http://legacy.baseballprospectus.com/p/103745",103745)</f>
        <v>103745</v>
      </c>
      <c r="B670" t="s">
        <v>194</v>
      </c>
      <c r="C670" t="s">
        <v>94</v>
      </c>
      <c r="D670" s="10">
        <v>35214</v>
      </c>
      <c r="E670" t="s">
        <v>50</v>
      </c>
      <c r="F670" t="s">
        <v>9</v>
      </c>
      <c r="G670" t="s">
        <v>33</v>
      </c>
      <c r="H670">
        <v>73</v>
      </c>
      <c r="I670">
        <v>225</v>
      </c>
      <c r="J670">
        <v>2018</v>
      </c>
      <c r="K670" s="4" t="str">
        <f>HYPERLINK("http://legacy.baseballprospectus.com/fantasy/dc/index.php?tm=CLE","CLE")</f>
        <v>CLE</v>
      </c>
      <c r="L670" t="s">
        <v>95</v>
      </c>
      <c r="M670" t="s">
        <v>34</v>
      </c>
      <c r="N670">
        <v>22</v>
      </c>
      <c r="O670">
        <v>66</v>
      </c>
      <c r="P670">
        <v>20</v>
      </c>
      <c r="Q670">
        <v>59</v>
      </c>
      <c r="R670">
        <v>8</v>
      </c>
      <c r="S670">
        <v>7</v>
      </c>
      <c r="T670">
        <v>2</v>
      </c>
      <c r="U670">
        <v>0</v>
      </c>
      <c r="V670">
        <v>3</v>
      </c>
      <c r="W670">
        <v>12</v>
      </c>
      <c r="X670">
        <v>23</v>
      </c>
      <c r="Y670">
        <v>9</v>
      </c>
      <c r="Z670">
        <v>6</v>
      </c>
      <c r="AA670">
        <v>1</v>
      </c>
      <c r="AB670">
        <v>0</v>
      </c>
      <c r="AC670">
        <v>22</v>
      </c>
      <c r="AD670">
        <v>0</v>
      </c>
      <c r="AE670">
        <v>0</v>
      </c>
      <c r="AF670">
        <v>1</v>
      </c>
      <c r="AG670">
        <v>0</v>
      </c>
      <c r="AH670">
        <v>0</v>
      </c>
      <c r="AI670" s="5">
        <v>0.20300000000000001</v>
      </c>
      <c r="AJ670" s="5">
        <v>0.27700000000000002</v>
      </c>
      <c r="AK670" s="5">
        <v>0.39</v>
      </c>
      <c r="AL670" s="5">
        <v>0.251</v>
      </c>
      <c r="AM670" s="5">
        <v>0.28299999999999997</v>
      </c>
      <c r="AN670">
        <v>-0.1</v>
      </c>
      <c r="AO670">
        <v>-0.76</v>
      </c>
      <c r="AP670">
        <v>1.77</v>
      </c>
      <c r="AQ670">
        <v>-0.66</v>
      </c>
      <c r="AR670">
        <v>-0.6</v>
      </c>
      <c r="AS670" t="s">
        <v>64</v>
      </c>
      <c r="AT670">
        <v>0</v>
      </c>
      <c r="AU670">
        <v>0.2</v>
      </c>
      <c r="AV670">
        <v>1</v>
      </c>
      <c r="AW670">
        <v>27</v>
      </c>
      <c r="AX670">
        <v>3</v>
      </c>
      <c r="AY670">
        <v>15</v>
      </c>
      <c r="AZ670" t="s">
        <v>4444</v>
      </c>
      <c r="BA670">
        <v>48</v>
      </c>
      <c r="BB670" t="s">
        <v>35</v>
      </c>
      <c r="BC670" t="s">
        <v>35</v>
      </c>
      <c r="BD670" s="4">
        <f>HYPERLINK("http://mlb.mlb.com/team/player.jsp?player_id=656252",656252)</f>
        <v>656252</v>
      </c>
      <c r="BE670">
        <v>428</v>
      </c>
      <c r="BF670">
        <v>1428</v>
      </c>
      <c r="BG670">
        <v>0</v>
      </c>
      <c r="BH670">
        <v>0</v>
      </c>
    </row>
    <row r="671" spans="1:60" x14ac:dyDescent="0.3">
      <c r="A671" s="4">
        <f>HYPERLINK("http://legacy.baseballprospectus.com/p/102864",102864)</f>
        <v>102864</v>
      </c>
      <c r="B671" t="s">
        <v>877</v>
      </c>
      <c r="C671" t="s">
        <v>244</v>
      </c>
      <c r="D671" s="10">
        <v>34999</v>
      </c>
      <c r="E671" t="s">
        <v>54</v>
      </c>
      <c r="F671" t="s">
        <v>37</v>
      </c>
      <c r="G671" t="s">
        <v>33</v>
      </c>
      <c r="H671">
        <v>70</v>
      </c>
      <c r="I671">
        <v>180</v>
      </c>
      <c r="J671">
        <v>2018</v>
      </c>
      <c r="K671" s="4" t="str">
        <f>HYPERLINK("http://legacy.baseballprospectus.com/fantasy/dc/index.php?tm=CLE","CLE")</f>
        <v>CLE</v>
      </c>
      <c r="L671" t="s">
        <v>95</v>
      </c>
      <c r="M671" t="s">
        <v>34</v>
      </c>
      <c r="N671">
        <v>22</v>
      </c>
      <c r="O671">
        <v>158</v>
      </c>
      <c r="P671">
        <v>49</v>
      </c>
      <c r="Q671">
        <v>147</v>
      </c>
      <c r="R671">
        <v>18</v>
      </c>
      <c r="S671">
        <v>24</v>
      </c>
      <c r="T671">
        <v>8</v>
      </c>
      <c r="U671">
        <v>0</v>
      </c>
      <c r="V671">
        <v>5</v>
      </c>
      <c r="W671">
        <v>37</v>
      </c>
      <c r="X671">
        <v>60</v>
      </c>
      <c r="Y671">
        <v>19</v>
      </c>
      <c r="Z671">
        <v>8</v>
      </c>
      <c r="AA671">
        <v>1</v>
      </c>
      <c r="AB671">
        <v>1</v>
      </c>
      <c r="AC671">
        <v>33</v>
      </c>
      <c r="AD671">
        <v>1</v>
      </c>
      <c r="AE671">
        <v>1</v>
      </c>
      <c r="AF671">
        <v>4</v>
      </c>
      <c r="AG671">
        <v>1</v>
      </c>
      <c r="AH671">
        <v>0</v>
      </c>
      <c r="AI671" s="5">
        <v>0.252</v>
      </c>
      <c r="AJ671" s="5">
        <v>0.29299999999999998</v>
      </c>
      <c r="AK671" s="5">
        <v>0.40799999999999997</v>
      </c>
      <c r="AL671" s="5">
        <v>0.248</v>
      </c>
      <c r="AM671" s="5">
        <v>0.29499999999999998</v>
      </c>
      <c r="AN671">
        <v>-0.2</v>
      </c>
      <c r="AO671">
        <v>0.77</v>
      </c>
      <c r="AP671">
        <v>4.24</v>
      </c>
      <c r="AQ671">
        <v>-1.96</v>
      </c>
      <c r="AR671">
        <v>-2.8</v>
      </c>
      <c r="AS671" t="s">
        <v>4865</v>
      </c>
      <c r="AT671">
        <v>0</v>
      </c>
      <c r="AU671">
        <v>2.8</v>
      </c>
      <c r="AV671">
        <v>10</v>
      </c>
      <c r="AW671">
        <v>27</v>
      </c>
      <c r="AX671">
        <v>11</v>
      </c>
      <c r="AY671">
        <v>33</v>
      </c>
      <c r="AZ671" t="s">
        <v>4380</v>
      </c>
      <c r="BA671">
        <v>52</v>
      </c>
      <c r="BB671" t="s">
        <v>35</v>
      </c>
      <c r="BC671" t="s">
        <v>35</v>
      </c>
      <c r="BD671" s="4">
        <f>HYPERLINK("http://mlb.mlb.com/team/player.jsp?player_id=642336",642336)</f>
        <v>642336</v>
      </c>
      <c r="BE671">
        <v>388</v>
      </c>
      <c r="BF671">
        <v>1388</v>
      </c>
      <c r="BG671">
        <v>14</v>
      </c>
      <c r="BH671">
        <v>13</v>
      </c>
    </row>
    <row r="672" spans="1:60" x14ac:dyDescent="0.3">
      <c r="A672" s="4">
        <f>HYPERLINK("http://legacy.baseballprospectus.com/p/101093",101093)</f>
        <v>101093</v>
      </c>
      <c r="B672" t="s">
        <v>598</v>
      </c>
      <c r="C672" t="s">
        <v>502</v>
      </c>
      <c r="D672" s="10">
        <v>34612</v>
      </c>
      <c r="E672" t="s">
        <v>59</v>
      </c>
      <c r="F672" t="s">
        <v>37</v>
      </c>
      <c r="G672" t="s">
        <v>33</v>
      </c>
      <c r="H672">
        <v>75</v>
      </c>
      <c r="I672">
        <v>170</v>
      </c>
      <c r="J672">
        <v>2018</v>
      </c>
      <c r="K672" s="4" t="str">
        <f>HYPERLINK("http://legacy.baseballprospectus.com/fantasy/dc/index.php?tm=DET","DET")</f>
        <v>DET</v>
      </c>
      <c r="L672" t="s">
        <v>95</v>
      </c>
      <c r="M672" t="s">
        <v>34</v>
      </c>
      <c r="N672">
        <v>23</v>
      </c>
      <c r="O672">
        <v>97</v>
      </c>
      <c r="P672">
        <v>30</v>
      </c>
      <c r="Q672">
        <v>92</v>
      </c>
      <c r="R672">
        <v>10</v>
      </c>
      <c r="S672">
        <v>17</v>
      </c>
      <c r="T672">
        <v>4</v>
      </c>
      <c r="U672">
        <v>1</v>
      </c>
      <c r="V672">
        <v>2</v>
      </c>
      <c r="W672">
        <v>24</v>
      </c>
      <c r="X672">
        <v>36</v>
      </c>
      <c r="Y672">
        <v>9</v>
      </c>
      <c r="Z672">
        <v>4</v>
      </c>
      <c r="AA672">
        <v>0</v>
      </c>
      <c r="AB672">
        <v>0</v>
      </c>
      <c r="AC672">
        <v>19</v>
      </c>
      <c r="AD672">
        <v>1</v>
      </c>
      <c r="AE672">
        <v>0</v>
      </c>
      <c r="AF672">
        <v>2</v>
      </c>
      <c r="AG672">
        <v>2</v>
      </c>
      <c r="AH672">
        <v>1</v>
      </c>
      <c r="AI672" s="5">
        <v>0.26100000000000001</v>
      </c>
      <c r="AJ672" s="5">
        <v>0.29199999999999998</v>
      </c>
      <c r="AK672" s="5">
        <v>0.39100000000000001</v>
      </c>
      <c r="AL672" s="5">
        <v>0.22800000000000001</v>
      </c>
      <c r="AM672" s="5">
        <v>0.308</v>
      </c>
      <c r="AN672">
        <v>0.1</v>
      </c>
      <c r="AO672">
        <v>-0.18</v>
      </c>
      <c r="AP672">
        <v>2.6</v>
      </c>
      <c r="AQ672">
        <v>-3.21</v>
      </c>
      <c r="AR672">
        <v>0.5</v>
      </c>
      <c r="AS672" t="s">
        <v>1019</v>
      </c>
      <c r="AT672">
        <v>0</v>
      </c>
      <c r="AU672">
        <v>-0.7</v>
      </c>
      <c r="AV672">
        <v>0</v>
      </c>
      <c r="AW672">
        <v>3</v>
      </c>
      <c r="AX672">
        <v>2</v>
      </c>
      <c r="AY672">
        <v>5</v>
      </c>
      <c r="AZ672" t="s">
        <v>4333</v>
      </c>
      <c r="BA672">
        <v>7</v>
      </c>
      <c r="BB672" t="s">
        <v>35</v>
      </c>
      <c r="BC672" t="s">
        <v>35</v>
      </c>
      <c r="BD672" s="4">
        <f>HYPERLINK("http://mlb.mlb.com/team/player.jsp?player_id=622682",622682)</f>
        <v>622682</v>
      </c>
      <c r="BE672">
        <v>655</v>
      </c>
      <c r="BF672">
        <v>1655</v>
      </c>
      <c r="BG672">
        <v>0</v>
      </c>
      <c r="BH672">
        <v>0</v>
      </c>
    </row>
    <row r="673" spans="1:60" x14ac:dyDescent="0.3">
      <c r="A673" s="4">
        <f>HYPERLINK("http://legacy.baseballprospectus.com/p/103417",103417)</f>
        <v>103417</v>
      </c>
      <c r="B673" t="s">
        <v>454</v>
      </c>
      <c r="C673" t="s">
        <v>225</v>
      </c>
      <c r="D673" s="10">
        <v>33542</v>
      </c>
      <c r="E673" t="s">
        <v>59</v>
      </c>
      <c r="F673" t="s">
        <v>9</v>
      </c>
      <c r="G673" t="s">
        <v>33</v>
      </c>
      <c r="H673">
        <v>66</v>
      </c>
      <c r="I673">
        <v>165</v>
      </c>
      <c r="J673">
        <v>2018</v>
      </c>
      <c r="K673" s="4" t="str">
        <f>HYPERLINK("http://legacy.baseballprospectus.com/fantasy/dc/index.php?tm=HOU","HOU")</f>
        <v>HOU</v>
      </c>
      <c r="L673" t="s">
        <v>95</v>
      </c>
      <c r="M673" t="s">
        <v>34</v>
      </c>
      <c r="N673">
        <v>26</v>
      </c>
      <c r="O673">
        <v>71</v>
      </c>
      <c r="P673">
        <v>22</v>
      </c>
      <c r="Q673">
        <v>63</v>
      </c>
      <c r="R673">
        <v>9</v>
      </c>
      <c r="S673">
        <v>12</v>
      </c>
      <c r="T673">
        <v>3</v>
      </c>
      <c r="U673">
        <v>1</v>
      </c>
      <c r="V673">
        <v>1</v>
      </c>
      <c r="W673">
        <v>17</v>
      </c>
      <c r="X673">
        <v>25</v>
      </c>
      <c r="Y673">
        <v>6</v>
      </c>
      <c r="Z673">
        <v>6</v>
      </c>
      <c r="AA673">
        <v>0</v>
      </c>
      <c r="AB673">
        <v>1</v>
      </c>
      <c r="AC673">
        <v>11</v>
      </c>
      <c r="AD673">
        <v>1</v>
      </c>
      <c r="AE673">
        <v>0</v>
      </c>
      <c r="AF673">
        <v>2</v>
      </c>
      <c r="AG673">
        <v>2</v>
      </c>
      <c r="AH673">
        <v>1</v>
      </c>
      <c r="AI673" s="5">
        <v>0.27</v>
      </c>
      <c r="AJ673" s="5">
        <v>0.34300000000000003</v>
      </c>
      <c r="AK673" s="5">
        <v>0.39700000000000002</v>
      </c>
      <c r="AL673" s="5">
        <v>0.249</v>
      </c>
      <c r="AM673" s="5">
        <v>0.29699999999999999</v>
      </c>
      <c r="AN673">
        <v>0.1</v>
      </c>
      <c r="AO673">
        <v>-0.19</v>
      </c>
      <c r="AP673">
        <v>1.91</v>
      </c>
      <c r="AQ673">
        <v>-0.8</v>
      </c>
      <c r="AR673">
        <v>-0.8</v>
      </c>
      <c r="AS673" t="s">
        <v>1360</v>
      </c>
      <c r="AT673">
        <v>0</v>
      </c>
      <c r="AU673">
        <v>1.1000000000000001</v>
      </c>
      <c r="AV673">
        <v>3</v>
      </c>
      <c r="AW673">
        <v>31</v>
      </c>
      <c r="AX673">
        <v>7</v>
      </c>
      <c r="AY673">
        <v>29</v>
      </c>
      <c r="AZ673" t="s">
        <v>4383</v>
      </c>
      <c r="BA673">
        <v>52</v>
      </c>
      <c r="BB673" t="s">
        <v>35</v>
      </c>
      <c r="BC673" t="s">
        <v>36</v>
      </c>
      <c r="BD673" s="4">
        <f>HYPERLINK("http://mlb.mlb.com/team/player.jsp?player_id=643393",643393)</f>
        <v>643393</v>
      </c>
      <c r="BE673">
        <v>624</v>
      </c>
      <c r="BF673">
        <v>1624</v>
      </c>
      <c r="BG673">
        <v>39</v>
      </c>
      <c r="BH673">
        <v>37</v>
      </c>
    </row>
    <row r="674" spans="1:60" x14ac:dyDescent="0.3">
      <c r="A674" s="4">
        <f>HYPERLINK("http://legacy.baseballprospectus.com/p/104180",104180)</f>
        <v>104180</v>
      </c>
      <c r="B674" t="s">
        <v>667</v>
      </c>
      <c r="C674" t="s">
        <v>1398</v>
      </c>
      <c r="D674" s="10">
        <v>35412</v>
      </c>
      <c r="E674" t="s">
        <v>58</v>
      </c>
      <c r="F674" t="s">
        <v>33</v>
      </c>
      <c r="G674" t="s">
        <v>33</v>
      </c>
      <c r="H674">
        <v>73</v>
      </c>
      <c r="I674">
        <v>175</v>
      </c>
      <c r="J674">
        <v>2018</v>
      </c>
      <c r="K674" s="4" t="str">
        <f>HYPERLINK("http://legacy.baseballprospectus.com/fantasy/dc/index.php?tm=NYA","NYA")</f>
        <v>NYA</v>
      </c>
      <c r="L674" t="s">
        <v>95</v>
      </c>
      <c r="M674" t="s">
        <v>34</v>
      </c>
      <c r="N674">
        <v>21</v>
      </c>
      <c r="O674">
        <v>159</v>
      </c>
      <c r="P674">
        <v>49</v>
      </c>
      <c r="Q674">
        <v>144</v>
      </c>
      <c r="R674">
        <v>19</v>
      </c>
      <c r="S674">
        <v>22</v>
      </c>
      <c r="T674">
        <v>7</v>
      </c>
      <c r="U674">
        <v>1</v>
      </c>
      <c r="V674">
        <v>4</v>
      </c>
      <c r="W674">
        <v>34</v>
      </c>
      <c r="X674">
        <v>55</v>
      </c>
      <c r="Y674">
        <v>17</v>
      </c>
      <c r="Z674">
        <v>13</v>
      </c>
      <c r="AA674">
        <v>0</v>
      </c>
      <c r="AB674">
        <v>1</v>
      </c>
      <c r="AC674">
        <v>43</v>
      </c>
      <c r="AD674">
        <v>1</v>
      </c>
      <c r="AE674">
        <v>0</v>
      </c>
      <c r="AF674">
        <v>3</v>
      </c>
      <c r="AG674">
        <v>3</v>
      </c>
      <c r="AH674">
        <v>2</v>
      </c>
      <c r="AI674" s="5">
        <v>0.23599999999999999</v>
      </c>
      <c r="AJ674" s="5">
        <v>0.30399999999999999</v>
      </c>
      <c r="AK674" s="5">
        <v>0.38200000000000001</v>
      </c>
      <c r="AL674" s="5">
        <v>0.24</v>
      </c>
      <c r="AM674" s="5">
        <v>0.29899999999999999</v>
      </c>
      <c r="AN674">
        <v>-0.2</v>
      </c>
      <c r="AO674">
        <v>0.88</v>
      </c>
      <c r="AP674">
        <v>4.2699999999999996</v>
      </c>
      <c r="AQ674">
        <v>-3.36</v>
      </c>
      <c r="AR674">
        <v>-1.1000000000000001</v>
      </c>
      <c r="AS674" t="s">
        <v>5007</v>
      </c>
      <c r="AT674">
        <v>0</v>
      </c>
      <c r="AU674">
        <v>1.5</v>
      </c>
      <c r="AV674">
        <v>5</v>
      </c>
      <c r="AW674">
        <v>9</v>
      </c>
      <c r="AX674">
        <v>1</v>
      </c>
      <c r="AY674">
        <v>12</v>
      </c>
      <c r="AZ674" t="s">
        <v>4223</v>
      </c>
      <c r="BA674">
        <v>24</v>
      </c>
      <c r="BB674" t="s">
        <v>35</v>
      </c>
      <c r="BC674" t="s">
        <v>35</v>
      </c>
      <c r="BD674" s="4">
        <f>HYPERLINK("http://mlb.mlb.com/team/player.jsp?player_id=650402",650402)</f>
        <v>650402</v>
      </c>
      <c r="BE674">
        <v>543</v>
      </c>
      <c r="BF674">
        <v>1543</v>
      </c>
      <c r="BG674">
        <v>0</v>
      </c>
      <c r="BH674">
        <v>0</v>
      </c>
    </row>
    <row r="675" spans="1:60" x14ac:dyDescent="0.3">
      <c r="A675" s="4">
        <f>HYPERLINK("http://legacy.baseballprospectus.com/p/102606",102606)</f>
        <v>102606</v>
      </c>
      <c r="B675" t="s">
        <v>1408</v>
      </c>
      <c r="C675" t="s">
        <v>304</v>
      </c>
      <c r="D675" s="10">
        <v>34604</v>
      </c>
      <c r="E675" t="s">
        <v>53</v>
      </c>
      <c r="F675" t="s">
        <v>9</v>
      </c>
      <c r="G675" t="s">
        <v>33</v>
      </c>
      <c r="H675">
        <v>69</v>
      </c>
      <c r="I675">
        <v>199</v>
      </c>
      <c r="J675">
        <v>2018</v>
      </c>
      <c r="K675" s="4" t="str">
        <f>HYPERLINK("http://legacy.baseballprospectus.com/fantasy/dc/index.php?tm=NYN","NYN")</f>
        <v>NYN</v>
      </c>
      <c r="L675" t="s">
        <v>100</v>
      </c>
      <c r="M675" t="s">
        <v>34</v>
      </c>
      <c r="N675">
        <v>23</v>
      </c>
      <c r="O675">
        <v>31</v>
      </c>
      <c r="P675">
        <v>10</v>
      </c>
      <c r="Q675">
        <v>27</v>
      </c>
      <c r="R675">
        <v>3</v>
      </c>
      <c r="S675">
        <v>5</v>
      </c>
      <c r="T675">
        <v>1</v>
      </c>
      <c r="U675">
        <v>0</v>
      </c>
      <c r="V675">
        <v>0</v>
      </c>
      <c r="W675">
        <v>6</v>
      </c>
      <c r="X675">
        <v>7</v>
      </c>
      <c r="Y675">
        <v>2</v>
      </c>
      <c r="Z675">
        <v>3</v>
      </c>
      <c r="AA675">
        <v>0</v>
      </c>
      <c r="AB675">
        <v>0</v>
      </c>
      <c r="AC675">
        <v>6</v>
      </c>
      <c r="AD675">
        <v>0</v>
      </c>
      <c r="AE675">
        <v>0</v>
      </c>
      <c r="AF675">
        <v>1</v>
      </c>
      <c r="AG675">
        <v>0</v>
      </c>
      <c r="AH675">
        <v>0</v>
      </c>
      <c r="AI675" s="5">
        <v>0.222</v>
      </c>
      <c r="AJ675" s="5">
        <v>0.3</v>
      </c>
      <c r="AK675" s="5">
        <v>0.25900000000000001</v>
      </c>
      <c r="AL675" s="5">
        <v>0.23699999999999999</v>
      </c>
      <c r="AM675" s="5">
        <v>0.28799999999999998</v>
      </c>
      <c r="AN675">
        <v>-0.1</v>
      </c>
      <c r="AO675">
        <v>0.21</v>
      </c>
      <c r="AP675">
        <v>0.83</v>
      </c>
      <c r="AQ675">
        <v>-0.74</v>
      </c>
      <c r="AR675">
        <v>0.1</v>
      </c>
      <c r="AS675" t="s">
        <v>61</v>
      </c>
      <c r="AT675">
        <v>0</v>
      </c>
      <c r="AU675">
        <v>0.2</v>
      </c>
      <c r="AV675">
        <v>3</v>
      </c>
      <c r="AW675">
        <v>13</v>
      </c>
      <c r="AX675">
        <v>2</v>
      </c>
      <c r="AY675">
        <v>7</v>
      </c>
      <c r="AZ675" t="s">
        <v>4312</v>
      </c>
      <c r="BA675">
        <v>22</v>
      </c>
      <c r="BB675" t="s">
        <v>35</v>
      </c>
      <c r="BC675" t="s">
        <v>35</v>
      </c>
      <c r="BD675" s="4">
        <f>HYPERLINK("http://mlb.mlb.com/team/player.jsp?player_id=641645",641645)</f>
        <v>641645</v>
      </c>
      <c r="BE675">
        <v>0</v>
      </c>
      <c r="BF675">
        <v>0</v>
      </c>
      <c r="BG675">
        <v>0</v>
      </c>
      <c r="BH675">
        <v>0</v>
      </c>
    </row>
    <row r="676" spans="1:60" x14ac:dyDescent="0.3">
      <c r="A676" s="4">
        <f>HYPERLINK("http://legacy.baseballprospectus.com/p/102106",102106)</f>
        <v>102106</v>
      </c>
      <c r="B676" t="s">
        <v>1266</v>
      </c>
      <c r="C676" t="s">
        <v>348</v>
      </c>
      <c r="D676" s="10">
        <v>35122</v>
      </c>
      <c r="E676" t="s">
        <v>53</v>
      </c>
      <c r="F676" t="s">
        <v>33</v>
      </c>
      <c r="G676" t="s">
        <v>33</v>
      </c>
      <c r="H676">
        <v>70</v>
      </c>
      <c r="I676">
        <v>190</v>
      </c>
      <c r="J676">
        <v>2018</v>
      </c>
      <c r="K676" s="4" t="str">
        <f>HYPERLINK("http://legacy.baseballprospectus.com/fantasy/dc/index.php?tm=OAK","OAK")</f>
        <v>OAK</v>
      </c>
      <c r="L676" t="s">
        <v>95</v>
      </c>
      <c r="M676" t="s">
        <v>34</v>
      </c>
      <c r="N676">
        <v>22</v>
      </c>
      <c r="O676">
        <v>118</v>
      </c>
      <c r="P676">
        <v>36</v>
      </c>
      <c r="Q676">
        <v>110</v>
      </c>
      <c r="R676">
        <v>15</v>
      </c>
      <c r="S676">
        <v>18</v>
      </c>
      <c r="T676">
        <v>5</v>
      </c>
      <c r="U676">
        <v>1</v>
      </c>
      <c r="V676">
        <v>4</v>
      </c>
      <c r="W676">
        <v>28</v>
      </c>
      <c r="X676">
        <v>47</v>
      </c>
      <c r="Y676">
        <v>14</v>
      </c>
      <c r="Z676">
        <v>6</v>
      </c>
      <c r="AA676">
        <v>1</v>
      </c>
      <c r="AB676">
        <v>1</v>
      </c>
      <c r="AC676">
        <v>32</v>
      </c>
      <c r="AD676">
        <v>0</v>
      </c>
      <c r="AE676">
        <v>1</v>
      </c>
      <c r="AF676">
        <v>3</v>
      </c>
      <c r="AG676">
        <v>3</v>
      </c>
      <c r="AH676">
        <v>2</v>
      </c>
      <c r="AI676" s="5">
        <v>0.255</v>
      </c>
      <c r="AJ676" s="5">
        <v>0.29699999999999999</v>
      </c>
      <c r="AK676" s="5">
        <v>0.42699999999999999</v>
      </c>
      <c r="AL676" s="5">
        <v>0.246</v>
      </c>
      <c r="AM676" s="5">
        <v>0.316</v>
      </c>
      <c r="AN676">
        <v>0.1</v>
      </c>
      <c r="AO676">
        <v>0.71</v>
      </c>
      <c r="AP676">
        <v>3.17</v>
      </c>
      <c r="AQ676">
        <v>-1.68</v>
      </c>
      <c r="AR676">
        <v>-1.9</v>
      </c>
      <c r="AS676" t="s">
        <v>2181</v>
      </c>
      <c r="AT676">
        <v>0</v>
      </c>
      <c r="AU676">
        <v>2.2999999999999998</v>
      </c>
      <c r="AV676">
        <v>2</v>
      </c>
      <c r="AW676">
        <v>34</v>
      </c>
      <c r="AX676">
        <v>3</v>
      </c>
      <c r="AY676">
        <v>16</v>
      </c>
      <c r="AZ676" t="s">
        <v>4313</v>
      </c>
      <c r="BA676">
        <v>52</v>
      </c>
      <c r="BB676" t="s">
        <v>35</v>
      </c>
      <c r="BC676" t="s">
        <v>35</v>
      </c>
      <c r="BD676" s="4">
        <f>HYPERLINK("http://mlb.mlb.com/team/player.jsp?player_id=620439",620439)</f>
        <v>620439</v>
      </c>
      <c r="BE676">
        <v>521</v>
      </c>
      <c r="BF676">
        <v>1521</v>
      </c>
      <c r="BG676">
        <v>76</v>
      </c>
      <c r="BH676">
        <v>71</v>
      </c>
    </row>
    <row r="677" spans="1:60" x14ac:dyDescent="0.3">
      <c r="A677" s="4">
        <f>HYPERLINK("http://legacy.baseballprospectus.com/p/102586",102586)</f>
        <v>102586</v>
      </c>
      <c r="B677" t="s">
        <v>342</v>
      </c>
      <c r="C677" t="s">
        <v>97</v>
      </c>
      <c r="D677" s="10">
        <v>34697</v>
      </c>
      <c r="E677" t="s">
        <v>65</v>
      </c>
      <c r="F677" t="s">
        <v>9</v>
      </c>
      <c r="G677" t="s">
        <v>9</v>
      </c>
      <c r="H677">
        <v>72</v>
      </c>
      <c r="I677">
        <v>195</v>
      </c>
      <c r="J677">
        <v>2018</v>
      </c>
      <c r="K677" s="4" t="str">
        <f>HYPERLINK("http://legacy.baseballprospectus.com/fantasy/dc/index.php?tm=OAK","OAK")</f>
        <v>OAK</v>
      </c>
      <c r="L677" t="s">
        <v>95</v>
      </c>
      <c r="M677" t="s">
        <v>34</v>
      </c>
      <c r="N677">
        <v>23</v>
      </c>
      <c r="O677">
        <v>436</v>
      </c>
      <c r="P677">
        <v>134</v>
      </c>
      <c r="Q677">
        <v>415</v>
      </c>
      <c r="R677">
        <v>55</v>
      </c>
      <c r="S677">
        <v>64</v>
      </c>
      <c r="T677">
        <v>21</v>
      </c>
      <c r="U677">
        <v>7</v>
      </c>
      <c r="V677">
        <v>14</v>
      </c>
      <c r="W677">
        <v>106</v>
      </c>
      <c r="X677">
        <v>183</v>
      </c>
      <c r="Y677">
        <v>51</v>
      </c>
      <c r="Z677">
        <v>16</v>
      </c>
      <c r="AA677">
        <v>2</v>
      </c>
      <c r="AB677">
        <v>2</v>
      </c>
      <c r="AC677">
        <v>94</v>
      </c>
      <c r="AD677">
        <v>1</v>
      </c>
      <c r="AE677">
        <v>2</v>
      </c>
      <c r="AF677">
        <v>9</v>
      </c>
      <c r="AG677">
        <v>14</v>
      </c>
      <c r="AH677">
        <v>6</v>
      </c>
      <c r="AI677" s="5">
        <v>0.255</v>
      </c>
      <c r="AJ677" s="5">
        <v>0.28499999999999998</v>
      </c>
      <c r="AK677" s="5">
        <v>0.441</v>
      </c>
      <c r="AL677" s="5">
        <v>0.245</v>
      </c>
      <c r="AM677" s="5">
        <v>0.29699999999999999</v>
      </c>
      <c r="AN677">
        <v>1.6</v>
      </c>
      <c r="AO677">
        <v>0.64</v>
      </c>
      <c r="AP677">
        <v>11.71</v>
      </c>
      <c r="AQ677">
        <v>-6.77</v>
      </c>
      <c r="AR677">
        <v>-7.6</v>
      </c>
      <c r="AS677" t="s">
        <v>4864</v>
      </c>
      <c r="AT677">
        <v>0</v>
      </c>
      <c r="AU677">
        <v>7.2</v>
      </c>
      <c r="AV677">
        <v>4</v>
      </c>
      <c r="AW677">
        <v>18</v>
      </c>
      <c r="AX677">
        <v>4</v>
      </c>
      <c r="AY677">
        <v>17</v>
      </c>
      <c r="AZ677" t="s">
        <v>4385</v>
      </c>
      <c r="BA677">
        <v>38</v>
      </c>
      <c r="BB677" t="s">
        <v>35</v>
      </c>
      <c r="BC677" t="s">
        <v>35</v>
      </c>
      <c r="BD677" s="4">
        <f>HYPERLINK("http://mlb.mlb.com/team/player.jsp?player_id=641583",641583)</f>
        <v>641583</v>
      </c>
      <c r="BE677">
        <v>667</v>
      </c>
      <c r="BF677">
        <v>1667</v>
      </c>
      <c r="BG677">
        <v>0</v>
      </c>
      <c r="BH677">
        <v>0</v>
      </c>
    </row>
    <row r="678" spans="1:60" x14ac:dyDescent="0.3">
      <c r="A678" s="4">
        <f>HYPERLINK("http://legacy.baseballprospectus.com/p/100503",100503)</f>
        <v>100503</v>
      </c>
      <c r="B678" t="s">
        <v>1870</v>
      </c>
      <c r="C678" t="s">
        <v>1871</v>
      </c>
      <c r="D678" s="10">
        <v>34466</v>
      </c>
      <c r="E678" t="s">
        <v>51</v>
      </c>
      <c r="F678" t="s">
        <v>37</v>
      </c>
      <c r="G678" t="s">
        <v>33</v>
      </c>
      <c r="H678">
        <v>69</v>
      </c>
      <c r="I678">
        <v>180</v>
      </c>
      <c r="J678">
        <v>2018</v>
      </c>
      <c r="K678" s="4" t="str">
        <f>HYPERLINK("http://legacy.baseballprospectus.com/fantasy/dc/index.php?tm=PHI","PHI")</f>
        <v>PHI</v>
      </c>
      <c r="L678" t="s">
        <v>100</v>
      </c>
      <c r="M678" t="s">
        <v>34</v>
      </c>
      <c r="N678">
        <v>24</v>
      </c>
      <c r="O678">
        <v>91</v>
      </c>
      <c r="P678">
        <v>47</v>
      </c>
      <c r="Q678">
        <v>81</v>
      </c>
      <c r="R678">
        <v>9</v>
      </c>
      <c r="S678">
        <v>13</v>
      </c>
      <c r="T678">
        <v>4</v>
      </c>
      <c r="U678">
        <v>0</v>
      </c>
      <c r="V678">
        <v>2</v>
      </c>
      <c r="W678">
        <v>19</v>
      </c>
      <c r="X678">
        <v>29</v>
      </c>
      <c r="Y678">
        <v>9</v>
      </c>
      <c r="Z678">
        <v>7</v>
      </c>
      <c r="AA678">
        <v>0</v>
      </c>
      <c r="AB678">
        <v>0</v>
      </c>
      <c r="AC678">
        <v>19</v>
      </c>
      <c r="AD678">
        <v>1</v>
      </c>
      <c r="AE678">
        <v>0</v>
      </c>
      <c r="AF678">
        <v>2</v>
      </c>
      <c r="AG678">
        <v>0</v>
      </c>
      <c r="AH678">
        <v>0</v>
      </c>
      <c r="AI678" s="5">
        <v>0.23499999999999999</v>
      </c>
      <c r="AJ678" s="5">
        <v>0.29499999999999998</v>
      </c>
      <c r="AK678" s="5">
        <v>0.35799999999999998</v>
      </c>
      <c r="AL678" s="5">
        <v>0.23699999999999999</v>
      </c>
      <c r="AM678" s="5">
        <v>0.28100000000000003</v>
      </c>
      <c r="AN678">
        <v>-0.1</v>
      </c>
      <c r="AO678">
        <v>-0.22</v>
      </c>
      <c r="AP678">
        <v>2.44</v>
      </c>
      <c r="AQ678">
        <v>-2.1800000000000002</v>
      </c>
      <c r="AR678">
        <v>0</v>
      </c>
      <c r="AS678" t="s">
        <v>4856</v>
      </c>
      <c r="AT678">
        <v>0</v>
      </c>
      <c r="AU678">
        <v>-0.1</v>
      </c>
      <c r="AV678">
        <v>10</v>
      </c>
      <c r="AW678">
        <v>14</v>
      </c>
      <c r="AX678">
        <v>3</v>
      </c>
      <c r="AY678">
        <v>14</v>
      </c>
      <c r="AZ678" t="s">
        <v>4294</v>
      </c>
      <c r="BA678">
        <v>25</v>
      </c>
      <c r="BB678" t="s">
        <v>35</v>
      </c>
      <c r="BC678" t="s">
        <v>35</v>
      </c>
      <c r="BD678" s="4">
        <f>HYPERLINK("http://mlb.mlb.com/team/player.jsp?player_id=621044",621044)</f>
        <v>621044</v>
      </c>
      <c r="BE678">
        <v>1478</v>
      </c>
      <c r="BF678">
        <v>478</v>
      </c>
      <c r="BG678">
        <v>0</v>
      </c>
      <c r="BH678">
        <v>0</v>
      </c>
    </row>
    <row r="679" spans="1:60" x14ac:dyDescent="0.3">
      <c r="A679" s="4">
        <f>HYPERLINK("http://legacy.baseballprospectus.com/p/100404",100404)</f>
        <v>100404</v>
      </c>
      <c r="B679" t="s">
        <v>768</v>
      </c>
      <c r="C679" t="s">
        <v>1450</v>
      </c>
      <c r="D679" s="10">
        <v>34579</v>
      </c>
      <c r="E679" t="s">
        <v>65</v>
      </c>
      <c r="F679" t="s">
        <v>9</v>
      </c>
      <c r="G679" t="s">
        <v>33</v>
      </c>
      <c r="H679">
        <v>75</v>
      </c>
      <c r="I679">
        <v>175</v>
      </c>
      <c r="J679">
        <v>2018</v>
      </c>
      <c r="K679" s="4" t="str">
        <f>HYPERLINK("http://legacy.baseballprospectus.com/fantasy/dc/index.php?tm=SDN","SDN")</f>
        <v>SDN</v>
      </c>
      <c r="L679" t="s">
        <v>100</v>
      </c>
      <c r="M679" t="s">
        <v>34</v>
      </c>
      <c r="N679">
        <v>23</v>
      </c>
      <c r="O679">
        <v>64</v>
      </c>
      <c r="P679">
        <v>20</v>
      </c>
      <c r="Q679">
        <v>60</v>
      </c>
      <c r="R679">
        <v>7</v>
      </c>
      <c r="S679">
        <v>9</v>
      </c>
      <c r="T679">
        <v>2</v>
      </c>
      <c r="U679">
        <v>1</v>
      </c>
      <c r="V679">
        <v>2</v>
      </c>
      <c r="W679">
        <v>14</v>
      </c>
      <c r="X679">
        <v>24</v>
      </c>
      <c r="Y679">
        <v>7</v>
      </c>
      <c r="Z679">
        <v>3</v>
      </c>
      <c r="AA679">
        <v>0</v>
      </c>
      <c r="AB679">
        <v>0</v>
      </c>
      <c r="AC679">
        <v>21</v>
      </c>
      <c r="AD679">
        <v>0</v>
      </c>
      <c r="AE679">
        <v>0</v>
      </c>
      <c r="AF679">
        <v>1</v>
      </c>
      <c r="AG679">
        <v>1</v>
      </c>
      <c r="AH679">
        <v>1</v>
      </c>
      <c r="AI679" s="5">
        <v>0.23300000000000001</v>
      </c>
      <c r="AJ679" s="5">
        <v>0.27</v>
      </c>
      <c r="AK679" s="5">
        <v>0.4</v>
      </c>
      <c r="AL679" s="5">
        <v>0.23699999999999999</v>
      </c>
      <c r="AM679" s="5">
        <v>0.32300000000000001</v>
      </c>
      <c r="AN679">
        <v>0.2</v>
      </c>
      <c r="AO679">
        <v>0.09</v>
      </c>
      <c r="AP679">
        <v>1.72</v>
      </c>
      <c r="AQ679">
        <v>-1.56</v>
      </c>
      <c r="AR679">
        <v>-0.7</v>
      </c>
      <c r="AS679" t="s">
        <v>72</v>
      </c>
      <c r="AT679">
        <v>0</v>
      </c>
      <c r="AU679">
        <v>0.4</v>
      </c>
      <c r="AV679">
        <v>7</v>
      </c>
      <c r="AW679">
        <v>24</v>
      </c>
      <c r="AX679">
        <v>5</v>
      </c>
      <c r="AY679">
        <v>21</v>
      </c>
      <c r="AZ679" t="s">
        <v>4088</v>
      </c>
      <c r="BA679">
        <v>46</v>
      </c>
      <c r="BB679" t="s">
        <v>35</v>
      </c>
      <c r="BC679" t="s">
        <v>35</v>
      </c>
      <c r="BD679" s="4">
        <f>HYPERLINK("http://mlb.mlb.com/team/player.jsp?player_id=614173",614173)</f>
        <v>614173</v>
      </c>
      <c r="BE679">
        <v>1629</v>
      </c>
      <c r="BF679">
        <v>629</v>
      </c>
      <c r="BG679">
        <v>99</v>
      </c>
      <c r="BH679">
        <v>92</v>
      </c>
    </row>
    <row r="680" spans="1:60" x14ac:dyDescent="0.3">
      <c r="A680" s="4">
        <f>HYPERLINK("http://legacy.baseballprospectus.com/p/100951",100951)</f>
        <v>100951</v>
      </c>
      <c r="B680" t="s">
        <v>378</v>
      </c>
      <c r="C680" t="s">
        <v>218</v>
      </c>
      <c r="D680" s="10">
        <v>33955</v>
      </c>
      <c r="E680" t="s">
        <v>58</v>
      </c>
      <c r="F680" t="s">
        <v>37</v>
      </c>
      <c r="G680" t="s">
        <v>33</v>
      </c>
      <c r="H680">
        <v>70</v>
      </c>
      <c r="I680">
        <v>185</v>
      </c>
      <c r="J680">
        <v>2018</v>
      </c>
      <c r="K680" s="4" t="str">
        <f>HYPERLINK("http://legacy.baseballprospectus.com/fantasy/dc/index.php?tm=SFN","SFN")</f>
        <v>SFN</v>
      </c>
      <c r="L680" t="s">
        <v>100</v>
      </c>
      <c r="M680" t="s">
        <v>34</v>
      </c>
      <c r="N680">
        <v>25</v>
      </c>
      <c r="O680">
        <v>77</v>
      </c>
      <c r="P680">
        <v>33</v>
      </c>
      <c r="Q680">
        <v>74</v>
      </c>
      <c r="R680">
        <v>8</v>
      </c>
      <c r="S680">
        <v>13</v>
      </c>
      <c r="T680">
        <v>4</v>
      </c>
      <c r="U680">
        <v>0</v>
      </c>
      <c r="V680">
        <v>2</v>
      </c>
      <c r="W680">
        <v>19</v>
      </c>
      <c r="X680">
        <v>29</v>
      </c>
      <c r="Y680">
        <v>9</v>
      </c>
      <c r="Z680">
        <v>2</v>
      </c>
      <c r="AA680">
        <v>0</v>
      </c>
      <c r="AB680">
        <v>0</v>
      </c>
      <c r="AC680">
        <v>14</v>
      </c>
      <c r="AD680">
        <v>0</v>
      </c>
      <c r="AE680">
        <v>0</v>
      </c>
      <c r="AF680">
        <v>2</v>
      </c>
      <c r="AG680">
        <v>0</v>
      </c>
      <c r="AH680">
        <v>0</v>
      </c>
      <c r="AI680" s="5">
        <v>0.25700000000000001</v>
      </c>
      <c r="AJ680" s="5">
        <v>0.27600000000000002</v>
      </c>
      <c r="AK680" s="5">
        <v>0.39200000000000002</v>
      </c>
      <c r="AL680" s="5">
        <v>0.245</v>
      </c>
      <c r="AM680" s="5">
        <v>0.29299999999999998</v>
      </c>
      <c r="AN680">
        <v>-0.1</v>
      </c>
      <c r="AO680">
        <v>0.1</v>
      </c>
      <c r="AP680">
        <v>2.0699999999999998</v>
      </c>
      <c r="AQ680">
        <v>-1.24</v>
      </c>
      <c r="AR680">
        <v>-0.9</v>
      </c>
      <c r="AS680" t="s">
        <v>1020</v>
      </c>
      <c r="AT680">
        <v>0</v>
      </c>
      <c r="AU680">
        <v>0.8</v>
      </c>
      <c r="AV680">
        <v>2</v>
      </c>
      <c r="AW680">
        <v>15</v>
      </c>
      <c r="AX680">
        <v>6</v>
      </c>
      <c r="AY680">
        <v>16</v>
      </c>
      <c r="AZ680" t="s">
        <v>4298</v>
      </c>
      <c r="BA680">
        <v>34</v>
      </c>
      <c r="BB680" t="s">
        <v>35</v>
      </c>
      <c r="BC680" t="s">
        <v>35</v>
      </c>
      <c r="BD680" s="4">
        <f>HYPERLINK("http://mlb.mlb.com/team/player.jsp?player_id=622497",622497)</f>
        <v>622497</v>
      </c>
      <c r="BE680">
        <v>1470</v>
      </c>
      <c r="BF680">
        <v>470</v>
      </c>
      <c r="BG680">
        <v>34</v>
      </c>
      <c r="BH680">
        <v>33</v>
      </c>
    </row>
    <row r="681" spans="1:60" x14ac:dyDescent="0.3">
      <c r="A681" s="4">
        <f>HYPERLINK("http://legacy.baseballprospectus.com/p/100661",100661)</f>
        <v>100661</v>
      </c>
      <c r="B681" t="s">
        <v>4356</v>
      </c>
      <c r="C681" t="s">
        <v>767</v>
      </c>
      <c r="D681" s="10">
        <v>33477</v>
      </c>
      <c r="E681" t="s">
        <v>51</v>
      </c>
      <c r="F681" t="s">
        <v>33</v>
      </c>
      <c r="G681" t="s">
        <v>33</v>
      </c>
      <c r="H681">
        <v>74</v>
      </c>
      <c r="I681">
        <v>220</v>
      </c>
      <c r="J681">
        <v>2018</v>
      </c>
      <c r="K681" s="4" t="str">
        <f>HYPERLINK("http://legacy.baseballprospectus.com/fantasy/dc/index.php?tm=SLN","SLN")</f>
        <v>SLN</v>
      </c>
      <c r="L681" t="s">
        <v>100</v>
      </c>
      <c r="M681" t="s">
        <v>34</v>
      </c>
      <c r="N681">
        <v>26</v>
      </c>
      <c r="O681">
        <v>31</v>
      </c>
      <c r="P681">
        <v>10</v>
      </c>
      <c r="Q681">
        <v>28</v>
      </c>
      <c r="R681">
        <v>4</v>
      </c>
      <c r="S681">
        <v>4</v>
      </c>
      <c r="T681">
        <v>1</v>
      </c>
      <c r="U681">
        <v>0</v>
      </c>
      <c r="V681">
        <v>1</v>
      </c>
      <c r="W681">
        <v>6</v>
      </c>
      <c r="X681">
        <v>10</v>
      </c>
      <c r="Y681">
        <v>4</v>
      </c>
      <c r="Z681">
        <v>2</v>
      </c>
      <c r="AA681">
        <v>0</v>
      </c>
      <c r="AB681">
        <v>0</v>
      </c>
      <c r="AC681">
        <v>9</v>
      </c>
      <c r="AD681">
        <v>0</v>
      </c>
      <c r="AE681">
        <v>0</v>
      </c>
      <c r="AF681">
        <v>1</v>
      </c>
      <c r="AG681">
        <v>0</v>
      </c>
      <c r="AH681">
        <v>0</v>
      </c>
      <c r="AI681" s="5">
        <v>0.214</v>
      </c>
      <c r="AJ681" s="5">
        <v>0.26700000000000002</v>
      </c>
      <c r="AK681" s="5">
        <v>0.35699999999999998</v>
      </c>
      <c r="AL681" s="5">
        <v>0.23699999999999999</v>
      </c>
      <c r="AM681" s="5">
        <v>0.27600000000000002</v>
      </c>
      <c r="AN681">
        <v>0</v>
      </c>
      <c r="AO681">
        <v>0.03</v>
      </c>
      <c r="AP681">
        <v>0.83</v>
      </c>
      <c r="AQ681">
        <v>-0.73</v>
      </c>
      <c r="AR681">
        <v>0</v>
      </c>
      <c r="AS681" t="s">
        <v>1327</v>
      </c>
      <c r="AT681">
        <v>0</v>
      </c>
      <c r="AU681">
        <v>0.1</v>
      </c>
      <c r="AV681">
        <v>6</v>
      </c>
      <c r="AW681">
        <v>14</v>
      </c>
      <c r="AX681">
        <v>2</v>
      </c>
      <c r="AY681">
        <v>18</v>
      </c>
      <c r="AZ681" t="s">
        <v>4357</v>
      </c>
      <c r="BA681">
        <v>25</v>
      </c>
      <c r="BB681" t="s">
        <v>35</v>
      </c>
      <c r="BC681" t="s">
        <v>35</v>
      </c>
      <c r="BD681" s="4">
        <f>HYPERLINK("http://mlb.mlb.com/team/player.jsp?player_id=621550",621550)</f>
        <v>621550</v>
      </c>
      <c r="BE681">
        <v>0</v>
      </c>
      <c r="BF681">
        <v>0</v>
      </c>
      <c r="BG681">
        <v>0</v>
      </c>
      <c r="BH681">
        <v>0</v>
      </c>
    </row>
    <row r="682" spans="1:60" x14ac:dyDescent="0.3">
      <c r="A682" s="4">
        <f>HYPERLINK("http://legacy.baseballprospectus.com/p/102764",102764)</f>
        <v>102764</v>
      </c>
      <c r="B682" t="s">
        <v>1445</v>
      </c>
      <c r="C682" t="s">
        <v>1446</v>
      </c>
      <c r="D682" s="10">
        <v>34774</v>
      </c>
      <c r="E682" t="s">
        <v>50</v>
      </c>
      <c r="F682" t="s">
        <v>9</v>
      </c>
      <c r="G682" t="s">
        <v>9</v>
      </c>
      <c r="H682">
        <v>76</v>
      </c>
      <c r="I682">
        <v>220</v>
      </c>
      <c r="J682">
        <v>2018</v>
      </c>
      <c r="K682" s="4" t="str">
        <f>HYPERLINK("http://legacy.baseballprospectus.com/fantasy/dc/index.php?tm=TOR","TOR")</f>
        <v>TOR</v>
      </c>
      <c r="L682" t="s">
        <v>95</v>
      </c>
      <c r="M682" t="s">
        <v>34</v>
      </c>
      <c r="N682">
        <v>23</v>
      </c>
      <c r="O682">
        <v>66</v>
      </c>
      <c r="P682">
        <v>20</v>
      </c>
      <c r="Q682">
        <v>59</v>
      </c>
      <c r="R682">
        <v>8</v>
      </c>
      <c r="S682">
        <v>8</v>
      </c>
      <c r="T682">
        <v>3</v>
      </c>
      <c r="U682">
        <v>0</v>
      </c>
      <c r="V682">
        <v>2</v>
      </c>
      <c r="W682">
        <v>13</v>
      </c>
      <c r="X682">
        <v>22</v>
      </c>
      <c r="Y682">
        <v>8</v>
      </c>
      <c r="Z682">
        <v>6</v>
      </c>
      <c r="AA682">
        <v>1</v>
      </c>
      <c r="AB682">
        <v>0</v>
      </c>
      <c r="AC682">
        <v>15</v>
      </c>
      <c r="AD682">
        <v>0</v>
      </c>
      <c r="AE682">
        <v>0</v>
      </c>
      <c r="AF682">
        <v>2</v>
      </c>
      <c r="AG682">
        <v>0</v>
      </c>
      <c r="AH682">
        <v>0</v>
      </c>
      <c r="AI682" s="5">
        <v>0.22</v>
      </c>
      <c r="AJ682" s="5">
        <v>0.29199999999999998</v>
      </c>
      <c r="AK682" s="5">
        <v>0.373</v>
      </c>
      <c r="AL682" s="5">
        <v>0.25</v>
      </c>
      <c r="AM682" s="5">
        <v>0.28299999999999997</v>
      </c>
      <c r="AN682">
        <v>-0.1</v>
      </c>
      <c r="AO682">
        <v>-0.7</v>
      </c>
      <c r="AP682">
        <v>1.77</v>
      </c>
      <c r="AQ682">
        <v>-0.67</v>
      </c>
      <c r="AR682">
        <v>-0.1</v>
      </c>
      <c r="AS682" t="s">
        <v>1004</v>
      </c>
      <c r="AT682">
        <v>0</v>
      </c>
      <c r="AU682">
        <v>0.3</v>
      </c>
      <c r="AV682">
        <v>9</v>
      </c>
      <c r="AW682">
        <v>21</v>
      </c>
      <c r="AX682">
        <v>7</v>
      </c>
      <c r="AY682">
        <v>20</v>
      </c>
      <c r="AZ682" t="s">
        <v>4389</v>
      </c>
      <c r="BA682">
        <v>34</v>
      </c>
      <c r="BB682" t="s">
        <v>35</v>
      </c>
      <c r="BC682" t="s">
        <v>35</v>
      </c>
      <c r="BD682" s="4">
        <f>HYPERLINK("http://mlb.mlb.com/team/player.jsp?player_id=642133",642133)</f>
        <v>642133</v>
      </c>
      <c r="BE682">
        <v>434</v>
      </c>
      <c r="BF682">
        <v>1434</v>
      </c>
      <c r="BG682">
        <v>0</v>
      </c>
      <c r="BH682">
        <v>0</v>
      </c>
    </row>
    <row r="683" spans="1:60" x14ac:dyDescent="0.3">
      <c r="A683" s="4">
        <f>HYPERLINK("http://legacy.baseballprospectus.com/p/100904",100904)</f>
        <v>100904</v>
      </c>
      <c r="B683" t="s">
        <v>157</v>
      </c>
      <c r="C683" t="s">
        <v>354</v>
      </c>
      <c r="D683" s="10">
        <v>34036</v>
      </c>
      <c r="E683" t="s">
        <v>57</v>
      </c>
      <c r="F683" t="s">
        <v>33</v>
      </c>
      <c r="G683" t="s">
        <v>33</v>
      </c>
      <c r="H683">
        <v>74</v>
      </c>
      <c r="I683">
        <v>165</v>
      </c>
      <c r="J683">
        <v>2018</v>
      </c>
      <c r="K683" s="4" t="str">
        <f>HYPERLINK("http://legacy.baseballprospectus.com/fantasy/dc/index.php?tm=WAS","WAS")</f>
        <v>WAS</v>
      </c>
      <c r="L683" t="s">
        <v>100</v>
      </c>
      <c r="M683" t="s">
        <v>34</v>
      </c>
      <c r="N683">
        <v>25</v>
      </c>
      <c r="O683">
        <v>31</v>
      </c>
      <c r="P683">
        <v>10</v>
      </c>
      <c r="Q683">
        <v>28</v>
      </c>
      <c r="R683">
        <v>4</v>
      </c>
      <c r="S683">
        <v>6</v>
      </c>
      <c r="T683">
        <v>1</v>
      </c>
      <c r="U683">
        <v>0</v>
      </c>
      <c r="V683">
        <v>0</v>
      </c>
      <c r="W683">
        <v>7</v>
      </c>
      <c r="X683">
        <v>8</v>
      </c>
      <c r="Y683">
        <v>2</v>
      </c>
      <c r="Z683">
        <v>2</v>
      </c>
      <c r="AA683">
        <v>0</v>
      </c>
      <c r="AB683">
        <v>0</v>
      </c>
      <c r="AC683">
        <v>6</v>
      </c>
      <c r="AD683">
        <v>0</v>
      </c>
      <c r="AE683">
        <v>0</v>
      </c>
      <c r="AF683">
        <v>1</v>
      </c>
      <c r="AG683">
        <v>2</v>
      </c>
      <c r="AH683">
        <v>0</v>
      </c>
      <c r="AI683" s="5">
        <v>0.25</v>
      </c>
      <c r="AJ683" s="5">
        <v>0.3</v>
      </c>
      <c r="AK683" s="5">
        <v>0.28599999999999998</v>
      </c>
      <c r="AL683" s="5">
        <v>0.22600000000000001</v>
      </c>
      <c r="AM683" s="5">
        <v>0.3</v>
      </c>
      <c r="AN683">
        <v>0.2</v>
      </c>
      <c r="AO683">
        <v>-0.11</v>
      </c>
      <c r="AP683">
        <v>0.83</v>
      </c>
      <c r="AQ683">
        <v>-1.1100000000000001</v>
      </c>
      <c r="AR683">
        <v>0.2</v>
      </c>
      <c r="AS683" t="s">
        <v>2199</v>
      </c>
      <c r="AT683">
        <v>0</v>
      </c>
      <c r="AU683">
        <v>-0.2</v>
      </c>
      <c r="AV683">
        <v>4</v>
      </c>
      <c r="AW683">
        <v>20</v>
      </c>
      <c r="AX683">
        <v>9</v>
      </c>
      <c r="AY683">
        <v>24</v>
      </c>
      <c r="AZ683" t="s">
        <v>4360</v>
      </c>
      <c r="BA683">
        <v>39</v>
      </c>
      <c r="BB683" t="s">
        <v>35</v>
      </c>
      <c r="BC683" t="s">
        <v>35</v>
      </c>
      <c r="BD683" s="4">
        <f>HYPERLINK("http://mlb.mlb.com/team/player.jsp?player_id=622441",622441)</f>
        <v>622441</v>
      </c>
      <c r="BE683">
        <v>1642</v>
      </c>
      <c r="BF683">
        <v>642</v>
      </c>
      <c r="BG683">
        <v>27</v>
      </c>
      <c r="BH683">
        <v>25</v>
      </c>
    </row>
    <row r="684" spans="1:60" x14ac:dyDescent="0.3">
      <c r="A684" s="4">
        <f>HYPERLINK("http://legacy.baseballprospectus.com/p/102202",102202)</f>
        <v>102202</v>
      </c>
      <c r="B684" t="s">
        <v>1768</v>
      </c>
      <c r="C684" t="s">
        <v>1769</v>
      </c>
      <c r="D684" s="10">
        <v>35130</v>
      </c>
      <c r="E684" t="s">
        <v>53</v>
      </c>
      <c r="F684" t="s">
        <v>33</v>
      </c>
      <c r="G684" t="s">
        <v>33</v>
      </c>
      <c r="H684">
        <v>71</v>
      </c>
      <c r="I684">
        <v>170</v>
      </c>
      <c r="J684">
        <v>2018</v>
      </c>
      <c r="K684" s="4" t="str">
        <f>HYPERLINK("http://legacy.baseballprospectus.com/fantasy/dc/index.php?tm=SLN","SLN")</f>
        <v>SLN</v>
      </c>
      <c r="L684" t="s">
        <v>100</v>
      </c>
      <c r="M684" t="s">
        <v>34</v>
      </c>
      <c r="N684">
        <v>22</v>
      </c>
      <c r="O684">
        <v>250</v>
      </c>
      <c r="P684" t="s">
        <v>1680</v>
      </c>
      <c r="Q684">
        <v>233</v>
      </c>
      <c r="R684">
        <v>26</v>
      </c>
      <c r="S684">
        <v>38</v>
      </c>
      <c r="T684">
        <v>10</v>
      </c>
      <c r="U684">
        <v>1</v>
      </c>
      <c r="V684">
        <v>6</v>
      </c>
      <c r="W684">
        <v>55</v>
      </c>
      <c r="X684">
        <v>85</v>
      </c>
      <c r="Y684">
        <v>24</v>
      </c>
      <c r="Z684">
        <v>12</v>
      </c>
      <c r="AA684">
        <v>1</v>
      </c>
      <c r="AB684">
        <v>2</v>
      </c>
      <c r="AC684">
        <v>61</v>
      </c>
      <c r="AD684">
        <v>2</v>
      </c>
      <c r="AE684">
        <v>2</v>
      </c>
      <c r="AF684">
        <v>6</v>
      </c>
      <c r="AG684">
        <v>0</v>
      </c>
      <c r="AH684">
        <v>0</v>
      </c>
      <c r="AI684" s="5">
        <v>0.23599999999999999</v>
      </c>
      <c r="AJ684" s="5">
        <v>0.27800000000000002</v>
      </c>
      <c r="AK684" s="5">
        <v>0.36199999999999999</v>
      </c>
      <c r="AL684" s="5">
        <v>0.214</v>
      </c>
      <c r="AM684" s="5">
        <v>0.28999999999999998</v>
      </c>
      <c r="AN684">
        <v>-0.3</v>
      </c>
      <c r="AO684">
        <v>3.9</v>
      </c>
      <c r="AP684">
        <v>7</v>
      </c>
      <c r="AQ684">
        <v>-12</v>
      </c>
      <c r="AR684">
        <v>1</v>
      </c>
      <c r="AS684" t="s">
        <v>1536</v>
      </c>
      <c r="AT684">
        <v>0</v>
      </c>
      <c r="AU684">
        <v>-1.4</v>
      </c>
      <c r="AV684">
        <v>2</v>
      </c>
      <c r="AW684">
        <v>11</v>
      </c>
      <c r="AX684">
        <v>3</v>
      </c>
      <c r="AY684">
        <v>10</v>
      </c>
      <c r="AZ684" t="s">
        <v>4390</v>
      </c>
      <c r="BA684">
        <v>16</v>
      </c>
      <c r="BB684" t="s">
        <v>36</v>
      </c>
      <c r="BC684" t="s">
        <v>35</v>
      </c>
      <c r="BD684" s="4">
        <f>HYPERLINK("http://mlb.mlb.com/team/player.jsp?player_id=624641",624641)</f>
        <v>624641</v>
      </c>
      <c r="BE684">
        <v>1566</v>
      </c>
      <c r="BF684">
        <v>566</v>
      </c>
      <c r="BG684">
        <v>0</v>
      </c>
      <c r="BH684">
        <v>0</v>
      </c>
    </row>
    <row r="685" spans="1:60" x14ac:dyDescent="0.3">
      <c r="A685" s="4">
        <f>HYPERLINK("http://legacy.baseballprospectus.com/p/102433",102433)</f>
        <v>102433</v>
      </c>
      <c r="B685" t="s">
        <v>3421</v>
      </c>
      <c r="C685" t="s">
        <v>661</v>
      </c>
      <c r="D685" s="10">
        <v>34684</v>
      </c>
      <c r="E685" t="s">
        <v>65</v>
      </c>
      <c r="F685" t="s">
        <v>33</v>
      </c>
      <c r="G685" t="s">
        <v>33</v>
      </c>
      <c r="H685">
        <v>74</v>
      </c>
      <c r="I685">
        <v>175</v>
      </c>
      <c r="J685">
        <v>2018</v>
      </c>
      <c r="K685" s="4" t="str">
        <f>HYPERLINK("http://legacy.baseballprospectus.com/fantasy/dc/index.php?tm=SLN","SLN")</f>
        <v>SLN</v>
      </c>
      <c r="L685" t="s">
        <v>100</v>
      </c>
      <c r="M685" t="s">
        <v>34</v>
      </c>
      <c r="N685">
        <v>23</v>
      </c>
      <c r="O685">
        <v>250</v>
      </c>
      <c r="P685" t="s">
        <v>1680</v>
      </c>
      <c r="Q685">
        <v>229</v>
      </c>
      <c r="R685">
        <v>34</v>
      </c>
      <c r="S685">
        <v>36</v>
      </c>
      <c r="T685">
        <v>11</v>
      </c>
      <c r="U685">
        <v>1</v>
      </c>
      <c r="V685">
        <v>6</v>
      </c>
      <c r="W685">
        <v>54</v>
      </c>
      <c r="X685">
        <v>85</v>
      </c>
      <c r="Y685">
        <v>22</v>
      </c>
      <c r="Z685">
        <v>14</v>
      </c>
      <c r="AA685">
        <v>1</v>
      </c>
      <c r="AB685">
        <v>3</v>
      </c>
      <c r="AC685">
        <v>56</v>
      </c>
      <c r="AD685">
        <v>2</v>
      </c>
      <c r="AE685">
        <v>2</v>
      </c>
      <c r="AF685">
        <v>6</v>
      </c>
      <c r="AG685">
        <v>13</v>
      </c>
      <c r="AH685">
        <v>6</v>
      </c>
      <c r="AI685" s="5">
        <v>0.23499999999999999</v>
      </c>
      <c r="AJ685" s="5">
        <v>0.28899999999999998</v>
      </c>
      <c r="AK685" s="5">
        <v>0.37</v>
      </c>
      <c r="AL685" s="5">
        <v>0.223</v>
      </c>
      <c r="AM685" s="5">
        <v>0.28100000000000003</v>
      </c>
      <c r="AN685">
        <v>0.3</v>
      </c>
      <c r="AO685">
        <v>3.09</v>
      </c>
      <c r="AP685">
        <v>7</v>
      </c>
      <c r="AQ685">
        <v>-9.7899999999999991</v>
      </c>
      <c r="AR685">
        <v>-1</v>
      </c>
      <c r="AS685" t="s">
        <v>1335</v>
      </c>
      <c r="AT685">
        <v>0</v>
      </c>
      <c r="AU685">
        <v>0.6</v>
      </c>
      <c r="AV685">
        <v>1</v>
      </c>
      <c r="AW685">
        <v>6</v>
      </c>
      <c r="AX685">
        <v>14</v>
      </c>
      <c r="AY685">
        <v>17</v>
      </c>
      <c r="AZ685" t="s">
        <v>4391</v>
      </c>
      <c r="BA685">
        <v>21</v>
      </c>
      <c r="BB685" t="s">
        <v>36</v>
      </c>
      <c r="BC685" t="s">
        <v>35</v>
      </c>
      <c r="BD685" s="4">
        <f>HYPERLINK("http://mlb.mlb.com/team/player.jsp?player_id=640458",640458)</f>
        <v>640458</v>
      </c>
      <c r="BE685">
        <v>1683</v>
      </c>
      <c r="BF685">
        <v>683</v>
      </c>
      <c r="BG685">
        <v>0</v>
      </c>
      <c r="BH685">
        <v>0</v>
      </c>
    </row>
    <row r="686" spans="1:60" x14ac:dyDescent="0.3">
      <c r="A686" s="4">
        <f>HYPERLINK("http://legacy.baseballprospectus.com/p/103854",103854)</f>
        <v>103854</v>
      </c>
      <c r="B686" t="s">
        <v>922</v>
      </c>
      <c r="C686" t="s">
        <v>2220</v>
      </c>
      <c r="D686" s="10">
        <v>34400</v>
      </c>
      <c r="E686" t="s">
        <v>59</v>
      </c>
      <c r="F686" t="s">
        <v>33</v>
      </c>
      <c r="G686" t="s">
        <v>33</v>
      </c>
      <c r="H686">
        <v>75</v>
      </c>
      <c r="I686">
        <v>180</v>
      </c>
      <c r="J686">
        <v>2018</v>
      </c>
      <c r="K686" s="4" t="str">
        <f>HYPERLINK("http://legacy.baseballprospectus.com/fantasy/dc/index.php?tm=COL","COL")</f>
        <v>COL</v>
      </c>
      <c r="L686" t="s">
        <v>100</v>
      </c>
      <c r="M686" t="s">
        <v>34</v>
      </c>
      <c r="N686">
        <v>24</v>
      </c>
      <c r="O686">
        <v>250</v>
      </c>
      <c r="P686" t="s">
        <v>1680</v>
      </c>
      <c r="Q686">
        <v>223</v>
      </c>
      <c r="R686">
        <v>32</v>
      </c>
      <c r="S686">
        <v>36</v>
      </c>
      <c r="T686">
        <v>12</v>
      </c>
      <c r="U686">
        <v>2</v>
      </c>
      <c r="V686">
        <v>5</v>
      </c>
      <c r="W686">
        <v>55</v>
      </c>
      <c r="X686">
        <v>86</v>
      </c>
      <c r="Y686">
        <v>25</v>
      </c>
      <c r="Z686">
        <v>21</v>
      </c>
      <c r="AA686">
        <v>1</v>
      </c>
      <c r="AB686">
        <v>2</v>
      </c>
      <c r="AC686">
        <v>56</v>
      </c>
      <c r="AD686">
        <v>2</v>
      </c>
      <c r="AE686">
        <v>1</v>
      </c>
      <c r="AF686">
        <v>6</v>
      </c>
      <c r="AG686">
        <v>19</v>
      </c>
      <c r="AH686">
        <v>4</v>
      </c>
      <c r="AI686" s="5">
        <v>0.245</v>
      </c>
      <c r="AJ686" s="5">
        <v>0.313</v>
      </c>
      <c r="AK686" s="5">
        <v>0.38600000000000001</v>
      </c>
      <c r="AL686" s="5">
        <v>0.22600000000000001</v>
      </c>
      <c r="AM686" s="5">
        <v>0.29799999999999999</v>
      </c>
      <c r="AN686">
        <v>2.5</v>
      </c>
      <c r="AO686">
        <v>2.0099999999999998</v>
      </c>
      <c r="AP686">
        <v>7</v>
      </c>
      <c r="AQ686">
        <v>-8.84</v>
      </c>
      <c r="AR686">
        <v>-2.2999999999999998</v>
      </c>
      <c r="AS686" t="s">
        <v>4256</v>
      </c>
      <c r="AT686">
        <v>0</v>
      </c>
      <c r="AU686">
        <v>2.7</v>
      </c>
      <c r="AV686">
        <v>1</v>
      </c>
      <c r="AW686">
        <v>1</v>
      </c>
      <c r="AX686">
        <v>1</v>
      </c>
      <c r="AY686">
        <v>4</v>
      </c>
      <c r="AZ686" t="s">
        <v>4257</v>
      </c>
      <c r="BA686">
        <v>5</v>
      </c>
      <c r="BB686" t="s">
        <v>36</v>
      </c>
      <c r="BC686" t="s">
        <v>35</v>
      </c>
      <c r="BD686" s="4">
        <f>HYPERLINK("http://mlb.mlb.com/team/player.jsp?player_id=623319",623319)</f>
        <v>623319</v>
      </c>
      <c r="BE686">
        <v>0</v>
      </c>
      <c r="BF686">
        <v>0</v>
      </c>
      <c r="BG686">
        <v>0</v>
      </c>
      <c r="BH686">
        <v>0</v>
      </c>
    </row>
    <row r="687" spans="1:60" x14ac:dyDescent="0.3">
      <c r="A687" s="4">
        <f>HYPERLINK("http://legacy.baseballprospectus.com/p/104129",104129)</f>
        <v>104129</v>
      </c>
      <c r="B687" t="s">
        <v>4392</v>
      </c>
      <c r="C687" t="s">
        <v>2227</v>
      </c>
      <c r="D687" s="10">
        <v>35265</v>
      </c>
      <c r="E687" t="s">
        <v>53</v>
      </c>
      <c r="F687" t="s">
        <v>33</v>
      </c>
      <c r="G687" t="s">
        <v>33</v>
      </c>
      <c r="H687">
        <v>72</v>
      </c>
      <c r="I687">
        <v>145</v>
      </c>
      <c r="J687">
        <v>2018</v>
      </c>
      <c r="K687" s="4" t="str">
        <f>HYPERLINK("http://legacy.baseballprospectus.com/fantasy/dc/index.php?tm=TBA","TBA")</f>
        <v>TBA</v>
      </c>
      <c r="L687" t="s">
        <v>95</v>
      </c>
      <c r="M687" t="s">
        <v>34</v>
      </c>
      <c r="N687">
        <v>21</v>
      </c>
      <c r="O687">
        <v>250</v>
      </c>
      <c r="P687" t="s">
        <v>1680</v>
      </c>
      <c r="Q687">
        <v>235</v>
      </c>
      <c r="R687">
        <v>30</v>
      </c>
      <c r="S687">
        <v>37</v>
      </c>
      <c r="T687">
        <v>10</v>
      </c>
      <c r="U687">
        <v>2</v>
      </c>
      <c r="V687">
        <v>7</v>
      </c>
      <c r="W687">
        <v>56</v>
      </c>
      <c r="X687">
        <v>91</v>
      </c>
      <c r="Y687">
        <v>26</v>
      </c>
      <c r="Z687">
        <v>10</v>
      </c>
      <c r="AA687">
        <v>1</v>
      </c>
      <c r="AB687">
        <v>2</v>
      </c>
      <c r="AC687">
        <v>59</v>
      </c>
      <c r="AD687">
        <v>1</v>
      </c>
      <c r="AE687">
        <v>1</v>
      </c>
      <c r="AF687">
        <v>7</v>
      </c>
      <c r="AG687">
        <v>4</v>
      </c>
      <c r="AH687">
        <v>3</v>
      </c>
      <c r="AI687" s="5">
        <v>0.24299999999999999</v>
      </c>
      <c r="AJ687" s="5">
        <v>0.27900000000000003</v>
      </c>
      <c r="AK687" s="5">
        <v>0.39700000000000002</v>
      </c>
      <c r="AL687" s="5">
        <v>0.218</v>
      </c>
      <c r="AM687" s="5">
        <v>0.29099999999999998</v>
      </c>
      <c r="AN687">
        <v>-0.3</v>
      </c>
      <c r="AO687">
        <v>4.2699999999999996</v>
      </c>
      <c r="AP687">
        <v>7</v>
      </c>
      <c r="AQ687">
        <v>-11.1</v>
      </c>
      <c r="AR687">
        <v>-0.2</v>
      </c>
      <c r="AS687" t="s">
        <v>74</v>
      </c>
      <c r="AT687">
        <v>0</v>
      </c>
      <c r="AU687">
        <v>-0.1</v>
      </c>
      <c r="AV687">
        <v>3</v>
      </c>
      <c r="AW687">
        <v>5</v>
      </c>
      <c r="AX687">
        <v>1</v>
      </c>
      <c r="AY687">
        <v>7</v>
      </c>
      <c r="AZ687" t="s">
        <v>4393</v>
      </c>
      <c r="BA687">
        <v>13</v>
      </c>
      <c r="BB687" t="s">
        <v>36</v>
      </c>
      <c r="BC687" t="s">
        <v>35</v>
      </c>
      <c r="BD687" s="4">
        <f>HYPERLINK("http://mlb.mlb.com/team/player.jsp?player_id=650339",650339)</f>
        <v>650339</v>
      </c>
      <c r="BE687">
        <v>0</v>
      </c>
      <c r="BF687">
        <v>0</v>
      </c>
      <c r="BG687">
        <v>0</v>
      </c>
      <c r="BH687">
        <v>0</v>
      </c>
    </row>
    <row r="688" spans="1:60" x14ac:dyDescent="0.3">
      <c r="A688" s="4">
        <f>HYPERLINK("http://legacy.baseballprospectus.com/p/104745",104745)</f>
        <v>104745</v>
      </c>
      <c r="B688" t="s">
        <v>1437</v>
      </c>
      <c r="C688" t="s">
        <v>181</v>
      </c>
      <c r="D688" s="10">
        <v>34922</v>
      </c>
      <c r="E688" t="s">
        <v>51</v>
      </c>
      <c r="F688" t="s">
        <v>33</v>
      </c>
      <c r="G688" t="s">
        <v>33</v>
      </c>
      <c r="H688">
        <v>70</v>
      </c>
      <c r="I688">
        <v>210</v>
      </c>
      <c r="J688">
        <v>2018</v>
      </c>
      <c r="K688" s="4" t="str">
        <f>HYPERLINK("http://legacy.baseballprospectus.com/fantasy/dc/index.php?tm=BOS","BOS")</f>
        <v>BOS</v>
      </c>
      <c r="L688" t="s">
        <v>95</v>
      </c>
      <c r="M688" t="s">
        <v>34</v>
      </c>
      <c r="N688">
        <v>22</v>
      </c>
      <c r="O688">
        <v>250</v>
      </c>
      <c r="P688" t="s">
        <v>1680</v>
      </c>
      <c r="Q688">
        <v>231</v>
      </c>
      <c r="R688">
        <v>27</v>
      </c>
      <c r="S688">
        <v>29</v>
      </c>
      <c r="T688">
        <v>12</v>
      </c>
      <c r="U688">
        <v>0</v>
      </c>
      <c r="V688">
        <v>11</v>
      </c>
      <c r="W688">
        <v>52</v>
      </c>
      <c r="X688">
        <v>97</v>
      </c>
      <c r="Y688">
        <v>34</v>
      </c>
      <c r="Z688">
        <v>14</v>
      </c>
      <c r="AA688">
        <v>1</v>
      </c>
      <c r="AB688">
        <v>3</v>
      </c>
      <c r="AC688">
        <v>79</v>
      </c>
      <c r="AD688">
        <v>0</v>
      </c>
      <c r="AE688">
        <v>1</v>
      </c>
      <c r="AF688">
        <v>6</v>
      </c>
      <c r="AG688">
        <v>0</v>
      </c>
      <c r="AH688">
        <v>0</v>
      </c>
      <c r="AI688" s="5">
        <v>0.223</v>
      </c>
      <c r="AJ688" s="5">
        <v>0.27500000000000002</v>
      </c>
      <c r="AK688" s="5">
        <v>0.41799999999999998</v>
      </c>
      <c r="AL688" s="5">
        <v>0.23200000000000001</v>
      </c>
      <c r="AM688" s="5">
        <v>0.28299999999999997</v>
      </c>
      <c r="AN688">
        <v>-0.4</v>
      </c>
      <c r="AO688">
        <v>0.85</v>
      </c>
      <c r="AP688">
        <v>7</v>
      </c>
      <c r="AQ688">
        <v>-7.42</v>
      </c>
      <c r="AR688">
        <v>-0.4</v>
      </c>
      <c r="AS688" t="s">
        <v>4921</v>
      </c>
      <c r="AT688">
        <v>0</v>
      </c>
      <c r="AU688">
        <v>0</v>
      </c>
      <c r="AV688">
        <v>3</v>
      </c>
      <c r="AW688">
        <v>21</v>
      </c>
      <c r="AX688">
        <v>4</v>
      </c>
      <c r="AY688">
        <v>23</v>
      </c>
      <c r="AZ688" t="s">
        <v>4473</v>
      </c>
      <c r="BA688">
        <v>39</v>
      </c>
      <c r="BB688" t="s">
        <v>36</v>
      </c>
      <c r="BC688" t="s">
        <v>35</v>
      </c>
      <c r="BD688" s="4">
        <f>HYPERLINK("http://mlb.mlb.com/team/player.jsp?player_id=656308",656308)</f>
        <v>656308</v>
      </c>
      <c r="BE688">
        <v>486</v>
      </c>
      <c r="BF688">
        <v>1486</v>
      </c>
      <c r="BG688">
        <v>0</v>
      </c>
      <c r="BH688">
        <v>0</v>
      </c>
    </row>
    <row r="689" spans="1:60" x14ac:dyDescent="0.3">
      <c r="A689" s="4">
        <f>HYPERLINK("http://legacy.baseballprospectus.com/p/105670",105670)</f>
        <v>105670</v>
      </c>
      <c r="B689" t="s">
        <v>224</v>
      </c>
      <c r="C689" t="s">
        <v>1777</v>
      </c>
      <c r="D689" s="10">
        <v>35445</v>
      </c>
      <c r="E689" t="s">
        <v>65</v>
      </c>
      <c r="F689" t="s">
        <v>33</v>
      </c>
      <c r="G689" t="s">
        <v>33</v>
      </c>
      <c r="H689">
        <v>74</v>
      </c>
      <c r="I689">
        <v>185</v>
      </c>
      <c r="J689">
        <v>2018</v>
      </c>
      <c r="K689" s="4" t="str">
        <f>HYPERLINK("http://legacy.baseballprospectus.com/fantasy/dc/index.php?tm=DET","DET")</f>
        <v>DET</v>
      </c>
      <c r="L689" t="s">
        <v>95</v>
      </c>
      <c r="M689" t="s">
        <v>34</v>
      </c>
      <c r="N689">
        <v>21</v>
      </c>
      <c r="O689">
        <v>250</v>
      </c>
      <c r="P689" t="s">
        <v>1680</v>
      </c>
      <c r="Q689">
        <v>226</v>
      </c>
      <c r="R689">
        <v>32</v>
      </c>
      <c r="S689">
        <v>31</v>
      </c>
      <c r="T689">
        <v>10</v>
      </c>
      <c r="U689">
        <v>2</v>
      </c>
      <c r="V689">
        <v>7</v>
      </c>
      <c r="W689">
        <v>50</v>
      </c>
      <c r="X689">
        <v>85</v>
      </c>
      <c r="Y689">
        <v>24</v>
      </c>
      <c r="Z689">
        <v>17</v>
      </c>
      <c r="AA689">
        <v>1</v>
      </c>
      <c r="AB689">
        <v>3</v>
      </c>
      <c r="AC689">
        <v>76</v>
      </c>
      <c r="AD689">
        <v>1</v>
      </c>
      <c r="AE689">
        <v>2</v>
      </c>
      <c r="AF689">
        <v>6</v>
      </c>
      <c r="AG689">
        <v>9</v>
      </c>
      <c r="AH689">
        <v>4</v>
      </c>
      <c r="AI689" s="5">
        <v>0.219</v>
      </c>
      <c r="AJ689" s="5">
        <v>0.28199999999999997</v>
      </c>
      <c r="AK689" s="5">
        <v>0.371</v>
      </c>
      <c r="AL689" s="5">
        <v>0.216</v>
      </c>
      <c r="AM689" s="5">
        <v>0.28899999999999998</v>
      </c>
      <c r="AN689">
        <v>0.4</v>
      </c>
      <c r="AO689">
        <v>3.09</v>
      </c>
      <c r="AP689">
        <v>7</v>
      </c>
      <c r="AQ689">
        <v>-11.57</v>
      </c>
      <c r="AR689">
        <v>0.9</v>
      </c>
      <c r="AS689" t="s">
        <v>1043</v>
      </c>
      <c r="AT689">
        <v>0</v>
      </c>
      <c r="AU689">
        <v>-1</v>
      </c>
      <c r="AV689">
        <v>2</v>
      </c>
      <c r="AW689">
        <v>4</v>
      </c>
      <c r="AX689">
        <v>0</v>
      </c>
      <c r="AY689">
        <v>3</v>
      </c>
      <c r="AZ689" t="s">
        <v>4177</v>
      </c>
      <c r="BA689">
        <v>5</v>
      </c>
      <c r="BB689" t="s">
        <v>36</v>
      </c>
      <c r="BC689" t="s">
        <v>35</v>
      </c>
      <c r="BD689" s="4">
        <f>HYPERLINK("http://mlb.mlb.com/team/player.jsp?player_id=663662",663662)</f>
        <v>663662</v>
      </c>
      <c r="BE689">
        <v>654</v>
      </c>
      <c r="BF689">
        <v>1654</v>
      </c>
      <c r="BG689">
        <v>0</v>
      </c>
      <c r="BH689">
        <v>0</v>
      </c>
    </row>
    <row r="690" spans="1:60" x14ac:dyDescent="0.3">
      <c r="A690" s="4">
        <f>HYPERLINK("http://legacy.baseballprospectus.com/p/106744",106744)</f>
        <v>106744</v>
      </c>
      <c r="B690" t="s">
        <v>1672</v>
      </c>
      <c r="C690" t="s">
        <v>136</v>
      </c>
      <c r="D690" s="10">
        <v>35522</v>
      </c>
      <c r="E690" t="s">
        <v>51</v>
      </c>
      <c r="F690" t="s">
        <v>33</v>
      </c>
      <c r="G690" t="s">
        <v>33</v>
      </c>
      <c r="H690">
        <v>75</v>
      </c>
      <c r="I690">
        <v>220</v>
      </c>
      <c r="J690">
        <v>2018</v>
      </c>
      <c r="K690" s="4" t="str">
        <f>HYPERLINK("http://legacy.baseballprospectus.com/fantasy/dc/index.php?tm=ATL","ATL")</f>
        <v>ATL</v>
      </c>
      <c r="L690" t="s">
        <v>100</v>
      </c>
      <c r="M690" t="s">
        <v>34</v>
      </c>
      <c r="N690">
        <v>21</v>
      </c>
      <c r="O690">
        <v>27</v>
      </c>
      <c r="P690">
        <v>27</v>
      </c>
      <c r="Q690">
        <v>25</v>
      </c>
      <c r="R690">
        <v>3</v>
      </c>
      <c r="S690">
        <v>4</v>
      </c>
      <c r="T690">
        <v>1</v>
      </c>
      <c r="U690">
        <v>0</v>
      </c>
      <c r="V690">
        <v>1</v>
      </c>
      <c r="W690">
        <v>6</v>
      </c>
      <c r="X690">
        <v>10</v>
      </c>
      <c r="Y690">
        <v>3</v>
      </c>
      <c r="Z690">
        <v>2</v>
      </c>
      <c r="AA690">
        <v>0</v>
      </c>
      <c r="AB690">
        <v>0</v>
      </c>
      <c r="AC690">
        <v>8</v>
      </c>
      <c r="AD690">
        <v>0</v>
      </c>
      <c r="AE690">
        <v>0</v>
      </c>
      <c r="AF690">
        <v>1</v>
      </c>
      <c r="AG690">
        <v>0</v>
      </c>
      <c r="AH690">
        <v>0</v>
      </c>
      <c r="AI690" s="5">
        <v>0.24</v>
      </c>
      <c r="AJ690" s="5">
        <v>0.29599999999999999</v>
      </c>
      <c r="AK690" s="5">
        <v>0.4</v>
      </c>
      <c r="AL690" s="5">
        <v>0.24299999999999999</v>
      </c>
      <c r="AM690" s="5">
        <v>0.29899999999999999</v>
      </c>
      <c r="AN690">
        <v>-0.1</v>
      </c>
      <c r="AO690">
        <v>-0.44</v>
      </c>
      <c r="AP690">
        <v>0.72</v>
      </c>
      <c r="AQ690">
        <v>-0.48</v>
      </c>
      <c r="AR690">
        <v>0</v>
      </c>
      <c r="AS690" t="s">
        <v>1327</v>
      </c>
      <c r="AT690">
        <v>0</v>
      </c>
      <c r="AU690">
        <v>-0.3</v>
      </c>
      <c r="AV690">
        <v>5</v>
      </c>
      <c r="AW690">
        <v>10</v>
      </c>
      <c r="AX690">
        <v>5</v>
      </c>
      <c r="AY690">
        <v>10</v>
      </c>
      <c r="AZ690" t="s">
        <v>4377</v>
      </c>
      <c r="BA690">
        <v>23</v>
      </c>
      <c r="BB690" t="s">
        <v>35</v>
      </c>
      <c r="BC690" t="s">
        <v>35</v>
      </c>
      <c r="BD690" s="4">
        <f>HYPERLINK("http://mlb.mlb.com/team/player.jsp?player_id=663586",663586)</f>
        <v>663586</v>
      </c>
      <c r="BE690">
        <v>1512</v>
      </c>
      <c r="BF690">
        <v>512</v>
      </c>
      <c r="BG690">
        <v>0</v>
      </c>
      <c r="BH690">
        <v>0</v>
      </c>
    </row>
    <row r="691" spans="1:60" x14ac:dyDescent="0.3">
      <c r="A691" s="4">
        <f>HYPERLINK("http://legacy.baseballprospectus.com/p/108112",108112)</f>
        <v>108112</v>
      </c>
      <c r="B691" t="s">
        <v>482</v>
      </c>
      <c r="C691" t="s">
        <v>4402</v>
      </c>
      <c r="D691" s="10">
        <v>34771</v>
      </c>
      <c r="E691" t="s">
        <v>53</v>
      </c>
      <c r="F691" t="s">
        <v>9</v>
      </c>
      <c r="G691" t="s">
        <v>33</v>
      </c>
      <c r="H691">
        <v>71</v>
      </c>
      <c r="I691">
        <v>175</v>
      </c>
      <c r="J691">
        <v>2018</v>
      </c>
      <c r="K691" s="4" t="str">
        <f>HYPERLINK("http://legacy.baseballprospectus.com/fantasy/dc/index.php?tm=KCA","KCA")</f>
        <v>KCA</v>
      </c>
      <c r="L691" t="s">
        <v>95</v>
      </c>
      <c r="M691" t="s">
        <v>34</v>
      </c>
      <c r="N691">
        <v>23</v>
      </c>
      <c r="O691">
        <v>29</v>
      </c>
      <c r="P691">
        <v>9</v>
      </c>
      <c r="Q691">
        <v>26</v>
      </c>
      <c r="R691">
        <v>3</v>
      </c>
      <c r="S691">
        <v>5</v>
      </c>
      <c r="T691">
        <v>1</v>
      </c>
      <c r="U691">
        <v>0</v>
      </c>
      <c r="V691">
        <v>0</v>
      </c>
      <c r="W691">
        <v>6</v>
      </c>
      <c r="X691">
        <v>7</v>
      </c>
      <c r="Y691">
        <v>2</v>
      </c>
      <c r="Z691">
        <v>2</v>
      </c>
      <c r="AA691">
        <v>0</v>
      </c>
      <c r="AB691">
        <v>0</v>
      </c>
      <c r="AC691">
        <v>4</v>
      </c>
      <c r="AD691">
        <v>0</v>
      </c>
      <c r="AE691">
        <v>0</v>
      </c>
      <c r="AF691">
        <v>1</v>
      </c>
      <c r="AG691">
        <v>1</v>
      </c>
      <c r="AH691">
        <v>0</v>
      </c>
      <c r="AI691" s="5">
        <v>0.23100000000000001</v>
      </c>
      <c r="AJ691" s="5">
        <v>0.28599999999999998</v>
      </c>
      <c r="AK691" s="5">
        <v>0.26900000000000002</v>
      </c>
      <c r="AL691" s="5">
        <v>0.23799999999999999</v>
      </c>
      <c r="AM691" s="5">
        <v>0.28000000000000003</v>
      </c>
      <c r="AN691">
        <v>0</v>
      </c>
      <c r="AO691">
        <v>0.2</v>
      </c>
      <c r="AP691">
        <v>0.78</v>
      </c>
      <c r="AQ691">
        <v>-0.68</v>
      </c>
      <c r="AR691">
        <v>0</v>
      </c>
      <c r="AS691" t="s">
        <v>61</v>
      </c>
      <c r="AT691">
        <v>0</v>
      </c>
      <c r="AU691">
        <v>0.3</v>
      </c>
      <c r="AV691">
        <v>4</v>
      </c>
      <c r="AW691">
        <v>20</v>
      </c>
      <c r="AX691">
        <v>6</v>
      </c>
      <c r="AY691">
        <v>15</v>
      </c>
      <c r="AZ691" t="s">
        <v>4403</v>
      </c>
      <c r="BA691">
        <v>30</v>
      </c>
      <c r="BB691" t="s">
        <v>35</v>
      </c>
      <c r="BC691" t="s">
        <v>35</v>
      </c>
      <c r="BD691" s="4">
        <f>HYPERLINK("http://mlb.mlb.com/team/player.jsp?player_id=670032",670032)</f>
        <v>670032</v>
      </c>
      <c r="BE691">
        <v>539</v>
      </c>
      <c r="BF691">
        <v>1539</v>
      </c>
      <c r="BG691">
        <v>0</v>
      </c>
      <c r="BH691">
        <v>0</v>
      </c>
    </row>
    <row r="692" spans="1:60" x14ac:dyDescent="0.3">
      <c r="A692" s="4">
        <f>HYPERLINK("http://legacy.baseballprospectus.com/p/106659",106659)</f>
        <v>106659</v>
      </c>
      <c r="B692" t="s">
        <v>906</v>
      </c>
      <c r="C692" t="s">
        <v>176</v>
      </c>
      <c r="D692" s="10">
        <v>35318</v>
      </c>
      <c r="E692" t="s">
        <v>65</v>
      </c>
      <c r="F692" t="s">
        <v>37</v>
      </c>
      <c r="G692" t="s">
        <v>33</v>
      </c>
      <c r="H692">
        <v>73</v>
      </c>
      <c r="I692">
        <v>165</v>
      </c>
      <c r="J692">
        <v>2018</v>
      </c>
      <c r="K692" s="4" t="str">
        <f>HYPERLINK("http://legacy.baseballprospectus.com/fantasy/dc/index.php?tm=WAS","WAS")</f>
        <v>WAS</v>
      </c>
      <c r="L692" t="s">
        <v>100</v>
      </c>
      <c r="M692" t="s">
        <v>34</v>
      </c>
      <c r="N692">
        <v>21</v>
      </c>
      <c r="O692">
        <v>250</v>
      </c>
      <c r="P692" t="s">
        <v>1680</v>
      </c>
      <c r="Q692">
        <v>219</v>
      </c>
      <c r="R692">
        <v>31</v>
      </c>
      <c r="S692">
        <v>33</v>
      </c>
      <c r="T692">
        <v>9</v>
      </c>
      <c r="U692">
        <v>1</v>
      </c>
      <c r="V692">
        <v>6</v>
      </c>
      <c r="W692">
        <v>49</v>
      </c>
      <c r="X692">
        <v>78</v>
      </c>
      <c r="Y692">
        <v>23</v>
      </c>
      <c r="Z692">
        <v>24</v>
      </c>
      <c r="AA692">
        <v>1</v>
      </c>
      <c r="AB692">
        <v>1</v>
      </c>
      <c r="AC692">
        <v>68</v>
      </c>
      <c r="AD692">
        <v>3</v>
      </c>
      <c r="AE692">
        <v>2</v>
      </c>
      <c r="AF692">
        <v>6</v>
      </c>
      <c r="AG692">
        <v>6</v>
      </c>
      <c r="AH692">
        <v>2</v>
      </c>
      <c r="AI692" s="5">
        <v>0.222</v>
      </c>
      <c r="AJ692" s="5">
        <v>0.30099999999999999</v>
      </c>
      <c r="AK692" s="5">
        <v>0.35199999999999998</v>
      </c>
      <c r="AL692" s="5">
        <v>0.22</v>
      </c>
      <c r="AM692" s="5">
        <v>0.28299999999999997</v>
      </c>
      <c r="AN692">
        <v>0.2</v>
      </c>
      <c r="AO692">
        <v>3.1</v>
      </c>
      <c r="AP692">
        <v>7</v>
      </c>
      <c r="AQ692">
        <v>-10.62</v>
      </c>
      <c r="AR692">
        <v>0.6</v>
      </c>
      <c r="AS692" t="s">
        <v>3893</v>
      </c>
      <c r="AT692">
        <v>0</v>
      </c>
      <c r="AU692">
        <v>-0.4</v>
      </c>
      <c r="AV692">
        <v>1</v>
      </c>
      <c r="AW692">
        <v>4</v>
      </c>
      <c r="AX692">
        <v>1</v>
      </c>
      <c r="AY692">
        <v>2</v>
      </c>
      <c r="AZ692" t="s">
        <v>4260</v>
      </c>
      <c r="BA692">
        <v>5</v>
      </c>
      <c r="BB692" t="s">
        <v>36</v>
      </c>
      <c r="BC692" t="s">
        <v>35</v>
      </c>
      <c r="BD692" s="4">
        <f>HYPERLINK("http://mlb.mlb.com/team/player.jsp?player_id=663368",663368)</f>
        <v>663368</v>
      </c>
      <c r="BE692">
        <v>1667</v>
      </c>
      <c r="BF692">
        <v>667</v>
      </c>
      <c r="BG692">
        <v>0</v>
      </c>
      <c r="BH692">
        <v>0</v>
      </c>
    </row>
    <row r="693" spans="1:60" x14ac:dyDescent="0.3">
      <c r="A693" s="4">
        <f>HYPERLINK("http://legacy.baseballprospectus.com/p/106914",106914)</f>
        <v>106914</v>
      </c>
      <c r="B693" t="s">
        <v>1735</v>
      </c>
      <c r="C693" t="s">
        <v>319</v>
      </c>
      <c r="D693" s="10">
        <v>34507</v>
      </c>
      <c r="E693" t="s">
        <v>53</v>
      </c>
      <c r="F693" t="s">
        <v>33</v>
      </c>
      <c r="G693" t="s">
        <v>33</v>
      </c>
      <c r="H693">
        <v>75</v>
      </c>
      <c r="I693">
        <v>185</v>
      </c>
      <c r="J693">
        <v>2018</v>
      </c>
      <c r="K693" s="4" t="str">
        <f>HYPERLINK("http://legacy.baseballprospectus.com/fantasy/dc/index.php?tm=DET","DET")</f>
        <v>DET</v>
      </c>
      <c r="L693" t="s">
        <v>95</v>
      </c>
      <c r="M693" t="s">
        <v>34</v>
      </c>
      <c r="N693">
        <v>24</v>
      </c>
      <c r="O693">
        <v>250</v>
      </c>
      <c r="P693" t="s">
        <v>1680</v>
      </c>
      <c r="Q693">
        <v>235</v>
      </c>
      <c r="R693">
        <v>28</v>
      </c>
      <c r="S693">
        <v>39</v>
      </c>
      <c r="T693">
        <v>11</v>
      </c>
      <c r="U693">
        <v>2</v>
      </c>
      <c r="V693">
        <v>6</v>
      </c>
      <c r="W693">
        <v>58</v>
      </c>
      <c r="X693">
        <v>91</v>
      </c>
      <c r="Y693">
        <v>24</v>
      </c>
      <c r="Z693">
        <v>11</v>
      </c>
      <c r="AA693">
        <v>1</v>
      </c>
      <c r="AB693">
        <v>1</v>
      </c>
      <c r="AC693">
        <v>55</v>
      </c>
      <c r="AD693">
        <v>2</v>
      </c>
      <c r="AE693">
        <v>2</v>
      </c>
      <c r="AF693">
        <v>6</v>
      </c>
      <c r="AG693">
        <v>3</v>
      </c>
      <c r="AH693">
        <v>1</v>
      </c>
      <c r="AI693" s="5">
        <v>0.24399999999999999</v>
      </c>
      <c r="AJ693" s="5">
        <v>0.27800000000000002</v>
      </c>
      <c r="AK693" s="5">
        <v>0.38100000000000001</v>
      </c>
      <c r="AL693" s="5">
        <v>0.21299999999999999</v>
      </c>
      <c r="AM693" s="5">
        <v>0.28999999999999998</v>
      </c>
      <c r="AN693">
        <v>0</v>
      </c>
      <c r="AO693">
        <v>4.26</v>
      </c>
      <c r="AP693">
        <v>7</v>
      </c>
      <c r="AQ693">
        <v>-12.31</v>
      </c>
      <c r="AR693">
        <v>0.8</v>
      </c>
      <c r="AS693" t="s">
        <v>1795</v>
      </c>
      <c r="AT693">
        <v>0</v>
      </c>
      <c r="AU693">
        <v>-1</v>
      </c>
      <c r="AV693">
        <v>2</v>
      </c>
      <c r="AW693">
        <v>9</v>
      </c>
      <c r="AX693">
        <v>2</v>
      </c>
      <c r="AY693">
        <v>26</v>
      </c>
      <c r="AZ693" t="s">
        <v>4401</v>
      </c>
      <c r="BA693">
        <v>28</v>
      </c>
      <c r="BB693" t="s">
        <v>36</v>
      </c>
      <c r="BC693" t="s">
        <v>35</v>
      </c>
      <c r="BD693" s="4">
        <f>HYPERLINK("http://mlb.mlb.com/team/player.jsp?player_id=623510",623510)</f>
        <v>623510</v>
      </c>
      <c r="BE693">
        <v>0</v>
      </c>
      <c r="BF693">
        <v>0</v>
      </c>
      <c r="BG693">
        <v>0</v>
      </c>
      <c r="BH693">
        <v>0</v>
      </c>
    </row>
    <row r="694" spans="1:60" x14ac:dyDescent="0.3">
      <c r="A694" s="4">
        <f>HYPERLINK("http://legacy.baseballprospectus.com/p/107645",107645)</f>
        <v>107645</v>
      </c>
      <c r="B694" t="s">
        <v>257</v>
      </c>
      <c r="C694" t="s">
        <v>797</v>
      </c>
      <c r="D694" s="10">
        <v>34897</v>
      </c>
      <c r="E694" t="s">
        <v>51</v>
      </c>
      <c r="F694" t="s">
        <v>33</v>
      </c>
      <c r="G694" t="s">
        <v>33</v>
      </c>
      <c r="H694">
        <v>71</v>
      </c>
      <c r="I694">
        <v>205</v>
      </c>
      <c r="J694">
        <v>2018</v>
      </c>
      <c r="K694" s="4" t="str">
        <f>HYPERLINK("http://legacy.baseballprospectus.com/fantasy/dc/index.php?tm=CLE","CLE")</f>
        <v>CLE</v>
      </c>
      <c r="L694" t="s">
        <v>95</v>
      </c>
      <c r="M694" t="s">
        <v>34</v>
      </c>
      <c r="N694">
        <v>22</v>
      </c>
      <c r="O694">
        <v>250</v>
      </c>
      <c r="P694" t="s">
        <v>1680</v>
      </c>
      <c r="Q694">
        <v>227</v>
      </c>
      <c r="R694">
        <v>26</v>
      </c>
      <c r="S694">
        <v>32</v>
      </c>
      <c r="T694">
        <v>12</v>
      </c>
      <c r="U694">
        <v>0</v>
      </c>
      <c r="V694">
        <v>8</v>
      </c>
      <c r="W694">
        <v>52</v>
      </c>
      <c r="X694">
        <v>88</v>
      </c>
      <c r="Y694">
        <v>31</v>
      </c>
      <c r="Z694">
        <v>18</v>
      </c>
      <c r="AA694">
        <v>1</v>
      </c>
      <c r="AB694">
        <v>2</v>
      </c>
      <c r="AC694">
        <v>70</v>
      </c>
      <c r="AD694">
        <v>1</v>
      </c>
      <c r="AE694">
        <v>2</v>
      </c>
      <c r="AF694">
        <v>6</v>
      </c>
      <c r="AG694">
        <v>0</v>
      </c>
      <c r="AH694">
        <v>0</v>
      </c>
      <c r="AI694" s="5">
        <v>0.22800000000000001</v>
      </c>
      <c r="AJ694" s="5">
        <v>0.28999999999999998</v>
      </c>
      <c r="AK694" s="5">
        <v>0.39100000000000001</v>
      </c>
      <c r="AL694" s="5">
        <v>0.22900000000000001</v>
      </c>
      <c r="AM694" s="5">
        <v>0.28799999999999998</v>
      </c>
      <c r="AN694">
        <v>-0.5</v>
      </c>
      <c r="AO694">
        <v>1.92</v>
      </c>
      <c r="AP694">
        <v>7</v>
      </c>
      <c r="AQ694">
        <v>-8.1999999999999993</v>
      </c>
      <c r="AR694">
        <v>-0.6</v>
      </c>
      <c r="AS694" t="s">
        <v>4487</v>
      </c>
      <c r="AT694">
        <v>0</v>
      </c>
      <c r="AU694">
        <v>0.3</v>
      </c>
      <c r="AV694">
        <v>12</v>
      </c>
      <c r="AW694">
        <v>24</v>
      </c>
      <c r="AX694">
        <v>4</v>
      </c>
      <c r="AY694">
        <v>29</v>
      </c>
      <c r="AZ694" t="s">
        <v>4488</v>
      </c>
      <c r="BA694">
        <v>35</v>
      </c>
      <c r="BB694" t="s">
        <v>36</v>
      </c>
      <c r="BC694" t="s">
        <v>35</v>
      </c>
      <c r="BD694" s="4">
        <f>HYPERLINK("http://mlb.mlb.com/team/player.jsp?player_id=641468",641468)</f>
        <v>641468</v>
      </c>
      <c r="BE694">
        <v>0</v>
      </c>
      <c r="BF694">
        <v>0</v>
      </c>
      <c r="BG694">
        <v>0</v>
      </c>
      <c r="BH694">
        <v>0</v>
      </c>
    </row>
    <row r="695" spans="1:60" x14ac:dyDescent="0.3">
      <c r="A695" s="4">
        <f>HYPERLINK("http://legacy.baseballprospectus.com/p/107989",107989)</f>
        <v>107989</v>
      </c>
      <c r="B695" t="s">
        <v>1931</v>
      </c>
      <c r="C695" t="s">
        <v>341</v>
      </c>
      <c r="D695" s="10">
        <v>34846</v>
      </c>
      <c r="E695" t="s">
        <v>54</v>
      </c>
      <c r="F695" t="s">
        <v>37</v>
      </c>
      <c r="G695" t="s">
        <v>33</v>
      </c>
      <c r="H695">
        <v>70</v>
      </c>
      <c r="I695">
        <v>195</v>
      </c>
      <c r="J695">
        <v>2018</v>
      </c>
      <c r="K695" s="4" t="str">
        <f>HYPERLINK("http://legacy.baseballprospectus.com/fantasy/dc/index.php?tm=CLE","CLE")</f>
        <v>CLE</v>
      </c>
      <c r="L695" t="s">
        <v>95</v>
      </c>
      <c r="M695" t="s">
        <v>34</v>
      </c>
      <c r="N695">
        <v>23</v>
      </c>
      <c r="O695">
        <v>250</v>
      </c>
      <c r="P695" t="s">
        <v>1680</v>
      </c>
      <c r="Q695">
        <v>222</v>
      </c>
      <c r="R695">
        <v>25</v>
      </c>
      <c r="S695">
        <v>29</v>
      </c>
      <c r="T695">
        <v>9</v>
      </c>
      <c r="U695">
        <v>0</v>
      </c>
      <c r="V695">
        <v>7</v>
      </c>
      <c r="W695">
        <v>45</v>
      </c>
      <c r="X695">
        <v>75</v>
      </c>
      <c r="Y695">
        <v>28</v>
      </c>
      <c r="Z695">
        <v>24</v>
      </c>
      <c r="AA695">
        <v>1</v>
      </c>
      <c r="AB695">
        <v>1</v>
      </c>
      <c r="AC695">
        <v>71</v>
      </c>
      <c r="AD695">
        <v>1</v>
      </c>
      <c r="AE695">
        <v>1</v>
      </c>
      <c r="AF695">
        <v>7</v>
      </c>
      <c r="AG695">
        <v>0</v>
      </c>
      <c r="AH695">
        <v>0</v>
      </c>
      <c r="AI695" s="5">
        <v>0.20899999999999999</v>
      </c>
      <c r="AJ695" s="5">
        <v>0.28699999999999998</v>
      </c>
      <c r="AK695" s="5">
        <v>0.35399999999999998</v>
      </c>
      <c r="AL695" s="5">
        <v>0.217</v>
      </c>
      <c r="AM695" s="5">
        <v>0.26600000000000001</v>
      </c>
      <c r="AN695">
        <v>-0.5</v>
      </c>
      <c r="AO695">
        <v>5.26</v>
      </c>
      <c r="AP695">
        <v>7</v>
      </c>
      <c r="AQ695">
        <v>-11.4</v>
      </c>
      <c r="AR695">
        <v>0</v>
      </c>
      <c r="AS695" t="s">
        <v>55</v>
      </c>
      <c r="AT695">
        <v>0</v>
      </c>
      <c r="AU695">
        <v>0.4</v>
      </c>
      <c r="AV695">
        <v>3</v>
      </c>
      <c r="AW695">
        <v>13</v>
      </c>
      <c r="AX695">
        <v>1</v>
      </c>
      <c r="AY695">
        <v>17</v>
      </c>
      <c r="AZ695" t="s">
        <v>4261</v>
      </c>
      <c r="BA695">
        <v>21</v>
      </c>
      <c r="BB695" t="s">
        <v>36</v>
      </c>
      <c r="BC695" t="s">
        <v>35</v>
      </c>
      <c r="BD695" s="4">
        <f>HYPERLINK("http://mlb.mlb.com/team/player.jsp?player_id=668681",668681)</f>
        <v>668681</v>
      </c>
      <c r="BE695">
        <v>726</v>
      </c>
      <c r="BF695">
        <v>1726</v>
      </c>
      <c r="BG695">
        <v>0</v>
      </c>
      <c r="BH695">
        <v>0</v>
      </c>
    </row>
    <row r="696" spans="1:60" x14ac:dyDescent="0.3">
      <c r="A696" s="4">
        <f>HYPERLINK("http://legacy.baseballprospectus.com/p/108028",108028)</f>
        <v>108028</v>
      </c>
      <c r="B696" t="s">
        <v>445</v>
      </c>
      <c r="C696" t="s">
        <v>232</v>
      </c>
      <c r="D696" s="10">
        <v>34891</v>
      </c>
      <c r="E696" t="s">
        <v>57</v>
      </c>
      <c r="F696" t="s">
        <v>9</v>
      </c>
      <c r="G696" t="s">
        <v>9</v>
      </c>
      <c r="H696">
        <v>70</v>
      </c>
      <c r="I696">
        <v>185</v>
      </c>
      <c r="J696">
        <v>2018</v>
      </c>
      <c r="K696" s="4" t="str">
        <f>HYPERLINK("http://legacy.baseballprospectus.com/fantasy/dc/index.php?tm=WAS","WAS")</f>
        <v>WAS</v>
      </c>
      <c r="L696" t="s">
        <v>100</v>
      </c>
      <c r="M696" t="s">
        <v>34</v>
      </c>
      <c r="N696">
        <v>22</v>
      </c>
      <c r="O696">
        <v>250</v>
      </c>
      <c r="P696" t="s">
        <v>1680</v>
      </c>
      <c r="Q696">
        <v>231</v>
      </c>
      <c r="R696">
        <v>34</v>
      </c>
      <c r="S696">
        <v>36</v>
      </c>
      <c r="T696">
        <v>10</v>
      </c>
      <c r="U696">
        <v>1</v>
      </c>
      <c r="V696">
        <v>10</v>
      </c>
      <c r="W696">
        <v>57</v>
      </c>
      <c r="X696">
        <v>99</v>
      </c>
      <c r="Y696">
        <v>30</v>
      </c>
      <c r="Z696">
        <v>13</v>
      </c>
      <c r="AA696">
        <v>1</v>
      </c>
      <c r="AB696">
        <v>4</v>
      </c>
      <c r="AC696">
        <v>63</v>
      </c>
      <c r="AD696">
        <v>1</v>
      </c>
      <c r="AE696">
        <v>1</v>
      </c>
      <c r="AF696">
        <v>6</v>
      </c>
      <c r="AG696">
        <v>5</v>
      </c>
      <c r="AH696">
        <v>2</v>
      </c>
      <c r="AI696" s="5">
        <v>0.248</v>
      </c>
      <c r="AJ696" s="5">
        <v>0.29699999999999999</v>
      </c>
      <c r="AK696" s="5">
        <v>0.435</v>
      </c>
      <c r="AL696" s="5">
        <v>0.23899999999999999</v>
      </c>
      <c r="AM696" s="5">
        <v>0.29399999999999998</v>
      </c>
      <c r="AN696">
        <v>0</v>
      </c>
      <c r="AO696">
        <v>1.21</v>
      </c>
      <c r="AP696">
        <v>7</v>
      </c>
      <c r="AQ696">
        <v>-5.57</v>
      </c>
      <c r="AR696">
        <v>-2.8</v>
      </c>
      <c r="AS696" t="s">
        <v>4835</v>
      </c>
      <c r="AT696">
        <v>0</v>
      </c>
      <c r="AU696">
        <v>2.6</v>
      </c>
      <c r="AV696">
        <v>2</v>
      </c>
      <c r="AW696">
        <v>22</v>
      </c>
      <c r="AX696">
        <v>2</v>
      </c>
      <c r="AY696">
        <v>22</v>
      </c>
      <c r="AZ696" t="s">
        <v>4405</v>
      </c>
      <c r="BA696">
        <v>40</v>
      </c>
      <c r="BB696" t="s">
        <v>36</v>
      </c>
      <c r="BC696" t="s">
        <v>35</v>
      </c>
      <c r="BD696" s="4">
        <f>HYPERLINK("http://mlb.mlb.com/team/player.jsp?player_id=669288",669288)</f>
        <v>669288</v>
      </c>
      <c r="BE696">
        <v>1668</v>
      </c>
      <c r="BF696">
        <v>668</v>
      </c>
      <c r="BG696">
        <v>0</v>
      </c>
      <c r="BH696">
        <v>0</v>
      </c>
    </row>
    <row r="697" spans="1:60" x14ac:dyDescent="0.3">
      <c r="A697" s="4">
        <f>HYPERLINK("http://legacy.baseballprospectus.com/p/108097",108097)</f>
        <v>108097</v>
      </c>
      <c r="B697" t="s">
        <v>472</v>
      </c>
      <c r="C697" t="s">
        <v>182</v>
      </c>
      <c r="D697" s="10">
        <v>34893</v>
      </c>
      <c r="E697" t="s">
        <v>65</v>
      </c>
      <c r="F697" t="s">
        <v>33</v>
      </c>
      <c r="G697" t="s">
        <v>33</v>
      </c>
      <c r="H697">
        <v>76</v>
      </c>
      <c r="I697">
        <v>210</v>
      </c>
      <c r="J697">
        <v>2018</v>
      </c>
      <c r="K697" s="4" t="str">
        <f>HYPERLINK("http://legacy.baseballprospectus.com/fantasy/dc/index.php?tm=SEA","SEA")</f>
        <v>SEA</v>
      </c>
      <c r="L697" t="s">
        <v>95</v>
      </c>
      <c r="M697" t="s">
        <v>34</v>
      </c>
      <c r="N697">
        <v>22</v>
      </c>
      <c r="O697">
        <v>250</v>
      </c>
      <c r="P697" t="s">
        <v>1680</v>
      </c>
      <c r="Q697">
        <v>226</v>
      </c>
      <c r="R697">
        <v>26</v>
      </c>
      <c r="S697">
        <v>32</v>
      </c>
      <c r="T697">
        <v>9</v>
      </c>
      <c r="U697">
        <v>1</v>
      </c>
      <c r="V697">
        <v>9</v>
      </c>
      <c r="W697">
        <v>51</v>
      </c>
      <c r="X697">
        <v>89</v>
      </c>
      <c r="Y697">
        <v>31</v>
      </c>
      <c r="Z697">
        <v>20</v>
      </c>
      <c r="AA697">
        <v>1</v>
      </c>
      <c r="AB697">
        <v>2</v>
      </c>
      <c r="AC697">
        <v>69</v>
      </c>
      <c r="AD697">
        <v>1</v>
      </c>
      <c r="AE697">
        <v>2</v>
      </c>
      <c r="AF697">
        <v>7</v>
      </c>
      <c r="AG697">
        <v>0</v>
      </c>
      <c r="AH697">
        <v>0</v>
      </c>
      <c r="AI697" s="5">
        <v>0.222</v>
      </c>
      <c r="AJ697" s="5">
        <v>0.28799999999999998</v>
      </c>
      <c r="AK697" s="5">
        <v>0.38500000000000001</v>
      </c>
      <c r="AL697" s="5">
        <v>0.23</v>
      </c>
      <c r="AM697" s="5">
        <v>0.27600000000000002</v>
      </c>
      <c r="AN697">
        <v>-0.3</v>
      </c>
      <c r="AO697">
        <v>2.1800000000000002</v>
      </c>
      <c r="AP697">
        <v>7</v>
      </c>
      <c r="AQ697">
        <v>-7.88</v>
      </c>
      <c r="AR697">
        <v>-1.2</v>
      </c>
      <c r="AS697" t="s">
        <v>72</v>
      </c>
      <c r="AT697">
        <v>0</v>
      </c>
      <c r="AU697">
        <v>1</v>
      </c>
      <c r="AV697">
        <v>3</v>
      </c>
      <c r="AW697">
        <v>15</v>
      </c>
      <c r="AX697">
        <v>0</v>
      </c>
      <c r="AY697">
        <v>17</v>
      </c>
      <c r="AZ697" t="s">
        <v>4406</v>
      </c>
      <c r="BA697">
        <v>23</v>
      </c>
      <c r="BB697" t="s">
        <v>36</v>
      </c>
      <c r="BC697" t="s">
        <v>35</v>
      </c>
      <c r="BD697" s="4">
        <f>HYPERLINK("http://mlb.mlb.com/team/player.jsp?player_id=641786",641786)</f>
        <v>641786</v>
      </c>
      <c r="BE697">
        <v>669</v>
      </c>
      <c r="BF697">
        <v>1669</v>
      </c>
      <c r="BG697">
        <v>0</v>
      </c>
      <c r="BH697">
        <v>0</v>
      </c>
    </row>
    <row r="698" spans="1:60" x14ac:dyDescent="0.3">
      <c r="A698" s="4">
        <f>HYPERLINK("http://legacy.baseballprospectus.com/p/108127",108127)</f>
        <v>108127</v>
      </c>
      <c r="B698" t="s">
        <v>1987</v>
      </c>
      <c r="C698" t="s">
        <v>797</v>
      </c>
      <c r="D698" s="10">
        <v>35757</v>
      </c>
      <c r="E698" t="s">
        <v>53</v>
      </c>
      <c r="F698" t="s">
        <v>9</v>
      </c>
      <c r="G698" t="s">
        <v>33</v>
      </c>
      <c r="H698">
        <v>74</v>
      </c>
      <c r="I698">
        <v>190</v>
      </c>
      <c r="J698">
        <v>2018</v>
      </c>
      <c r="K698" s="4" t="str">
        <f>HYPERLINK("http://legacy.baseballprospectus.com/fantasy/dc/index.php?tm=LAN","LAN")</f>
        <v>LAN</v>
      </c>
      <c r="L698" t="s">
        <v>100</v>
      </c>
      <c r="M698" t="s">
        <v>34</v>
      </c>
      <c r="N698">
        <v>20</v>
      </c>
      <c r="O698">
        <v>250</v>
      </c>
      <c r="P698" t="s">
        <v>1680</v>
      </c>
      <c r="Q698">
        <v>226</v>
      </c>
      <c r="R698">
        <v>30</v>
      </c>
      <c r="S698">
        <v>32</v>
      </c>
      <c r="T698">
        <v>9</v>
      </c>
      <c r="U698">
        <v>1</v>
      </c>
      <c r="V698">
        <v>6</v>
      </c>
      <c r="W698">
        <v>48</v>
      </c>
      <c r="X698">
        <v>77</v>
      </c>
      <c r="Y698">
        <v>22</v>
      </c>
      <c r="Z698">
        <v>20</v>
      </c>
      <c r="AA698">
        <v>1</v>
      </c>
      <c r="AB698">
        <v>1</v>
      </c>
      <c r="AC698">
        <v>64</v>
      </c>
      <c r="AD698">
        <v>1</v>
      </c>
      <c r="AE698">
        <v>2</v>
      </c>
      <c r="AF698">
        <v>5</v>
      </c>
      <c r="AG698">
        <v>6</v>
      </c>
      <c r="AH698">
        <v>3</v>
      </c>
      <c r="AI698" s="5">
        <v>0.216</v>
      </c>
      <c r="AJ698" s="5">
        <v>0.28100000000000003</v>
      </c>
      <c r="AK698" s="5">
        <v>0.34899999999999998</v>
      </c>
      <c r="AL698" s="5">
        <v>0.217</v>
      </c>
      <c r="AM698" s="5">
        <v>0.26900000000000002</v>
      </c>
      <c r="AN698">
        <v>0.4</v>
      </c>
      <c r="AO698">
        <v>3.9</v>
      </c>
      <c r="AP698">
        <v>7</v>
      </c>
      <c r="AQ698">
        <v>-11.36</v>
      </c>
      <c r="AR698">
        <v>0.3</v>
      </c>
      <c r="AS698" t="s">
        <v>4866</v>
      </c>
      <c r="AT698">
        <v>0</v>
      </c>
      <c r="AU698">
        <v>-0.1</v>
      </c>
      <c r="AV698">
        <v>2</v>
      </c>
      <c r="AW698">
        <v>15</v>
      </c>
      <c r="AX698">
        <v>0</v>
      </c>
      <c r="AY698">
        <v>3</v>
      </c>
      <c r="AZ698" t="s">
        <v>4262</v>
      </c>
      <c r="BA698">
        <v>17</v>
      </c>
      <c r="BB698" t="s">
        <v>36</v>
      </c>
      <c r="BC698" t="s">
        <v>35</v>
      </c>
      <c r="BD698" s="4">
        <f>HYPERLINK("http://mlb.mlb.com/team/player.jsp?player_id=666158",666158)</f>
        <v>666158</v>
      </c>
      <c r="BE698">
        <v>1556</v>
      </c>
      <c r="BF698">
        <v>556</v>
      </c>
      <c r="BG698">
        <v>0</v>
      </c>
      <c r="BH698">
        <v>0</v>
      </c>
    </row>
    <row r="699" spans="1:60" x14ac:dyDescent="0.3">
      <c r="A699" s="4">
        <f>HYPERLINK("http://legacy.baseballprospectus.com/p/108612",108612)</f>
        <v>108612</v>
      </c>
      <c r="B699" t="s">
        <v>637</v>
      </c>
      <c r="C699" t="s">
        <v>515</v>
      </c>
      <c r="D699" s="10">
        <v>34786</v>
      </c>
      <c r="E699" t="s">
        <v>54</v>
      </c>
      <c r="F699" t="s">
        <v>33</v>
      </c>
      <c r="G699" t="s">
        <v>33</v>
      </c>
      <c r="H699">
        <v>72</v>
      </c>
      <c r="I699">
        <v>192</v>
      </c>
      <c r="J699">
        <v>2018</v>
      </c>
      <c r="K699" s="4" t="str">
        <f>HYPERLINK("http://legacy.baseballprospectus.com/fantasy/dc/index.php?tm=LAN","LAN")</f>
        <v>LAN</v>
      </c>
      <c r="L699" t="s">
        <v>100</v>
      </c>
      <c r="M699" t="s">
        <v>34</v>
      </c>
      <c r="N699">
        <v>23</v>
      </c>
      <c r="O699">
        <v>250</v>
      </c>
      <c r="P699" t="s">
        <v>1680</v>
      </c>
      <c r="Q699">
        <v>217</v>
      </c>
      <c r="R699">
        <v>27</v>
      </c>
      <c r="S699">
        <v>27</v>
      </c>
      <c r="T699">
        <v>9</v>
      </c>
      <c r="U699">
        <v>1</v>
      </c>
      <c r="V699">
        <v>8</v>
      </c>
      <c r="W699">
        <v>45</v>
      </c>
      <c r="X699">
        <v>80</v>
      </c>
      <c r="Y699">
        <v>29</v>
      </c>
      <c r="Z699">
        <v>25</v>
      </c>
      <c r="AA699">
        <v>1</v>
      </c>
      <c r="AB699">
        <v>6</v>
      </c>
      <c r="AC699">
        <v>71</v>
      </c>
      <c r="AD699">
        <v>1</v>
      </c>
      <c r="AE699">
        <v>1</v>
      </c>
      <c r="AF699">
        <v>6</v>
      </c>
      <c r="AG699">
        <v>2</v>
      </c>
      <c r="AH699">
        <v>1</v>
      </c>
      <c r="AI699" s="5">
        <v>0.20799999999999999</v>
      </c>
      <c r="AJ699" s="5">
        <v>0.30599999999999999</v>
      </c>
      <c r="AK699" s="5">
        <v>0.36699999999999999</v>
      </c>
      <c r="AL699" s="5">
        <v>0.23499999999999999</v>
      </c>
      <c r="AM699" s="5">
        <v>0.26500000000000001</v>
      </c>
      <c r="AN699">
        <v>-0.2</v>
      </c>
      <c r="AO699">
        <v>4.99</v>
      </c>
      <c r="AP699">
        <v>7</v>
      </c>
      <c r="AQ699">
        <v>-6.46</v>
      </c>
      <c r="AR699">
        <v>-5.7</v>
      </c>
      <c r="AS699" t="s">
        <v>4407</v>
      </c>
      <c r="AT699">
        <v>0</v>
      </c>
      <c r="AU699">
        <v>5.3</v>
      </c>
      <c r="AV699">
        <v>4</v>
      </c>
      <c r="AW699">
        <v>16</v>
      </c>
      <c r="AX699">
        <v>4</v>
      </c>
      <c r="AY699">
        <v>20</v>
      </c>
      <c r="AZ699" t="s">
        <v>4408</v>
      </c>
      <c r="BA699">
        <v>30</v>
      </c>
      <c r="BB699" t="s">
        <v>36</v>
      </c>
      <c r="BC699" t="s">
        <v>35</v>
      </c>
      <c r="BD699" s="4">
        <f>HYPERLINK("http://mlb.mlb.com/team/player.jsp?player_id=669257",669257)</f>
        <v>669257</v>
      </c>
      <c r="BE699">
        <v>0</v>
      </c>
      <c r="BF699">
        <v>0</v>
      </c>
      <c r="BG699">
        <v>0</v>
      </c>
      <c r="BH699">
        <v>0</v>
      </c>
    </row>
    <row r="700" spans="1:60" x14ac:dyDescent="0.3">
      <c r="A700" s="4">
        <f>HYPERLINK("http://legacy.baseballprospectus.com/p/109147",109147)</f>
        <v>109147</v>
      </c>
      <c r="B700" t="s">
        <v>120</v>
      </c>
      <c r="C700" t="s">
        <v>2008</v>
      </c>
      <c r="D700" s="10">
        <v>35608</v>
      </c>
      <c r="E700" t="s">
        <v>59</v>
      </c>
      <c r="F700" t="s">
        <v>9</v>
      </c>
      <c r="G700" t="s">
        <v>9</v>
      </c>
      <c r="H700">
        <v>77</v>
      </c>
      <c r="I700">
        <v>225</v>
      </c>
      <c r="J700">
        <v>2018</v>
      </c>
      <c r="K700" s="4" t="str">
        <f>HYPERLINK("http://legacy.baseballprospectus.com/fantasy/dc/index.php?tm=HOU","HOU")</f>
        <v>HOU</v>
      </c>
      <c r="L700" t="s">
        <v>95</v>
      </c>
      <c r="M700" t="s">
        <v>34</v>
      </c>
      <c r="N700">
        <v>21</v>
      </c>
      <c r="O700">
        <v>250</v>
      </c>
      <c r="P700" t="s">
        <v>1680</v>
      </c>
      <c r="Q700">
        <v>225</v>
      </c>
      <c r="R700">
        <v>28</v>
      </c>
      <c r="S700">
        <v>34</v>
      </c>
      <c r="T700">
        <v>11</v>
      </c>
      <c r="U700">
        <v>1</v>
      </c>
      <c r="V700">
        <v>9</v>
      </c>
      <c r="W700">
        <v>55</v>
      </c>
      <c r="X700">
        <v>95</v>
      </c>
      <c r="Y700">
        <v>32</v>
      </c>
      <c r="Z700">
        <v>21</v>
      </c>
      <c r="AA700">
        <v>2</v>
      </c>
      <c r="AB700">
        <v>2</v>
      </c>
      <c r="AC700">
        <v>64</v>
      </c>
      <c r="AD700">
        <v>1</v>
      </c>
      <c r="AE700">
        <v>2</v>
      </c>
      <c r="AF700">
        <v>7</v>
      </c>
      <c r="AG700">
        <v>1</v>
      </c>
      <c r="AH700">
        <v>0</v>
      </c>
      <c r="AI700" s="5">
        <v>0.24299999999999999</v>
      </c>
      <c r="AJ700" s="5">
        <v>0.311</v>
      </c>
      <c r="AK700" s="5">
        <v>0.41899999999999998</v>
      </c>
      <c r="AL700" s="5">
        <v>0.246</v>
      </c>
      <c r="AM700" s="5">
        <v>0.29499999999999998</v>
      </c>
      <c r="AN700">
        <v>-0.2</v>
      </c>
      <c r="AO700">
        <v>-0.17</v>
      </c>
      <c r="AP700">
        <v>7</v>
      </c>
      <c r="AQ700">
        <v>-3.8</v>
      </c>
      <c r="AR700">
        <v>-2.6</v>
      </c>
      <c r="AS700" t="s">
        <v>4266</v>
      </c>
      <c r="AT700">
        <v>0</v>
      </c>
      <c r="AU700">
        <v>2.9</v>
      </c>
      <c r="AV700">
        <v>5</v>
      </c>
      <c r="AW700">
        <v>15</v>
      </c>
      <c r="AX700">
        <v>3</v>
      </c>
      <c r="AY700">
        <v>14</v>
      </c>
      <c r="AZ700" t="s">
        <v>4267</v>
      </c>
      <c r="BA700">
        <v>29</v>
      </c>
      <c r="BB700" t="s">
        <v>36</v>
      </c>
      <c r="BC700" t="s">
        <v>35</v>
      </c>
      <c r="BD700" s="4">
        <f>HYPERLINK("http://mlb.mlb.com/team/player.jsp?player_id=670541",670541)</f>
        <v>670541</v>
      </c>
      <c r="BE700">
        <v>435</v>
      </c>
      <c r="BF700">
        <v>1435</v>
      </c>
      <c r="BG700">
        <v>0</v>
      </c>
      <c r="BH700">
        <v>0</v>
      </c>
    </row>
    <row r="701" spans="1:60" x14ac:dyDescent="0.3">
      <c r="A701" s="4">
        <f>HYPERLINK("http://legacy.baseballprospectus.com/p/109984",109984)</f>
        <v>109984</v>
      </c>
      <c r="B701" t="s">
        <v>4409</v>
      </c>
      <c r="C701" t="s">
        <v>313</v>
      </c>
      <c r="D701" s="10">
        <v>35167</v>
      </c>
      <c r="E701" t="s">
        <v>65</v>
      </c>
      <c r="F701" t="s">
        <v>9</v>
      </c>
      <c r="G701" t="s">
        <v>9</v>
      </c>
      <c r="H701">
        <v>73</v>
      </c>
      <c r="I701">
        <v>195</v>
      </c>
      <c r="J701">
        <v>2018</v>
      </c>
      <c r="K701" s="4" t="str">
        <f>HYPERLINK("http://legacy.baseballprospectus.com/fantasy/dc/index.php?tm=PHI","PHI")</f>
        <v>PHI</v>
      </c>
      <c r="L701" t="s">
        <v>100</v>
      </c>
      <c r="M701" t="s">
        <v>34</v>
      </c>
      <c r="N701">
        <v>22</v>
      </c>
      <c r="O701">
        <v>250</v>
      </c>
      <c r="P701" t="s">
        <v>1680</v>
      </c>
      <c r="Q701">
        <v>227</v>
      </c>
      <c r="R701">
        <v>25</v>
      </c>
      <c r="S701">
        <v>32</v>
      </c>
      <c r="T701">
        <v>10</v>
      </c>
      <c r="U701">
        <v>1</v>
      </c>
      <c r="V701">
        <v>7</v>
      </c>
      <c r="W701">
        <v>50</v>
      </c>
      <c r="X701">
        <v>83</v>
      </c>
      <c r="Y701">
        <v>28</v>
      </c>
      <c r="Z701">
        <v>18</v>
      </c>
      <c r="AA701">
        <v>1</v>
      </c>
      <c r="AB701">
        <v>2</v>
      </c>
      <c r="AC701">
        <v>67</v>
      </c>
      <c r="AD701">
        <v>1</v>
      </c>
      <c r="AE701">
        <v>1</v>
      </c>
      <c r="AF701">
        <v>6</v>
      </c>
      <c r="AG701">
        <v>1</v>
      </c>
      <c r="AH701">
        <v>1</v>
      </c>
      <c r="AI701" s="5">
        <v>0.22</v>
      </c>
      <c r="AJ701" s="5">
        <v>0.28100000000000003</v>
      </c>
      <c r="AK701" s="5">
        <v>0.36599999999999999</v>
      </c>
      <c r="AL701" s="5">
        <v>0.217</v>
      </c>
      <c r="AM701" s="5">
        <v>0.27500000000000002</v>
      </c>
      <c r="AN701">
        <v>-0.5</v>
      </c>
      <c r="AO701">
        <v>2.62</v>
      </c>
      <c r="AP701">
        <v>7</v>
      </c>
      <c r="AQ701">
        <v>-11.2</v>
      </c>
      <c r="AR701">
        <v>1.7</v>
      </c>
      <c r="AS701" t="s">
        <v>1806</v>
      </c>
      <c r="AT701">
        <v>0</v>
      </c>
      <c r="AU701">
        <v>-2</v>
      </c>
      <c r="AV701">
        <v>1</v>
      </c>
      <c r="AW701">
        <v>7</v>
      </c>
      <c r="AX701">
        <v>1</v>
      </c>
      <c r="AY701">
        <v>7</v>
      </c>
      <c r="AZ701" t="s">
        <v>4410</v>
      </c>
      <c r="BA701">
        <v>11</v>
      </c>
      <c r="BB701" t="s">
        <v>36</v>
      </c>
      <c r="BC701" t="s">
        <v>35</v>
      </c>
      <c r="BD701" s="4">
        <f>HYPERLINK("http://mlb.mlb.com/team/player.jsp?player_id=656514",656514)</f>
        <v>656514</v>
      </c>
      <c r="BE701">
        <v>1676</v>
      </c>
      <c r="BF701">
        <v>676</v>
      </c>
      <c r="BG701">
        <v>0</v>
      </c>
      <c r="BH701">
        <v>0</v>
      </c>
    </row>
    <row r="702" spans="1:60" x14ac:dyDescent="0.3">
      <c r="A702" s="4">
        <f>HYPERLINK("http://legacy.baseballprospectus.com/p/70360",70360)</f>
        <v>70360</v>
      </c>
      <c r="B702" t="s">
        <v>496</v>
      </c>
      <c r="C702" t="s">
        <v>1115</v>
      </c>
      <c r="D702" s="10">
        <v>33110</v>
      </c>
      <c r="E702" t="s">
        <v>53</v>
      </c>
      <c r="F702" t="s">
        <v>33</v>
      </c>
      <c r="G702" t="s">
        <v>33</v>
      </c>
      <c r="H702">
        <v>73</v>
      </c>
      <c r="I702">
        <v>195</v>
      </c>
      <c r="J702">
        <v>2018</v>
      </c>
      <c r="K702" s="4" t="str">
        <f>HYPERLINK("http://legacy.baseballprospectus.com/fantasy/dc/index.php?tm=ARI","ARI")</f>
        <v>ARI</v>
      </c>
      <c r="L702" t="s">
        <v>100</v>
      </c>
      <c r="M702" t="s">
        <v>34</v>
      </c>
      <c r="N702">
        <v>27</v>
      </c>
      <c r="O702">
        <v>160</v>
      </c>
      <c r="P702">
        <v>57</v>
      </c>
      <c r="Q702">
        <v>148</v>
      </c>
      <c r="R702">
        <v>16</v>
      </c>
      <c r="S702">
        <v>22</v>
      </c>
      <c r="T702">
        <v>7</v>
      </c>
      <c r="U702">
        <v>1</v>
      </c>
      <c r="V702">
        <v>3</v>
      </c>
      <c r="W702">
        <v>33</v>
      </c>
      <c r="X702">
        <v>51</v>
      </c>
      <c r="Y702">
        <v>14</v>
      </c>
      <c r="Z702">
        <v>10</v>
      </c>
      <c r="AA702">
        <v>0</v>
      </c>
      <c r="AB702">
        <v>1</v>
      </c>
      <c r="AC702">
        <v>46</v>
      </c>
      <c r="AD702">
        <v>1</v>
      </c>
      <c r="AE702">
        <v>1</v>
      </c>
      <c r="AF702">
        <v>4</v>
      </c>
      <c r="AG702">
        <v>3</v>
      </c>
      <c r="AH702">
        <v>1</v>
      </c>
      <c r="AI702" s="5">
        <v>0.223</v>
      </c>
      <c r="AJ702" s="5">
        <v>0.27500000000000002</v>
      </c>
      <c r="AK702" s="5">
        <v>0.34499999999999997</v>
      </c>
      <c r="AL702" s="5">
        <v>0.217</v>
      </c>
      <c r="AM702" s="5">
        <v>0.29699999999999999</v>
      </c>
      <c r="AN702">
        <v>0</v>
      </c>
      <c r="AO702">
        <v>0.99</v>
      </c>
      <c r="AP702">
        <v>4.3</v>
      </c>
      <c r="AQ702">
        <v>-7.21</v>
      </c>
      <c r="AR702">
        <v>0.6</v>
      </c>
      <c r="AS702" t="s">
        <v>4866</v>
      </c>
      <c r="AT702">
        <v>-0.1</v>
      </c>
      <c r="AU702">
        <v>-1.9</v>
      </c>
      <c r="AV702">
        <v>8</v>
      </c>
      <c r="AW702">
        <v>25</v>
      </c>
      <c r="AX702">
        <v>15</v>
      </c>
      <c r="AY702">
        <v>33</v>
      </c>
      <c r="AZ702" t="s">
        <v>4411</v>
      </c>
      <c r="BA702">
        <v>54</v>
      </c>
      <c r="BB702" t="s">
        <v>35</v>
      </c>
      <c r="BC702" t="s">
        <v>36</v>
      </c>
      <c r="BD702" s="4">
        <f>HYPERLINK("http://mlb.mlb.com/team/player.jsp?player_id=571918",571918)</f>
        <v>571918</v>
      </c>
      <c r="BE702">
        <v>476</v>
      </c>
      <c r="BF702">
        <v>1476</v>
      </c>
      <c r="BG702">
        <v>188</v>
      </c>
      <c r="BH702">
        <v>171</v>
      </c>
    </row>
    <row r="703" spans="1:60" x14ac:dyDescent="0.3">
      <c r="A703" s="4">
        <f>HYPERLINK("http://legacy.baseballprospectus.com/p/70343",70343)</f>
        <v>70343</v>
      </c>
      <c r="B703" t="s">
        <v>612</v>
      </c>
      <c r="C703" t="s">
        <v>1114</v>
      </c>
      <c r="D703" s="10">
        <v>34476</v>
      </c>
      <c r="E703" t="s">
        <v>51</v>
      </c>
      <c r="F703" t="s">
        <v>9</v>
      </c>
      <c r="G703" t="s">
        <v>33</v>
      </c>
      <c r="H703">
        <v>73</v>
      </c>
      <c r="I703">
        <v>230</v>
      </c>
      <c r="J703">
        <v>2018</v>
      </c>
      <c r="K703" s="4" t="str">
        <f>HYPERLINK("http://legacy.baseballprospectus.com/fantasy/dc/index.php?tm=ATL","ATL")</f>
        <v>ATL</v>
      </c>
      <c r="L703" t="s">
        <v>100</v>
      </c>
      <c r="M703" t="s">
        <v>34</v>
      </c>
      <c r="N703">
        <v>24</v>
      </c>
      <c r="O703">
        <v>251</v>
      </c>
      <c r="P703">
        <v>96</v>
      </c>
      <c r="Q703">
        <v>223</v>
      </c>
      <c r="R703">
        <v>28</v>
      </c>
      <c r="S703">
        <v>33</v>
      </c>
      <c r="T703">
        <v>11</v>
      </c>
      <c r="U703">
        <v>1</v>
      </c>
      <c r="V703">
        <v>7</v>
      </c>
      <c r="W703">
        <v>52</v>
      </c>
      <c r="X703">
        <v>86</v>
      </c>
      <c r="Y703">
        <v>28</v>
      </c>
      <c r="Z703">
        <v>25</v>
      </c>
      <c r="AA703">
        <v>1</v>
      </c>
      <c r="AB703">
        <v>1</v>
      </c>
      <c r="AC703">
        <v>63</v>
      </c>
      <c r="AD703">
        <v>0</v>
      </c>
      <c r="AE703">
        <v>1</v>
      </c>
      <c r="AF703">
        <v>7</v>
      </c>
      <c r="AG703">
        <v>0</v>
      </c>
      <c r="AH703">
        <v>0</v>
      </c>
      <c r="AI703" s="5">
        <v>0.23300000000000001</v>
      </c>
      <c r="AJ703" s="5">
        <v>0.312</v>
      </c>
      <c r="AK703" s="5">
        <v>0.38600000000000001</v>
      </c>
      <c r="AL703" s="5">
        <v>0.24399999999999999</v>
      </c>
      <c r="AM703" s="5">
        <v>0.28899999999999998</v>
      </c>
      <c r="AN703">
        <v>-0.5</v>
      </c>
      <c r="AO703">
        <v>-1.44</v>
      </c>
      <c r="AP703">
        <v>6.74</v>
      </c>
      <c r="AQ703">
        <v>-4.16</v>
      </c>
      <c r="AR703">
        <v>-1.2</v>
      </c>
      <c r="AS703" t="s">
        <v>1796</v>
      </c>
      <c r="AT703">
        <v>-0.1</v>
      </c>
      <c r="AU703">
        <v>0.6</v>
      </c>
      <c r="AV703">
        <v>5</v>
      </c>
      <c r="AW703">
        <v>19</v>
      </c>
      <c r="AX703">
        <v>13</v>
      </c>
      <c r="AY703">
        <v>25</v>
      </c>
      <c r="AZ703" t="s">
        <v>4323</v>
      </c>
      <c r="BA703">
        <v>44</v>
      </c>
      <c r="BB703" t="s">
        <v>35</v>
      </c>
      <c r="BC703" t="s">
        <v>36</v>
      </c>
      <c r="BD703" s="4">
        <f>HYPERLINK("http://mlb.mlb.com/team/player.jsp?player_id=547004",547004)</f>
        <v>547004</v>
      </c>
      <c r="BE703">
        <v>1502</v>
      </c>
      <c r="BF703">
        <v>502</v>
      </c>
      <c r="BG703">
        <v>173</v>
      </c>
      <c r="BH703">
        <v>150</v>
      </c>
    </row>
    <row r="704" spans="1:60" x14ac:dyDescent="0.3">
      <c r="A704" s="4">
        <f>HYPERLINK("http://legacy.baseballprospectus.com/p/68088",68088)</f>
        <v>68088</v>
      </c>
      <c r="B704" t="s">
        <v>1098</v>
      </c>
      <c r="C704" t="s">
        <v>304</v>
      </c>
      <c r="D704" s="10">
        <v>34105</v>
      </c>
      <c r="E704" t="s">
        <v>58</v>
      </c>
      <c r="F704" t="s">
        <v>37</v>
      </c>
      <c r="G704" t="s">
        <v>33</v>
      </c>
      <c r="H704">
        <v>73</v>
      </c>
      <c r="I704">
        <v>180</v>
      </c>
      <c r="J704">
        <v>2018</v>
      </c>
      <c r="K704" s="4" t="str">
        <f>HYPERLINK("http://legacy.baseballprospectus.com/fantasy/dc/index.php?tm=BAL","BAL")</f>
        <v>BAL</v>
      </c>
      <c r="L704" t="s">
        <v>95</v>
      </c>
      <c r="M704" t="s">
        <v>34</v>
      </c>
      <c r="N704">
        <v>25</v>
      </c>
      <c r="O704">
        <v>152</v>
      </c>
      <c r="P704">
        <v>48</v>
      </c>
      <c r="Q704">
        <v>142</v>
      </c>
      <c r="R704">
        <v>15</v>
      </c>
      <c r="S704">
        <v>28</v>
      </c>
      <c r="T704">
        <v>5</v>
      </c>
      <c r="U704">
        <v>1</v>
      </c>
      <c r="V704">
        <v>2</v>
      </c>
      <c r="W704">
        <v>36</v>
      </c>
      <c r="X704">
        <v>49</v>
      </c>
      <c r="Y704">
        <v>13</v>
      </c>
      <c r="Z704">
        <v>7</v>
      </c>
      <c r="AA704">
        <v>1</v>
      </c>
      <c r="AB704">
        <v>1</v>
      </c>
      <c r="AC704">
        <v>27</v>
      </c>
      <c r="AD704">
        <v>2</v>
      </c>
      <c r="AE704">
        <v>1</v>
      </c>
      <c r="AF704">
        <v>5</v>
      </c>
      <c r="AG704">
        <v>3</v>
      </c>
      <c r="AH704">
        <v>1</v>
      </c>
      <c r="AI704" s="5">
        <v>0.254</v>
      </c>
      <c r="AJ704" s="5">
        <v>0.29099999999999998</v>
      </c>
      <c r="AK704" s="5">
        <v>0.34499999999999997</v>
      </c>
      <c r="AL704" s="5">
        <v>0.221</v>
      </c>
      <c r="AM704" s="5">
        <v>0.29199999999999998</v>
      </c>
      <c r="AN704">
        <v>0.1</v>
      </c>
      <c r="AO704">
        <v>0.71</v>
      </c>
      <c r="AP704">
        <v>4.08</v>
      </c>
      <c r="AQ704">
        <v>-6.19</v>
      </c>
      <c r="AR704">
        <v>-0.1</v>
      </c>
      <c r="AS704" t="s">
        <v>4867</v>
      </c>
      <c r="AT704">
        <v>-0.1</v>
      </c>
      <c r="AU704">
        <v>-1.3</v>
      </c>
      <c r="AV704">
        <v>6</v>
      </c>
      <c r="AW704">
        <v>21</v>
      </c>
      <c r="AX704">
        <v>9</v>
      </c>
      <c r="AY704">
        <v>21</v>
      </c>
      <c r="AZ704" t="s">
        <v>4566</v>
      </c>
      <c r="BA704">
        <v>45</v>
      </c>
      <c r="BB704" t="s">
        <v>35</v>
      </c>
      <c r="BC704" t="s">
        <v>36</v>
      </c>
      <c r="BD704" s="4">
        <f>HYPERLINK("http://mlb.mlb.com/team/player.jsp?player_id=596143",596143)</f>
        <v>596143</v>
      </c>
      <c r="BE704">
        <v>0</v>
      </c>
      <c r="BF704">
        <v>0</v>
      </c>
      <c r="BG704">
        <v>53</v>
      </c>
      <c r="BH704">
        <v>49</v>
      </c>
    </row>
    <row r="705" spans="1:60" x14ac:dyDescent="0.3">
      <c r="A705" s="4">
        <f>HYPERLINK("http://legacy.baseballprospectus.com/p/70407",70407)</f>
        <v>70407</v>
      </c>
      <c r="B705" t="s">
        <v>1054</v>
      </c>
      <c r="C705" t="s">
        <v>176</v>
      </c>
      <c r="D705" s="10">
        <v>33697</v>
      </c>
      <c r="E705" t="s">
        <v>50</v>
      </c>
      <c r="F705" t="s">
        <v>37</v>
      </c>
      <c r="G705" t="s">
        <v>33</v>
      </c>
      <c r="H705">
        <v>73</v>
      </c>
      <c r="I705">
        <v>200</v>
      </c>
      <c r="J705">
        <v>2018</v>
      </c>
      <c r="K705" s="4" t="str">
        <f>HYPERLINK("http://legacy.baseballprospectus.com/fantasy/dc/index.php?tm=BOS","BOS")</f>
        <v>BOS</v>
      </c>
      <c r="L705" t="s">
        <v>95</v>
      </c>
      <c r="M705" t="s">
        <v>34</v>
      </c>
      <c r="N705">
        <v>26</v>
      </c>
      <c r="O705">
        <v>125</v>
      </c>
      <c r="P705">
        <v>36</v>
      </c>
      <c r="Q705">
        <v>113</v>
      </c>
      <c r="R705">
        <v>13</v>
      </c>
      <c r="S705">
        <v>20</v>
      </c>
      <c r="T705">
        <v>5</v>
      </c>
      <c r="U705">
        <v>1</v>
      </c>
      <c r="V705">
        <v>2</v>
      </c>
      <c r="W705">
        <v>28</v>
      </c>
      <c r="X705">
        <v>41</v>
      </c>
      <c r="Y705">
        <v>12</v>
      </c>
      <c r="Z705">
        <v>10</v>
      </c>
      <c r="AA705">
        <v>1</v>
      </c>
      <c r="AB705">
        <v>1</v>
      </c>
      <c r="AC705">
        <v>31</v>
      </c>
      <c r="AD705">
        <v>0</v>
      </c>
      <c r="AE705">
        <v>1</v>
      </c>
      <c r="AF705">
        <v>3</v>
      </c>
      <c r="AG705">
        <v>1</v>
      </c>
      <c r="AH705">
        <v>1</v>
      </c>
      <c r="AI705" s="5">
        <v>0.248</v>
      </c>
      <c r="AJ705" s="5">
        <v>0.312</v>
      </c>
      <c r="AK705" s="5">
        <v>0.36299999999999999</v>
      </c>
      <c r="AL705" s="5">
        <v>0.23499999999999999</v>
      </c>
      <c r="AM705" s="5">
        <v>0.314</v>
      </c>
      <c r="AN705">
        <v>-0.1</v>
      </c>
      <c r="AO705">
        <v>-0.57999999999999996</v>
      </c>
      <c r="AP705">
        <v>3.36</v>
      </c>
      <c r="AQ705">
        <v>-3.22</v>
      </c>
      <c r="AR705">
        <v>-0.5</v>
      </c>
      <c r="AS705" t="s">
        <v>4975</v>
      </c>
      <c r="AT705">
        <v>-0.1</v>
      </c>
      <c r="AU705">
        <v>-0.6</v>
      </c>
      <c r="AV705">
        <v>13</v>
      </c>
      <c r="AW705">
        <v>47</v>
      </c>
      <c r="AX705">
        <v>15</v>
      </c>
      <c r="AY705">
        <v>29</v>
      </c>
      <c r="AZ705" t="s">
        <v>4327</v>
      </c>
      <c r="BA705">
        <v>90</v>
      </c>
      <c r="BB705" t="s">
        <v>35</v>
      </c>
      <c r="BC705" t="s">
        <v>36</v>
      </c>
      <c r="BD705" s="4">
        <f>HYPERLINK("http://mlb.mlb.com/team/player.jsp?player_id=596119",596119)</f>
        <v>596119</v>
      </c>
      <c r="BE705">
        <v>390</v>
      </c>
      <c r="BF705">
        <v>1390</v>
      </c>
      <c r="BG705">
        <v>7</v>
      </c>
      <c r="BH705">
        <v>5</v>
      </c>
    </row>
    <row r="706" spans="1:60" x14ac:dyDescent="0.3">
      <c r="A706" s="4">
        <f>HYPERLINK("http://legacy.baseballprospectus.com/p/69944",69944)</f>
        <v>69944</v>
      </c>
      <c r="B706" t="s">
        <v>637</v>
      </c>
      <c r="C706" t="s">
        <v>1755</v>
      </c>
      <c r="D706" s="10">
        <v>32322</v>
      </c>
      <c r="E706" t="s">
        <v>54</v>
      </c>
      <c r="F706" t="s">
        <v>33</v>
      </c>
      <c r="G706" t="s">
        <v>33</v>
      </c>
      <c r="H706">
        <v>76</v>
      </c>
      <c r="I706">
        <v>230</v>
      </c>
      <c r="J706">
        <v>2018</v>
      </c>
      <c r="K706" s="4" t="str">
        <f>HYPERLINK("http://legacy.baseballprospectus.com/fantasy/dc/index.php?tm=CHA","CHA")</f>
        <v>CHA</v>
      </c>
      <c r="L706" t="s">
        <v>95</v>
      </c>
      <c r="M706" t="s">
        <v>34</v>
      </c>
      <c r="N706">
        <v>30</v>
      </c>
      <c r="O706">
        <v>58</v>
      </c>
      <c r="P706">
        <v>17</v>
      </c>
      <c r="Q706">
        <v>53</v>
      </c>
      <c r="R706">
        <v>6</v>
      </c>
      <c r="S706">
        <v>9</v>
      </c>
      <c r="T706">
        <v>3</v>
      </c>
      <c r="U706">
        <v>0</v>
      </c>
      <c r="V706">
        <v>1</v>
      </c>
      <c r="W706">
        <v>13</v>
      </c>
      <c r="X706">
        <v>19</v>
      </c>
      <c r="Y706">
        <v>6</v>
      </c>
      <c r="Z706">
        <v>4</v>
      </c>
      <c r="AA706">
        <v>0</v>
      </c>
      <c r="AB706">
        <v>1</v>
      </c>
      <c r="AC706">
        <v>12</v>
      </c>
      <c r="AD706">
        <v>0</v>
      </c>
      <c r="AE706">
        <v>0</v>
      </c>
      <c r="AF706">
        <v>2</v>
      </c>
      <c r="AG706">
        <v>0</v>
      </c>
      <c r="AH706">
        <v>0</v>
      </c>
      <c r="AI706" s="5">
        <v>0.245</v>
      </c>
      <c r="AJ706" s="5">
        <v>0.31</v>
      </c>
      <c r="AK706" s="5">
        <v>0.35799999999999998</v>
      </c>
      <c r="AL706" s="5">
        <v>0.23599999999999999</v>
      </c>
      <c r="AM706" s="5">
        <v>0.28699999999999998</v>
      </c>
      <c r="AN706">
        <v>-0.1</v>
      </c>
      <c r="AO706">
        <v>0.44</v>
      </c>
      <c r="AP706">
        <v>1.56</v>
      </c>
      <c r="AQ706">
        <v>-1.48</v>
      </c>
      <c r="AR706">
        <v>-1.7</v>
      </c>
      <c r="AS706" t="s">
        <v>1222</v>
      </c>
      <c r="AT706">
        <v>-0.1</v>
      </c>
      <c r="AU706">
        <v>0.4</v>
      </c>
      <c r="AV706">
        <v>4</v>
      </c>
      <c r="AW706">
        <v>21</v>
      </c>
      <c r="AX706">
        <v>9</v>
      </c>
      <c r="AY706">
        <v>22</v>
      </c>
      <c r="AZ706" t="s">
        <v>4413</v>
      </c>
      <c r="BA706">
        <v>54</v>
      </c>
      <c r="BB706" t="s">
        <v>35</v>
      </c>
      <c r="BC706" t="s">
        <v>36</v>
      </c>
      <c r="BD706" s="4">
        <f>HYPERLINK("http://mlb.mlb.com/team/player.jsp?player_id=607345",607345)</f>
        <v>607345</v>
      </c>
      <c r="BE706">
        <v>365</v>
      </c>
      <c r="BF706">
        <v>1365</v>
      </c>
      <c r="BG706">
        <v>294</v>
      </c>
      <c r="BH706">
        <v>276</v>
      </c>
    </row>
    <row r="707" spans="1:60" x14ac:dyDescent="0.3">
      <c r="A707" s="4">
        <f>HYPERLINK("http://legacy.baseballprospectus.com/p/56104",56104)</f>
        <v>56104</v>
      </c>
      <c r="B707" t="s">
        <v>513</v>
      </c>
      <c r="C707" t="s">
        <v>479</v>
      </c>
      <c r="D707" s="10">
        <v>32313</v>
      </c>
      <c r="E707" t="s">
        <v>54</v>
      </c>
      <c r="F707" t="s">
        <v>33</v>
      </c>
      <c r="G707" t="s">
        <v>33</v>
      </c>
      <c r="H707">
        <v>73</v>
      </c>
      <c r="I707">
        <v>229</v>
      </c>
      <c r="J707">
        <v>2018</v>
      </c>
      <c r="K707" s="4" t="str">
        <f>HYPERLINK("http://legacy.baseballprospectus.com/fantasy/dc/index.php?tm=CIN","CIN")</f>
        <v>CIN</v>
      </c>
      <c r="L707" t="s">
        <v>100</v>
      </c>
      <c r="M707" t="s">
        <v>34</v>
      </c>
      <c r="N707">
        <v>30</v>
      </c>
      <c r="O707">
        <v>209</v>
      </c>
      <c r="P707">
        <v>67</v>
      </c>
      <c r="Q707">
        <v>185</v>
      </c>
      <c r="R707">
        <v>26</v>
      </c>
      <c r="S707">
        <v>27</v>
      </c>
      <c r="T707">
        <v>8</v>
      </c>
      <c r="U707">
        <v>1</v>
      </c>
      <c r="V707">
        <v>8</v>
      </c>
      <c r="W707">
        <v>44</v>
      </c>
      <c r="X707">
        <v>78</v>
      </c>
      <c r="Y707">
        <v>26</v>
      </c>
      <c r="Z707">
        <v>19</v>
      </c>
      <c r="AA707">
        <v>1</v>
      </c>
      <c r="AB707">
        <v>4</v>
      </c>
      <c r="AC707">
        <v>44</v>
      </c>
      <c r="AD707">
        <v>0</v>
      </c>
      <c r="AE707">
        <v>1</v>
      </c>
      <c r="AF707">
        <v>5</v>
      </c>
      <c r="AG707">
        <v>1</v>
      </c>
      <c r="AH707">
        <v>1</v>
      </c>
      <c r="AI707" s="5">
        <v>0.23799999999999999</v>
      </c>
      <c r="AJ707" s="5">
        <v>0.32100000000000001</v>
      </c>
      <c r="AK707" s="5">
        <v>0.42199999999999999</v>
      </c>
      <c r="AL707" s="5">
        <v>0.25600000000000001</v>
      </c>
      <c r="AM707" s="5">
        <v>0.27</v>
      </c>
      <c r="AN707">
        <v>-0.4</v>
      </c>
      <c r="AO707">
        <v>1.26</v>
      </c>
      <c r="AP707">
        <v>5.61</v>
      </c>
      <c r="AQ707">
        <v>-0.86</v>
      </c>
      <c r="AR707">
        <v>-6.6</v>
      </c>
      <c r="AS707" t="s">
        <v>1748</v>
      </c>
      <c r="AT707">
        <v>-0.1</v>
      </c>
      <c r="AU707">
        <v>5.6</v>
      </c>
      <c r="AV707">
        <v>1</v>
      </c>
      <c r="AW707">
        <v>42</v>
      </c>
      <c r="AX707">
        <v>6</v>
      </c>
      <c r="AY707">
        <v>13</v>
      </c>
      <c r="AZ707" t="s">
        <v>4331</v>
      </c>
      <c r="BA707">
        <v>94</v>
      </c>
      <c r="BB707" t="s">
        <v>35</v>
      </c>
      <c r="BC707" t="s">
        <v>36</v>
      </c>
      <c r="BD707" s="4">
        <f>HYPERLINK("http://mlb.mlb.com/team/player.jsp?player_id=519023",519023)</f>
        <v>519023</v>
      </c>
      <c r="BE707">
        <v>1393</v>
      </c>
      <c r="BF707">
        <v>393</v>
      </c>
      <c r="BG707">
        <v>165</v>
      </c>
      <c r="BH707">
        <v>141</v>
      </c>
    </row>
    <row r="708" spans="1:60" x14ac:dyDescent="0.3">
      <c r="A708" s="4">
        <f>HYPERLINK("http://legacy.baseballprospectus.com/p/34484",34484)</f>
        <v>34484</v>
      </c>
      <c r="B708" t="s">
        <v>284</v>
      </c>
      <c r="C708" t="s">
        <v>286</v>
      </c>
      <c r="D708" s="10">
        <v>29513</v>
      </c>
      <c r="E708" t="s">
        <v>57</v>
      </c>
      <c r="F708" t="s">
        <v>33</v>
      </c>
      <c r="G708" t="s">
        <v>33</v>
      </c>
      <c r="H708">
        <v>70</v>
      </c>
      <c r="I708">
        <v>195</v>
      </c>
      <c r="J708">
        <v>2018</v>
      </c>
      <c r="K708" s="4" t="str">
        <f>HYPERLINK("http://legacy.baseballprospectus.com/fantasy/dc/index.php?tm=CLE","CLE")</f>
        <v>CLE</v>
      </c>
      <c r="L708" t="s">
        <v>95</v>
      </c>
      <c r="M708" t="s">
        <v>34</v>
      </c>
      <c r="N708">
        <v>37</v>
      </c>
      <c r="O708">
        <v>171</v>
      </c>
      <c r="P708">
        <v>47</v>
      </c>
      <c r="Q708">
        <v>158</v>
      </c>
      <c r="R708">
        <v>22</v>
      </c>
      <c r="S708">
        <v>27</v>
      </c>
      <c r="T708">
        <v>8</v>
      </c>
      <c r="U708">
        <v>1</v>
      </c>
      <c r="V708">
        <v>3</v>
      </c>
      <c r="W708">
        <v>39</v>
      </c>
      <c r="X708">
        <v>58</v>
      </c>
      <c r="Y708">
        <v>14</v>
      </c>
      <c r="Z708">
        <v>10</v>
      </c>
      <c r="AA708">
        <v>0</v>
      </c>
      <c r="AB708">
        <v>1</v>
      </c>
      <c r="AC708">
        <v>36</v>
      </c>
      <c r="AD708">
        <v>1</v>
      </c>
      <c r="AE708">
        <v>1</v>
      </c>
      <c r="AF708">
        <v>4</v>
      </c>
      <c r="AG708">
        <v>13</v>
      </c>
      <c r="AH708">
        <v>3</v>
      </c>
      <c r="AI708" s="5">
        <v>0.247</v>
      </c>
      <c r="AJ708" s="5">
        <v>0.29399999999999998</v>
      </c>
      <c r="AK708" s="5">
        <v>0.36699999999999999</v>
      </c>
      <c r="AL708" s="5">
        <v>0.22900000000000001</v>
      </c>
      <c r="AM708" s="5">
        <v>0.29699999999999999</v>
      </c>
      <c r="AN708">
        <v>1.8</v>
      </c>
      <c r="AO708">
        <v>-0.35</v>
      </c>
      <c r="AP708">
        <v>4.59</v>
      </c>
      <c r="AQ708">
        <v>-5.54</v>
      </c>
      <c r="AR708">
        <v>-1</v>
      </c>
      <c r="AS708" t="s">
        <v>1044</v>
      </c>
      <c r="AT708">
        <v>-0.1</v>
      </c>
      <c r="AU708">
        <v>0.5</v>
      </c>
      <c r="AV708">
        <v>2</v>
      </c>
      <c r="AW708">
        <v>31</v>
      </c>
      <c r="AX708">
        <v>12</v>
      </c>
      <c r="AY708">
        <v>26</v>
      </c>
      <c r="AZ708" t="s">
        <v>4130</v>
      </c>
      <c r="BA708">
        <v>77</v>
      </c>
      <c r="BB708" t="s">
        <v>35</v>
      </c>
      <c r="BC708" t="s">
        <v>36</v>
      </c>
      <c r="BD708" s="4">
        <f>HYPERLINK("http://mlb.mlb.com/team/player.jsp?player_id=434658",434658)</f>
        <v>434658</v>
      </c>
      <c r="BE708">
        <v>0</v>
      </c>
      <c r="BF708">
        <v>0</v>
      </c>
      <c r="BG708">
        <v>366</v>
      </c>
      <c r="BH708">
        <v>336</v>
      </c>
    </row>
    <row r="709" spans="1:60" x14ac:dyDescent="0.3">
      <c r="A709" s="4">
        <f>HYPERLINK("http://legacy.baseballprospectus.com/p/70307",70307)</f>
        <v>70307</v>
      </c>
      <c r="B709" t="s">
        <v>423</v>
      </c>
      <c r="C709" t="s">
        <v>148</v>
      </c>
      <c r="D709" s="10">
        <v>32751</v>
      </c>
      <c r="E709" t="s">
        <v>54</v>
      </c>
      <c r="F709" t="s">
        <v>33</v>
      </c>
      <c r="G709" t="s">
        <v>33</v>
      </c>
      <c r="H709">
        <v>74</v>
      </c>
      <c r="I709">
        <v>230</v>
      </c>
      <c r="J709">
        <v>2018</v>
      </c>
      <c r="K709" s="4" t="str">
        <f>HYPERLINK("http://legacy.baseballprospectus.com/fantasy/dc/index.php?tm=DET","DET")</f>
        <v>DET</v>
      </c>
      <c r="L709" t="s">
        <v>95</v>
      </c>
      <c r="M709" t="s">
        <v>34</v>
      </c>
      <c r="N709">
        <v>28</v>
      </c>
      <c r="O709">
        <v>160</v>
      </c>
      <c r="P709">
        <v>50</v>
      </c>
      <c r="Q709">
        <v>149</v>
      </c>
      <c r="R709">
        <v>18</v>
      </c>
      <c r="S709">
        <v>24</v>
      </c>
      <c r="T709">
        <v>8</v>
      </c>
      <c r="U709">
        <v>1</v>
      </c>
      <c r="V709">
        <v>5</v>
      </c>
      <c r="W709">
        <v>38</v>
      </c>
      <c r="X709">
        <v>63</v>
      </c>
      <c r="Y709">
        <v>19</v>
      </c>
      <c r="Z709">
        <v>8</v>
      </c>
      <c r="AA709">
        <v>0</v>
      </c>
      <c r="AB709">
        <v>1</v>
      </c>
      <c r="AC709">
        <v>42</v>
      </c>
      <c r="AD709">
        <v>1</v>
      </c>
      <c r="AE709">
        <v>1</v>
      </c>
      <c r="AF709">
        <v>4</v>
      </c>
      <c r="AG709">
        <v>2</v>
      </c>
      <c r="AH709">
        <v>1</v>
      </c>
      <c r="AI709" s="5">
        <v>0.255</v>
      </c>
      <c r="AJ709" s="5">
        <v>0.29599999999999999</v>
      </c>
      <c r="AK709" s="5">
        <v>0.42299999999999999</v>
      </c>
      <c r="AL709" s="5">
        <v>0.23499999999999999</v>
      </c>
      <c r="AM709" s="5">
        <v>0.309</v>
      </c>
      <c r="AN709">
        <v>-0.1</v>
      </c>
      <c r="AO709">
        <v>-0.04</v>
      </c>
      <c r="AP709">
        <v>4.3</v>
      </c>
      <c r="AQ709">
        <v>-4.1399999999999997</v>
      </c>
      <c r="AR709">
        <v>-1.2</v>
      </c>
      <c r="AS709" t="s">
        <v>4415</v>
      </c>
      <c r="AT709">
        <v>-0.1</v>
      </c>
      <c r="AU709">
        <v>0</v>
      </c>
      <c r="AV709">
        <v>6</v>
      </c>
      <c r="AW709">
        <v>16</v>
      </c>
      <c r="AX709">
        <v>16</v>
      </c>
      <c r="AY709">
        <v>36</v>
      </c>
      <c r="AZ709" t="s">
        <v>4416</v>
      </c>
      <c r="BA709">
        <v>57</v>
      </c>
      <c r="BB709" t="s">
        <v>35</v>
      </c>
      <c r="BC709" t="s">
        <v>36</v>
      </c>
      <c r="BD709" s="4">
        <f>HYPERLINK("http://mlb.mlb.com/team/player.jsp?player_id=543308",543308)</f>
        <v>543308</v>
      </c>
      <c r="BE709">
        <v>372</v>
      </c>
      <c r="BF709">
        <v>1372</v>
      </c>
      <c r="BG709">
        <v>190</v>
      </c>
      <c r="BH709">
        <v>173</v>
      </c>
    </row>
    <row r="710" spans="1:60" x14ac:dyDescent="0.3">
      <c r="A710" s="4">
        <f>HYPERLINK("http://legacy.baseballprospectus.com/p/70296",70296)</f>
        <v>70296</v>
      </c>
      <c r="B710" t="s">
        <v>738</v>
      </c>
      <c r="C710" t="s">
        <v>213</v>
      </c>
      <c r="D710" s="10">
        <v>32750</v>
      </c>
      <c r="E710" t="s">
        <v>65</v>
      </c>
      <c r="F710" t="s">
        <v>37</v>
      </c>
      <c r="G710" t="s">
        <v>33</v>
      </c>
      <c r="H710">
        <v>69</v>
      </c>
      <c r="I710">
        <v>170</v>
      </c>
      <c r="J710">
        <v>2018</v>
      </c>
      <c r="K710" s="4" t="str">
        <f>HYPERLINK("http://legacy.baseballprospectus.com/fantasy/dc/index.php?tm=KCA","KCA")</f>
        <v>KCA</v>
      </c>
      <c r="L710" t="s">
        <v>95</v>
      </c>
      <c r="M710" t="s">
        <v>34</v>
      </c>
      <c r="N710">
        <v>28</v>
      </c>
      <c r="O710">
        <v>36</v>
      </c>
      <c r="P710">
        <v>10</v>
      </c>
      <c r="Q710">
        <v>33</v>
      </c>
      <c r="R710">
        <v>4</v>
      </c>
      <c r="S710">
        <v>7</v>
      </c>
      <c r="T710">
        <v>1</v>
      </c>
      <c r="U710">
        <v>0</v>
      </c>
      <c r="V710">
        <v>0</v>
      </c>
      <c r="W710">
        <v>8</v>
      </c>
      <c r="X710">
        <v>9</v>
      </c>
      <c r="Y710">
        <v>2</v>
      </c>
      <c r="Z710">
        <v>2</v>
      </c>
      <c r="AA710">
        <v>0</v>
      </c>
      <c r="AB710">
        <v>0</v>
      </c>
      <c r="AC710">
        <v>6</v>
      </c>
      <c r="AD710">
        <v>0</v>
      </c>
      <c r="AE710">
        <v>0</v>
      </c>
      <c r="AF710">
        <v>1</v>
      </c>
      <c r="AG710">
        <v>2</v>
      </c>
      <c r="AH710">
        <v>1</v>
      </c>
      <c r="AI710" s="5">
        <v>0.24199999999999999</v>
      </c>
      <c r="AJ710" s="5">
        <v>0.28599999999999998</v>
      </c>
      <c r="AK710" s="5">
        <v>0.27300000000000002</v>
      </c>
      <c r="AL710" s="5">
        <v>0.22800000000000001</v>
      </c>
      <c r="AM710" s="5">
        <v>0.29899999999999999</v>
      </c>
      <c r="AN710">
        <v>0.2</v>
      </c>
      <c r="AO710">
        <v>0.05</v>
      </c>
      <c r="AP710">
        <v>0.97</v>
      </c>
      <c r="AQ710">
        <v>-1.22</v>
      </c>
      <c r="AR710">
        <v>-0.6</v>
      </c>
      <c r="AS710" t="s">
        <v>72</v>
      </c>
      <c r="AT710">
        <v>-0.1</v>
      </c>
      <c r="AU710">
        <v>0</v>
      </c>
      <c r="AV710">
        <v>3</v>
      </c>
      <c r="AW710">
        <v>39</v>
      </c>
      <c r="AX710">
        <v>14</v>
      </c>
      <c r="AY710">
        <v>25</v>
      </c>
      <c r="AZ710" t="s">
        <v>4417</v>
      </c>
      <c r="BA710">
        <v>76</v>
      </c>
      <c r="BB710" t="s">
        <v>35</v>
      </c>
      <c r="BC710" t="s">
        <v>36</v>
      </c>
      <c r="BD710" s="4">
        <f>HYPERLINK("http://mlb.mlb.com/team/player.jsp?player_id=542993",542993)</f>
        <v>542993</v>
      </c>
      <c r="BE710">
        <v>632</v>
      </c>
      <c r="BF710">
        <v>1632</v>
      </c>
      <c r="BG710">
        <v>6</v>
      </c>
      <c r="BH710">
        <v>6</v>
      </c>
    </row>
    <row r="711" spans="1:60" x14ac:dyDescent="0.3">
      <c r="A711" s="4">
        <f>HYPERLINK("http://legacy.baseballprospectus.com/p/60144",60144)</f>
        <v>60144</v>
      </c>
      <c r="B711" t="s">
        <v>1082</v>
      </c>
      <c r="C711" t="s">
        <v>102</v>
      </c>
      <c r="D711" s="10">
        <v>32186</v>
      </c>
      <c r="E711" t="s">
        <v>58</v>
      </c>
      <c r="F711" t="s">
        <v>9</v>
      </c>
      <c r="G711" t="s">
        <v>33</v>
      </c>
      <c r="H711">
        <v>70</v>
      </c>
      <c r="I711">
        <v>180</v>
      </c>
      <c r="J711">
        <v>2018</v>
      </c>
      <c r="K711" s="4" t="str">
        <f>HYPERLINK("http://legacy.baseballprospectus.com/fantasy/dc/index.php?tm=KCA","KCA")</f>
        <v>KCA</v>
      </c>
      <c r="L711" t="s">
        <v>95</v>
      </c>
      <c r="M711" t="s">
        <v>34</v>
      </c>
      <c r="N711">
        <v>30</v>
      </c>
      <c r="O711">
        <v>129</v>
      </c>
      <c r="P711">
        <v>40</v>
      </c>
      <c r="Q711">
        <v>118</v>
      </c>
      <c r="R711">
        <v>11</v>
      </c>
      <c r="S711">
        <v>20</v>
      </c>
      <c r="T711">
        <v>5</v>
      </c>
      <c r="U711">
        <v>1</v>
      </c>
      <c r="V711">
        <v>1</v>
      </c>
      <c r="W711">
        <v>27</v>
      </c>
      <c r="X711">
        <v>37</v>
      </c>
      <c r="Y711">
        <v>10</v>
      </c>
      <c r="Z711">
        <v>8</v>
      </c>
      <c r="AA711">
        <v>0</v>
      </c>
      <c r="AB711">
        <v>0</v>
      </c>
      <c r="AC711">
        <v>27</v>
      </c>
      <c r="AD711">
        <v>2</v>
      </c>
      <c r="AE711">
        <v>1</v>
      </c>
      <c r="AF711">
        <v>4</v>
      </c>
      <c r="AG711">
        <v>1</v>
      </c>
      <c r="AH711">
        <v>1</v>
      </c>
      <c r="AI711" s="5">
        <v>0.22900000000000001</v>
      </c>
      <c r="AJ711" s="5">
        <v>0.27600000000000002</v>
      </c>
      <c r="AK711" s="5">
        <v>0.314</v>
      </c>
      <c r="AL711" s="5">
        <v>0.218</v>
      </c>
      <c r="AM711" s="5">
        <v>0.28799999999999998</v>
      </c>
      <c r="AN711">
        <v>-0.2</v>
      </c>
      <c r="AO711">
        <v>0.73</v>
      </c>
      <c r="AP711">
        <v>3.46</v>
      </c>
      <c r="AQ711">
        <v>-5.76</v>
      </c>
      <c r="AR711">
        <v>0.3</v>
      </c>
      <c r="AS711" t="s">
        <v>1721</v>
      </c>
      <c r="AT711">
        <v>-0.1</v>
      </c>
      <c r="AU711">
        <v>-1.7</v>
      </c>
      <c r="AV711">
        <v>4</v>
      </c>
      <c r="AW711">
        <v>34</v>
      </c>
      <c r="AX711">
        <v>10</v>
      </c>
      <c r="AY711">
        <v>40</v>
      </c>
      <c r="AZ711" t="s">
        <v>4154</v>
      </c>
      <c r="BA711">
        <v>78</v>
      </c>
      <c r="BB711" t="s">
        <v>35</v>
      </c>
      <c r="BC711" t="s">
        <v>36</v>
      </c>
      <c r="BD711" s="4">
        <f>HYPERLINK("http://mlb.mlb.com/team/player.jsp?player_id=572365",572365)</f>
        <v>572365</v>
      </c>
      <c r="BE711">
        <v>0</v>
      </c>
      <c r="BF711">
        <v>0</v>
      </c>
      <c r="BG711">
        <v>459</v>
      </c>
      <c r="BH711">
        <v>418</v>
      </c>
    </row>
    <row r="712" spans="1:60" x14ac:dyDescent="0.3">
      <c r="A712" s="4">
        <f>HYPERLINK("http://legacy.baseballprospectus.com/p/70754",70754)</f>
        <v>70754</v>
      </c>
      <c r="B712" t="s">
        <v>498</v>
      </c>
      <c r="C712" t="s">
        <v>1120</v>
      </c>
      <c r="D712" s="10">
        <v>33819</v>
      </c>
      <c r="E712" t="s">
        <v>59</v>
      </c>
      <c r="F712" t="s">
        <v>33</v>
      </c>
      <c r="G712" t="s">
        <v>33</v>
      </c>
      <c r="H712">
        <v>76</v>
      </c>
      <c r="I712">
        <v>210</v>
      </c>
      <c r="J712">
        <v>2018</v>
      </c>
      <c r="K712" s="4" t="str">
        <f>HYPERLINK("http://legacy.baseballprospectus.com/fantasy/dc/index.php?tm=KCA","KCA")</f>
        <v>KCA</v>
      </c>
      <c r="L712" t="s">
        <v>95</v>
      </c>
      <c r="M712" t="s">
        <v>34</v>
      </c>
      <c r="N712">
        <v>25</v>
      </c>
      <c r="O712">
        <v>60</v>
      </c>
      <c r="P712">
        <v>18</v>
      </c>
      <c r="Q712">
        <v>55</v>
      </c>
      <c r="R712">
        <v>6</v>
      </c>
      <c r="S712">
        <v>8</v>
      </c>
      <c r="T712">
        <v>3</v>
      </c>
      <c r="U712">
        <v>0</v>
      </c>
      <c r="V712">
        <v>1</v>
      </c>
      <c r="W712">
        <v>12</v>
      </c>
      <c r="X712">
        <v>18</v>
      </c>
      <c r="Y712">
        <v>6</v>
      </c>
      <c r="Z712">
        <v>4</v>
      </c>
      <c r="AA712">
        <v>0</v>
      </c>
      <c r="AB712">
        <v>1</v>
      </c>
      <c r="AC712">
        <v>18</v>
      </c>
      <c r="AD712">
        <v>0</v>
      </c>
      <c r="AE712">
        <v>0</v>
      </c>
      <c r="AF712">
        <v>1</v>
      </c>
      <c r="AG712">
        <v>1</v>
      </c>
      <c r="AH712">
        <v>0</v>
      </c>
      <c r="AI712" s="5">
        <v>0.218</v>
      </c>
      <c r="AJ712" s="5">
        <v>0.28299999999999997</v>
      </c>
      <c r="AK712" s="5">
        <v>0.32700000000000001</v>
      </c>
      <c r="AL712" s="5">
        <v>0.219</v>
      </c>
      <c r="AM712" s="5">
        <v>0.28799999999999998</v>
      </c>
      <c r="AN712">
        <v>0</v>
      </c>
      <c r="AO712">
        <v>-0.02</v>
      </c>
      <c r="AP712">
        <v>1.61</v>
      </c>
      <c r="AQ712">
        <v>-2.58</v>
      </c>
      <c r="AR712">
        <v>-0.3</v>
      </c>
      <c r="AS712" t="s">
        <v>4295</v>
      </c>
      <c r="AT712">
        <v>-0.1</v>
      </c>
      <c r="AU712">
        <v>-1</v>
      </c>
      <c r="AV712">
        <v>1</v>
      </c>
      <c r="AW712">
        <v>2</v>
      </c>
      <c r="AX712">
        <v>1</v>
      </c>
      <c r="AY712">
        <v>3</v>
      </c>
      <c r="AZ712" t="s">
        <v>4418</v>
      </c>
      <c r="BA712">
        <v>4</v>
      </c>
      <c r="BB712" t="s">
        <v>35</v>
      </c>
      <c r="BC712" t="s">
        <v>35</v>
      </c>
      <c r="BD712" s="4">
        <f>HYPERLINK("http://mlb.mlb.com/team/player.jsp?player_id=605490",605490)</f>
        <v>605490</v>
      </c>
      <c r="BE712">
        <v>656</v>
      </c>
      <c r="BF712">
        <v>1656</v>
      </c>
      <c r="BG712">
        <v>0</v>
      </c>
      <c r="BH712">
        <v>0</v>
      </c>
    </row>
    <row r="713" spans="1:60" x14ac:dyDescent="0.3">
      <c r="A713" s="4">
        <f>HYPERLINK("http://legacy.baseballprospectus.com/p/100171",100171)</f>
        <v>100171</v>
      </c>
      <c r="B713" t="s">
        <v>1414</v>
      </c>
      <c r="C713" t="s">
        <v>182</v>
      </c>
      <c r="D713" s="10">
        <v>33102</v>
      </c>
      <c r="E713" t="s">
        <v>54</v>
      </c>
      <c r="F713" t="s">
        <v>33</v>
      </c>
      <c r="G713" t="s">
        <v>33</v>
      </c>
      <c r="H713">
        <v>72</v>
      </c>
      <c r="I713">
        <v>214</v>
      </c>
      <c r="J713">
        <v>2018</v>
      </c>
      <c r="K713" s="4" t="str">
        <f>HYPERLINK("http://legacy.baseballprospectus.com/fantasy/dc/index.php?tm=LAN","LAN")</f>
        <v>LAN</v>
      </c>
      <c r="L713" t="s">
        <v>100</v>
      </c>
      <c r="M713" t="s">
        <v>34</v>
      </c>
      <c r="N713">
        <v>27</v>
      </c>
      <c r="O713">
        <v>46</v>
      </c>
      <c r="P713">
        <v>24</v>
      </c>
      <c r="Q713">
        <v>42</v>
      </c>
      <c r="R713">
        <v>5</v>
      </c>
      <c r="S713">
        <v>7</v>
      </c>
      <c r="T713">
        <v>3</v>
      </c>
      <c r="U713">
        <v>0</v>
      </c>
      <c r="V713">
        <v>1</v>
      </c>
      <c r="W713">
        <v>11</v>
      </c>
      <c r="X713">
        <v>17</v>
      </c>
      <c r="Y713">
        <v>5</v>
      </c>
      <c r="Z713">
        <v>3</v>
      </c>
      <c r="AA713">
        <v>0</v>
      </c>
      <c r="AB713">
        <v>0</v>
      </c>
      <c r="AC713">
        <v>9</v>
      </c>
      <c r="AD713">
        <v>0</v>
      </c>
      <c r="AE713">
        <v>0</v>
      </c>
      <c r="AF713">
        <v>2</v>
      </c>
      <c r="AG713">
        <v>0</v>
      </c>
      <c r="AH713">
        <v>0</v>
      </c>
      <c r="AI713" s="5">
        <v>0.26200000000000001</v>
      </c>
      <c r="AJ713" s="5">
        <v>0.311</v>
      </c>
      <c r="AK713" s="5">
        <v>0.40500000000000003</v>
      </c>
      <c r="AL713" s="5">
        <v>0.24399999999999999</v>
      </c>
      <c r="AM713" s="5">
        <v>0.29599999999999999</v>
      </c>
      <c r="AN713">
        <v>-0.1</v>
      </c>
      <c r="AO713">
        <v>0.01</v>
      </c>
      <c r="AP713">
        <v>1.23</v>
      </c>
      <c r="AQ713">
        <v>-0.76</v>
      </c>
      <c r="AR713">
        <v>-0.9</v>
      </c>
      <c r="AS713" t="s">
        <v>60</v>
      </c>
      <c r="AT713">
        <v>-0.1</v>
      </c>
      <c r="AU713">
        <v>0.4</v>
      </c>
      <c r="AV713">
        <v>4</v>
      </c>
      <c r="AW713">
        <v>13</v>
      </c>
      <c r="AX713">
        <v>16</v>
      </c>
      <c r="AY713">
        <v>30</v>
      </c>
      <c r="AZ713" t="s">
        <v>4336</v>
      </c>
      <c r="BA713">
        <v>36</v>
      </c>
      <c r="BB713" t="s">
        <v>35</v>
      </c>
      <c r="BC713" t="s">
        <v>35</v>
      </c>
      <c r="BD713" s="4">
        <f>HYPERLINK("http://mlb.mlb.com/team/player.jsp?player_id=571657",571657)</f>
        <v>571657</v>
      </c>
      <c r="BE713">
        <v>1403</v>
      </c>
      <c r="BF713">
        <v>403</v>
      </c>
      <c r="BG713">
        <v>20</v>
      </c>
      <c r="BH713">
        <v>20</v>
      </c>
    </row>
    <row r="714" spans="1:60" x14ac:dyDescent="0.3">
      <c r="A714" s="4">
        <f>HYPERLINK("http://legacy.baseballprospectus.com/p/60737",60737)</f>
        <v>60737</v>
      </c>
      <c r="B714" t="s">
        <v>665</v>
      </c>
      <c r="C714" t="s">
        <v>666</v>
      </c>
      <c r="D714" s="10">
        <v>33312</v>
      </c>
      <c r="E714" t="s">
        <v>59</v>
      </c>
      <c r="F714" t="s">
        <v>33</v>
      </c>
      <c r="G714" t="s">
        <v>33</v>
      </c>
      <c r="H714">
        <v>75</v>
      </c>
      <c r="I714">
        <v>217</v>
      </c>
      <c r="J714">
        <v>2018</v>
      </c>
      <c r="K714" s="4" t="str">
        <f>HYPERLINK("http://legacy.baseballprospectus.com/fantasy/dc/index.php?tm=LAN","LAN")</f>
        <v>LAN</v>
      </c>
      <c r="L714" t="s">
        <v>100</v>
      </c>
      <c r="M714" t="s">
        <v>34</v>
      </c>
      <c r="N714">
        <v>27</v>
      </c>
      <c r="O714">
        <v>48</v>
      </c>
      <c r="P714">
        <v>24</v>
      </c>
      <c r="Q714">
        <v>44</v>
      </c>
      <c r="R714">
        <v>6</v>
      </c>
      <c r="S714">
        <v>6</v>
      </c>
      <c r="T714">
        <v>2</v>
      </c>
      <c r="U714">
        <v>0</v>
      </c>
      <c r="V714">
        <v>2</v>
      </c>
      <c r="W714">
        <v>10</v>
      </c>
      <c r="X714">
        <v>18</v>
      </c>
      <c r="Y714">
        <v>6</v>
      </c>
      <c r="Z714">
        <v>4</v>
      </c>
      <c r="AA714">
        <v>0</v>
      </c>
      <c r="AB714">
        <v>0</v>
      </c>
      <c r="AC714">
        <v>12</v>
      </c>
      <c r="AD714">
        <v>0</v>
      </c>
      <c r="AE714">
        <v>0</v>
      </c>
      <c r="AF714">
        <v>1</v>
      </c>
      <c r="AG714">
        <v>1</v>
      </c>
      <c r="AH714">
        <v>0</v>
      </c>
      <c r="AI714" s="5">
        <v>0.22700000000000001</v>
      </c>
      <c r="AJ714" s="5">
        <v>0.29199999999999998</v>
      </c>
      <c r="AK714" s="5">
        <v>0.40899999999999997</v>
      </c>
      <c r="AL714" s="5">
        <v>0.24099999999999999</v>
      </c>
      <c r="AM714" s="5">
        <v>0.26700000000000002</v>
      </c>
      <c r="AN714">
        <v>0</v>
      </c>
      <c r="AO714">
        <v>-0.28999999999999998</v>
      </c>
      <c r="AP714">
        <v>1.29</v>
      </c>
      <c r="AQ714">
        <v>-0.95</v>
      </c>
      <c r="AR714">
        <v>-0.9</v>
      </c>
      <c r="AS714" t="s">
        <v>1014</v>
      </c>
      <c r="AT714">
        <v>-0.1</v>
      </c>
      <c r="AU714">
        <v>0</v>
      </c>
      <c r="AV714">
        <v>4</v>
      </c>
      <c r="AW714">
        <v>34</v>
      </c>
      <c r="AX714">
        <v>9</v>
      </c>
      <c r="AY714">
        <v>20</v>
      </c>
      <c r="AZ714" t="s">
        <v>4419</v>
      </c>
      <c r="BA714">
        <v>76</v>
      </c>
      <c r="BB714" t="s">
        <v>35</v>
      </c>
      <c r="BC714" t="s">
        <v>36</v>
      </c>
      <c r="BD714" s="4">
        <f>HYPERLINK("http://mlb.mlb.com/team/player.jsp?player_id=572204",572204)</f>
        <v>572204</v>
      </c>
      <c r="BE714">
        <v>1639</v>
      </c>
      <c r="BF714">
        <v>639</v>
      </c>
      <c r="BG714">
        <v>55</v>
      </c>
      <c r="BH714">
        <v>49</v>
      </c>
    </row>
    <row r="715" spans="1:60" x14ac:dyDescent="0.3">
      <c r="A715" s="4">
        <f>HYPERLINK("http://legacy.baseballprospectus.com/p/68945",68945)</f>
        <v>68945</v>
      </c>
      <c r="B715" t="s">
        <v>1727</v>
      </c>
      <c r="C715" t="s">
        <v>1616</v>
      </c>
      <c r="D715" s="10">
        <v>33523</v>
      </c>
      <c r="E715" t="s">
        <v>53</v>
      </c>
      <c r="F715" t="s">
        <v>9</v>
      </c>
      <c r="G715" t="s">
        <v>33</v>
      </c>
      <c r="H715">
        <v>73</v>
      </c>
      <c r="I715">
        <v>180</v>
      </c>
      <c r="J715">
        <v>2018</v>
      </c>
      <c r="K715" s="4" t="str">
        <f>HYPERLINK("http://legacy.baseballprospectus.com/fantasy/dc/index.php?tm=MIA","MIA")</f>
        <v>MIA</v>
      </c>
      <c r="L715" t="s">
        <v>100</v>
      </c>
      <c r="M715" t="s">
        <v>34</v>
      </c>
      <c r="N715">
        <v>26</v>
      </c>
      <c r="O715">
        <v>370</v>
      </c>
      <c r="P715">
        <v>110</v>
      </c>
      <c r="Q715">
        <v>345</v>
      </c>
      <c r="R715">
        <v>37</v>
      </c>
      <c r="S715">
        <v>63</v>
      </c>
      <c r="T715">
        <v>15</v>
      </c>
      <c r="U715">
        <v>2</v>
      </c>
      <c r="V715">
        <v>8</v>
      </c>
      <c r="W715">
        <v>88</v>
      </c>
      <c r="X715">
        <v>131</v>
      </c>
      <c r="Y715">
        <v>37</v>
      </c>
      <c r="Z715">
        <v>18</v>
      </c>
      <c r="AA715">
        <v>2</v>
      </c>
      <c r="AB715">
        <v>1</v>
      </c>
      <c r="AC715">
        <v>73</v>
      </c>
      <c r="AD715">
        <v>3</v>
      </c>
      <c r="AE715">
        <v>2</v>
      </c>
      <c r="AF715">
        <v>9</v>
      </c>
      <c r="AG715">
        <v>2</v>
      </c>
      <c r="AH715">
        <v>1</v>
      </c>
      <c r="AI715" s="5">
        <v>0.255</v>
      </c>
      <c r="AJ715" s="5">
        <v>0.29199999999999998</v>
      </c>
      <c r="AK715" s="5">
        <v>0.38</v>
      </c>
      <c r="AL715" s="5">
        <v>0.23300000000000001</v>
      </c>
      <c r="AM715" s="5">
        <v>0.29599999999999999</v>
      </c>
      <c r="AN715">
        <v>-0.5</v>
      </c>
      <c r="AO715">
        <v>2.5499999999999998</v>
      </c>
      <c r="AP715">
        <v>9.93</v>
      </c>
      <c r="AQ715">
        <v>-10.31</v>
      </c>
      <c r="AR715">
        <v>-2.2999999999999998</v>
      </c>
      <c r="AS715" t="s">
        <v>1013</v>
      </c>
      <c r="AT715">
        <v>-0.1</v>
      </c>
      <c r="AU715">
        <v>1.7</v>
      </c>
      <c r="AV715">
        <v>5</v>
      </c>
      <c r="AW715">
        <v>35</v>
      </c>
      <c r="AX715">
        <v>11</v>
      </c>
      <c r="AY715">
        <v>29</v>
      </c>
      <c r="AZ715" t="s">
        <v>4337</v>
      </c>
      <c r="BA715">
        <v>65</v>
      </c>
      <c r="BB715" t="s">
        <v>35</v>
      </c>
      <c r="BC715" t="s">
        <v>36</v>
      </c>
      <c r="BD715" s="4">
        <f>HYPERLINK("http://mlb.mlb.com/team/player.jsp?player_id=595375",595375)</f>
        <v>595375</v>
      </c>
      <c r="BE715">
        <v>1538</v>
      </c>
      <c r="BF715">
        <v>538</v>
      </c>
      <c r="BG715">
        <v>247</v>
      </c>
      <c r="BH715">
        <v>228</v>
      </c>
    </row>
    <row r="716" spans="1:60" x14ac:dyDescent="0.3">
      <c r="A716" s="4">
        <f>HYPERLINK("http://legacy.baseballprospectus.com/p/67093",67093)</f>
        <v>67093</v>
      </c>
      <c r="B716" t="s">
        <v>602</v>
      </c>
      <c r="C716" t="s">
        <v>1090</v>
      </c>
      <c r="D716" s="10">
        <v>33726</v>
      </c>
      <c r="E716" t="s">
        <v>53</v>
      </c>
      <c r="F716" t="s">
        <v>33</v>
      </c>
      <c r="G716" t="s">
        <v>33</v>
      </c>
      <c r="H716">
        <v>75</v>
      </c>
      <c r="I716">
        <v>185</v>
      </c>
      <c r="J716">
        <v>2018</v>
      </c>
      <c r="K716" s="4" t="str">
        <f>HYPERLINK("http://legacy.baseballprospectus.com/fantasy/dc/index.php?tm=MIA","MIA")</f>
        <v>MIA</v>
      </c>
      <c r="L716" t="s">
        <v>100</v>
      </c>
      <c r="M716" t="s">
        <v>34</v>
      </c>
      <c r="N716">
        <v>26</v>
      </c>
      <c r="O716">
        <v>31</v>
      </c>
      <c r="P716">
        <v>10</v>
      </c>
      <c r="Q716">
        <v>29</v>
      </c>
      <c r="R716">
        <v>2</v>
      </c>
      <c r="S716">
        <v>4</v>
      </c>
      <c r="T716">
        <v>1</v>
      </c>
      <c r="U716">
        <v>0</v>
      </c>
      <c r="V716">
        <v>0</v>
      </c>
      <c r="W716">
        <v>5</v>
      </c>
      <c r="X716">
        <v>6</v>
      </c>
      <c r="Y716">
        <v>2</v>
      </c>
      <c r="Z716">
        <v>1</v>
      </c>
      <c r="AA716">
        <v>0</v>
      </c>
      <c r="AB716">
        <v>0</v>
      </c>
      <c r="AC716">
        <v>8</v>
      </c>
      <c r="AD716">
        <v>0</v>
      </c>
      <c r="AE716">
        <v>0</v>
      </c>
      <c r="AF716">
        <v>1</v>
      </c>
      <c r="AG716">
        <v>0</v>
      </c>
      <c r="AH716">
        <v>0</v>
      </c>
      <c r="AI716" s="5">
        <v>0.17199999999999999</v>
      </c>
      <c r="AJ716" s="5">
        <v>0.2</v>
      </c>
      <c r="AK716" s="5">
        <v>0.20699999999999999</v>
      </c>
      <c r="AL716" s="5">
        <v>0.192</v>
      </c>
      <c r="AM716" s="5">
        <v>0.26200000000000001</v>
      </c>
      <c r="AN716">
        <v>0</v>
      </c>
      <c r="AO716">
        <v>0.21</v>
      </c>
      <c r="AP716">
        <v>0.83</v>
      </c>
      <c r="AQ716">
        <v>-2.2200000000000002</v>
      </c>
      <c r="AR716">
        <v>0.3</v>
      </c>
      <c r="AS716" t="s">
        <v>61</v>
      </c>
      <c r="AT716">
        <v>-0.1</v>
      </c>
      <c r="AU716">
        <v>-1.2</v>
      </c>
      <c r="AV716">
        <v>3</v>
      </c>
      <c r="AW716">
        <v>9</v>
      </c>
      <c r="AX716">
        <v>5</v>
      </c>
      <c r="AY716">
        <v>12</v>
      </c>
      <c r="AZ716" t="s">
        <v>4420</v>
      </c>
      <c r="BA716">
        <v>23</v>
      </c>
      <c r="BB716" t="s">
        <v>35</v>
      </c>
      <c r="BC716" t="s">
        <v>35</v>
      </c>
      <c r="BD716" s="4">
        <f>HYPERLINK("http://mlb.mlb.com/team/player.jsp?player_id=592680",592680)</f>
        <v>592680</v>
      </c>
      <c r="BE716">
        <v>0</v>
      </c>
      <c r="BF716">
        <v>0</v>
      </c>
      <c r="BG716">
        <v>2</v>
      </c>
      <c r="BH716">
        <v>2</v>
      </c>
    </row>
    <row r="717" spans="1:60" x14ac:dyDescent="0.3">
      <c r="A717" s="4">
        <f>HYPERLINK("http://legacy.baseballprospectus.com/p/58670",58670)</f>
        <v>58670</v>
      </c>
      <c r="B717" t="s">
        <v>630</v>
      </c>
      <c r="C717" t="s">
        <v>631</v>
      </c>
      <c r="D717" s="10">
        <v>31946</v>
      </c>
      <c r="E717" t="s">
        <v>59</v>
      </c>
      <c r="F717" t="s">
        <v>9</v>
      </c>
      <c r="G717" t="s">
        <v>9</v>
      </c>
      <c r="H717">
        <v>71</v>
      </c>
      <c r="I717">
        <v>195</v>
      </c>
      <c r="J717">
        <v>2018</v>
      </c>
      <c r="K717" s="4" t="str">
        <f>HYPERLINK("http://legacy.baseballprospectus.com/fantasy/dc/index.php?tm=MIA","MIA")</f>
        <v>MIA</v>
      </c>
      <c r="L717" t="s">
        <v>100</v>
      </c>
      <c r="M717" t="s">
        <v>34</v>
      </c>
      <c r="N717">
        <v>31</v>
      </c>
      <c r="O717">
        <v>106</v>
      </c>
      <c r="P717">
        <v>31</v>
      </c>
      <c r="Q717">
        <v>96</v>
      </c>
      <c r="R717">
        <v>12</v>
      </c>
      <c r="S717">
        <v>18</v>
      </c>
      <c r="T717">
        <v>4</v>
      </c>
      <c r="U717">
        <v>1</v>
      </c>
      <c r="V717">
        <v>1</v>
      </c>
      <c r="W717">
        <v>24</v>
      </c>
      <c r="X717">
        <v>33</v>
      </c>
      <c r="Y717">
        <v>8</v>
      </c>
      <c r="Z717">
        <v>8</v>
      </c>
      <c r="AA717">
        <v>0</v>
      </c>
      <c r="AB717">
        <v>1</v>
      </c>
      <c r="AC717">
        <v>12</v>
      </c>
      <c r="AD717">
        <v>1</v>
      </c>
      <c r="AE717">
        <v>1</v>
      </c>
      <c r="AF717">
        <v>3</v>
      </c>
      <c r="AG717">
        <v>1</v>
      </c>
      <c r="AH717">
        <v>1</v>
      </c>
      <c r="AI717" s="5">
        <v>0.25</v>
      </c>
      <c r="AJ717" s="5">
        <v>0.311</v>
      </c>
      <c r="AK717" s="5">
        <v>0.34399999999999997</v>
      </c>
      <c r="AL717" s="5">
        <v>0.22900000000000001</v>
      </c>
      <c r="AM717" s="5">
        <v>0.26800000000000002</v>
      </c>
      <c r="AN717">
        <v>0</v>
      </c>
      <c r="AO717">
        <v>-0.09</v>
      </c>
      <c r="AP717">
        <v>2.85</v>
      </c>
      <c r="AQ717">
        <v>-3.43</v>
      </c>
      <c r="AR717">
        <v>-0.5</v>
      </c>
      <c r="AS717" t="s">
        <v>4295</v>
      </c>
      <c r="AT717">
        <v>-0.1</v>
      </c>
      <c r="AU717">
        <v>-0.7</v>
      </c>
      <c r="AV717">
        <v>1</v>
      </c>
      <c r="AW717">
        <v>23</v>
      </c>
      <c r="AX717">
        <v>22</v>
      </c>
      <c r="AY717">
        <v>34</v>
      </c>
      <c r="AZ717" t="s">
        <v>4521</v>
      </c>
      <c r="BA717">
        <v>78</v>
      </c>
      <c r="BB717" t="s">
        <v>35</v>
      </c>
      <c r="BC717" t="s">
        <v>36</v>
      </c>
      <c r="BD717" s="4">
        <f>HYPERLINK("http://mlb.mlb.com/team/player.jsp?player_id=543776",543776)</f>
        <v>543776</v>
      </c>
      <c r="BE717">
        <v>0</v>
      </c>
      <c r="BF717">
        <v>0</v>
      </c>
      <c r="BG717">
        <v>0</v>
      </c>
      <c r="BH717">
        <v>0</v>
      </c>
    </row>
    <row r="718" spans="1:60" x14ac:dyDescent="0.3">
      <c r="A718" s="4">
        <f>HYPERLINK("http://legacy.baseballprospectus.com/p/32318",32318)</f>
        <v>32318</v>
      </c>
      <c r="B718" t="s">
        <v>143</v>
      </c>
      <c r="C718" t="s">
        <v>115</v>
      </c>
      <c r="D718" s="10">
        <v>30695</v>
      </c>
      <c r="E718" t="s">
        <v>53</v>
      </c>
      <c r="F718" t="s">
        <v>37</v>
      </c>
      <c r="G718" t="s">
        <v>33</v>
      </c>
      <c r="H718">
        <v>70</v>
      </c>
      <c r="I718">
        <v>195</v>
      </c>
      <c r="J718">
        <v>2018</v>
      </c>
      <c r="K718" s="4" t="str">
        <f>HYPERLINK("http://legacy.baseballprospectus.com/fantasy/dc/index.php?tm=MIN","MIN")</f>
        <v>MIN</v>
      </c>
      <c r="L718" t="s">
        <v>95</v>
      </c>
      <c r="M718" t="s">
        <v>34</v>
      </c>
      <c r="N718">
        <v>34</v>
      </c>
      <c r="O718">
        <v>128</v>
      </c>
      <c r="P718">
        <v>32</v>
      </c>
      <c r="Q718">
        <v>118</v>
      </c>
      <c r="R718">
        <v>13</v>
      </c>
      <c r="S718">
        <v>23</v>
      </c>
      <c r="T718">
        <v>6</v>
      </c>
      <c r="U718">
        <v>1</v>
      </c>
      <c r="V718">
        <v>1</v>
      </c>
      <c r="W718">
        <v>31</v>
      </c>
      <c r="X718">
        <v>42</v>
      </c>
      <c r="Y718">
        <v>11</v>
      </c>
      <c r="Z718">
        <v>7</v>
      </c>
      <c r="AA718">
        <v>1</v>
      </c>
      <c r="AB718">
        <v>1</v>
      </c>
      <c r="AC718">
        <v>15</v>
      </c>
      <c r="AD718">
        <v>1</v>
      </c>
      <c r="AE718">
        <v>1</v>
      </c>
      <c r="AF718">
        <v>3</v>
      </c>
      <c r="AG718">
        <v>3</v>
      </c>
      <c r="AH718">
        <v>1</v>
      </c>
      <c r="AI718" s="5">
        <v>0.26300000000000001</v>
      </c>
      <c r="AJ718" s="5">
        <v>0.307</v>
      </c>
      <c r="AK718" s="5">
        <v>0.35599999999999998</v>
      </c>
      <c r="AL718" s="5">
        <v>0.23</v>
      </c>
      <c r="AM718" s="5">
        <v>0.28599999999999998</v>
      </c>
      <c r="AN718">
        <v>0</v>
      </c>
      <c r="AO718">
        <v>0.88</v>
      </c>
      <c r="AP718">
        <v>3.44</v>
      </c>
      <c r="AQ718">
        <v>-4.0599999999999996</v>
      </c>
      <c r="AR718">
        <v>-1.1000000000000001</v>
      </c>
      <c r="AS718" t="s">
        <v>73</v>
      </c>
      <c r="AT718">
        <v>-0.1</v>
      </c>
      <c r="AU718">
        <v>0.2</v>
      </c>
      <c r="AV718">
        <v>1</v>
      </c>
      <c r="AW718">
        <v>18</v>
      </c>
      <c r="AX718">
        <v>9</v>
      </c>
      <c r="AY718">
        <v>17</v>
      </c>
      <c r="AZ718" t="s">
        <v>4067</v>
      </c>
      <c r="BA718">
        <v>81</v>
      </c>
      <c r="BB718" t="s">
        <v>35</v>
      </c>
      <c r="BC718" t="s">
        <v>36</v>
      </c>
      <c r="BD718" s="4">
        <f>HYPERLINK("http://mlb.mlb.com/team/player.jsp?player_id=430947",430947)</f>
        <v>430947</v>
      </c>
      <c r="BE718">
        <v>0</v>
      </c>
      <c r="BF718">
        <v>0</v>
      </c>
      <c r="BG718">
        <v>370</v>
      </c>
      <c r="BH718">
        <v>333</v>
      </c>
    </row>
    <row r="719" spans="1:60" x14ac:dyDescent="0.3">
      <c r="A719" s="4">
        <f>HYPERLINK("http://legacy.baseballprospectus.com/p/49220",49220)</f>
        <v>49220</v>
      </c>
      <c r="B719" t="s">
        <v>171</v>
      </c>
      <c r="C719" t="s">
        <v>94</v>
      </c>
      <c r="D719" s="10">
        <v>30414</v>
      </c>
      <c r="E719" t="s">
        <v>54</v>
      </c>
      <c r="F719" t="s">
        <v>33</v>
      </c>
      <c r="G719" t="s">
        <v>33</v>
      </c>
      <c r="H719">
        <v>72</v>
      </c>
      <c r="I719">
        <v>230</v>
      </c>
      <c r="J719">
        <v>2018</v>
      </c>
      <c r="K719" s="4" t="str">
        <f>HYPERLINK("http://legacy.baseballprospectus.com/fantasy/dc/index.php?tm=MIN","MIN")</f>
        <v>MIN</v>
      </c>
      <c r="L719" t="s">
        <v>95</v>
      </c>
      <c r="M719" t="s">
        <v>34</v>
      </c>
      <c r="N719">
        <v>35</v>
      </c>
      <c r="O719">
        <v>30</v>
      </c>
      <c r="P719">
        <v>10</v>
      </c>
      <c r="Q719">
        <v>27</v>
      </c>
      <c r="R719">
        <v>3</v>
      </c>
      <c r="S719">
        <v>4</v>
      </c>
      <c r="T719">
        <v>1</v>
      </c>
      <c r="U719">
        <v>0</v>
      </c>
      <c r="V719">
        <v>1</v>
      </c>
      <c r="W719">
        <v>6</v>
      </c>
      <c r="X719">
        <v>10</v>
      </c>
      <c r="Y719">
        <v>3</v>
      </c>
      <c r="Z719">
        <v>2</v>
      </c>
      <c r="AA719">
        <v>0</v>
      </c>
      <c r="AB719">
        <v>0</v>
      </c>
      <c r="AC719">
        <v>7</v>
      </c>
      <c r="AD719">
        <v>0</v>
      </c>
      <c r="AE719">
        <v>0</v>
      </c>
      <c r="AF719">
        <v>1</v>
      </c>
      <c r="AG719">
        <v>0</v>
      </c>
      <c r="AH719">
        <v>0</v>
      </c>
      <c r="AI719" s="5">
        <v>0.222</v>
      </c>
      <c r="AJ719" s="5">
        <v>0.27600000000000002</v>
      </c>
      <c r="AK719" s="5">
        <v>0.37</v>
      </c>
      <c r="AL719" s="5">
        <v>0.20499999999999999</v>
      </c>
      <c r="AM719" s="5">
        <v>0.26800000000000002</v>
      </c>
      <c r="AN719">
        <v>-0.1</v>
      </c>
      <c r="AO719">
        <v>0.23</v>
      </c>
      <c r="AP719">
        <v>0.81</v>
      </c>
      <c r="AQ719">
        <v>-1.72</v>
      </c>
      <c r="AR719">
        <v>0.3</v>
      </c>
      <c r="AS719" t="s">
        <v>71</v>
      </c>
      <c r="AT719">
        <v>-0.1</v>
      </c>
      <c r="AU719">
        <v>-0.8</v>
      </c>
      <c r="AV719">
        <v>2</v>
      </c>
      <c r="AW719">
        <v>29</v>
      </c>
      <c r="AX719">
        <v>19</v>
      </c>
      <c r="AY719">
        <v>41</v>
      </c>
      <c r="AZ719" t="s">
        <v>4342</v>
      </c>
      <c r="BA719">
        <v>78</v>
      </c>
      <c r="BB719" t="s">
        <v>35</v>
      </c>
      <c r="BC719" t="s">
        <v>36</v>
      </c>
      <c r="BD719" s="4">
        <f>HYPERLINK("http://mlb.mlb.com/team/player.jsp?player_id=435064",435064)</f>
        <v>435064</v>
      </c>
      <c r="BE719">
        <v>0</v>
      </c>
      <c r="BF719">
        <v>0</v>
      </c>
      <c r="BG719">
        <v>0</v>
      </c>
      <c r="BH719">
        <v>0</v>
      </c>
    </row>
    <row r="720" spans="1:60" x14ac:dyDescent="0.3">
      <c r="A720" s="4">
        <f>HYPERLINK("http://legacy.baseballprospectus.com/p/57520",57520)</f>
        <v>57520</v>
      </c>
      <c r="B720" t="s">
        <v>608</v>
      </c>
      <c r="C720" t="s">
        <v>136</v>
      </c>
      <c r="D720" s="10">
        <v>32469</v>
      </c>
      <c r="E720" t="s">
        <v>54</v>
      </c>
      <c r="F720" t="s">
        <v>33</v>
      </c>
      <c r="G720" t="s">
        <v>33</v>
      </c>
      <c r="H720">
        <v>73</v>
      </c>
      <c r="I720">
        <v>220</v>
      </c>
      <c r="J720">
        <v>2018</v>
      </c>
      <c r="K720" s="4" t="str">
        <f>HYPERLINK("http://legacy.baseballprospectus.com/fantasy/dc/index.php?tm=NYA","NYA")</f>
        <v>NYA</v>
      </c>
      <c r="L720" t="s">
        <v>95</v>
      </c>
      <c r="M720" t="s">
        <v>34</v>
      </c>
      <c r="N720">
        <v>29</v>
      </c>
      <c r="O720">
        <v>129</v>
      </c>
      <c r="P720">
        <v>42</v>
      </c>
      <c r="Q720">
        <v>119</v>
      </c>
      <c r="R720">
        <v>13</v>
      </c>
      <c r="S720">
        <v>19</v>
      </c>
      <c r="T720">
        <v>6</v>
      </c>
      <c r="U720">
        <v>0</v>
      </c>
      <c r="V720">
        <v>3</v>
      </c>
      <c r="W720">
        <v>28</v>
      </c>
      <c r="X720">
        <v>43</v>
      </c>
      <c r="Y720">
        <v>13</v>
      </c>
      <c r="Z720">
        <v>8</v>
      </c>
      <c r="AA720">
        <v>0</v>
      </c>
      <c r="AB720">
        <v>1</v>
      </c>
      <c r="AC720">
        <v>28</v>
      </c>
      <c r="AD720">
        <v>1</v>
      </c>
      <c r="AE720">
        <v>1</v>
      </c>
      <c r="AF720">
        <v>5</v>
      </c>
      <c r="AG720">
        <v>0</v>
      </c>
      <c r="AH720">
        <v>0</v>
      </c>
      <c r="AI720" s="5">
        <v>0.23499999999999999</v>
      </c>
      <c r="AJ720" s="5">
        <v>0.28699999999999998</v>
      </c>
      <c r="AK720" s="5">
        <v>0.36099999999999999</v>
      </c>
      <c r="AL720" s="5">
        <v>0.222</v>
      </c>
      <c r="AM720" s="5">
        <v>0.27400000000000002</v>
      </c>
      <c r="AN720">
        <v>-0.3</v>
      </c>
      <c r="AO720">
        <v>0.98</v>
      </c>
      <c r="AP720">
        <v>3.46</v>
      </c>
      <c r="AQ720">
        <v>-5.09</v>
      </c>
      <c r="AR720">
        <v>-0.3</v>
      </c>
      <c r="AS720" t="s">
        <v>55</v>
      </c>
      <c r="AT720">
        <v>-0.1</v>
      </c>
      <c r="AU720">
        <v>-0.9</v>
      </c>
      <c r="AV720">
        <v>2</v>
      </c>
      <c r="AW720">
        <v>25</v>
      </c>
      <c r="AX720">
        <v>16</v>
      </c>
      <c r="AY720">
        <v>31</v>
      </c>
      <c r="AZ720" t="s">
        <v>4421</v>
      </c>
      <c r="BA720">
        <v>67</v>
      </c>
      <c r="BB720" t="s">
        <v>35</v>
      </c>
      <c r="BC720" t="s">
        <v>36</v>
      </c>
      <c r="BD720" s="4">
        <f>HYPERLINK("http://mlb.mlb.com/team/player.jsp?player_id=519222",519222)</f>
        <v>519222</v>
      </c>
      <c r="BE720">
        <v>368</v>
      </c>
      <c r="BF720">
        <v>1368</v>
      </c>
      <c r="BG720">
        <v>252</v>
      </c>
      <c r="BH720">
        <v>229</v>
      </c>
    </row>
    <row r="721" spans="1:60" x14ac:dyDescent="0.3">
      <c r="A721" s="4">
        <f>HYPERLINK("http://legacy.baseballprospectus.com/p/70608",70608)</f>
        <v>70608</v>
      </c>
      <c r="B721" t="s">
        <v>1101</v>
      </c>
      <c r="C721" t="s">
        <v>797</v>
      </c>
      <c r="D721" s="10">
        <v>34325</v>
      </c>
      <c r="E721" t="s">
        <v>58</v>
      </c>
      <c r="F721" t="s">
        <v>33</v>
      </c>
      <c r="G721" t="s">
        <v>33</v>
      </c>
      <c r="H721">
        <v>74</v>
      </c>
      <c r="I721">
        <v>196</v>
      </c>
      <c r="J721">
        <v>2018</v>
      </c>
      <c r="K721" s="4" t="str">
        <f>HYPERLINK("http://legacy.baseballprospectus.com/fantasy/dc/index.php?tm=NYN","NYN")</f>
        <v>NYN</v>
      </c>
      <c r="L721" t="s">
        <v>100</v>
      </c>
      <c r="M721" t="s">
        <v>34</v>
      </c>
      <c r="N721">
        <v>24</v>
      </c>
      <c r="O721">
        <v>61</v>
      </c>
      <c r="P721">
        <v>19</v>
      </c>
      <c r="Q721">
        <v>56</v>
      </c>
      <c r="R721">
        <v>6</v>
      </c>
      <c r="S721">
        <v>10</v>
      </c>
      <c r="T721">
        <v>3</v>
      </c>
      <c r="U721">
        <v>0</v>
      </c>
      <c r="V721">
        <v>1</v>
      </c>
      <c r="W721">
        <v>14</v>
      </c>
      <c r="X721">
        <v>20</v>
      </c>
      <c r="Y721">
        <v>6</v>
      </c>
      <c r="Z721">
        <v>5</v>
      </c>
      <c r="AA721">
        <v>0</v>
      </c>
      <c r="AB721">
        <v>0</v>
      </c>
      <c r="AC721">
        <v>11</v>
      </c>
      <c r="AD721">
        <v>0</v>
      </c>
      <c r="AE721">
        <v>0</v>
      </c>
      <c r="AF721">
        <v>2</v>
      </c>
      <c r="AG721">
        <v>0</v>
      </c>
      <c r="AH721">
        <v>0</v>
      </c>
      <c r="AI721" s="5">
        <v>0.25</v>
      </c>
      <c r="AJ721" s="5">
        <v>0.311</v>
      </c>
      <c r="AK721" s="5">
        <v>0.35699999999999998</v>
      </c>
      <c r="AL721" s="5">
        <v>0.24399999999999999</v>
      </c>
      <c r="AM721" s="5">
        <v>0.29099999999999998</v>
      </c>
      <c r="AN721">
        <v>-0.1</v>
      </c>
      <c r="AO721">
        <v>0.32</v>
      </c>
      <c r="AP721">
        <v>1.64</v>
      </c>
      <c r="AQ721">
        <v>-1.02</v>
      </c>
      <c r="AR721">
        <v>-1.4</v>
      </c>
      <c r="AS721" t="s">
        <v>1020</v>
      </c>
      <c r="AT721">
        <v>-0.1</v>
      </c>
      <c r="AU721">
        <v>0.8</v>
      </c>
      <c r="AV721">
        <v>10</v>
      </c>
      <c r="AW721">
        <v>18</v>
      </c>
      <c r="AX721">
        <v>6</v>
      </c>
      <c r="AY721">
        <v>19</v>
      </c>
      <c r="AZ721" t="s">
        <v>4422</v>
      </c>
      <c r="BA721">
        <v>40</v>
      </c>
      <c r="BB721" t="s">
        <v>35</v>
      </c>
      <c r="BC721" t="s">
        <v>35</v>
      </c>
      <c r="BD721" s="4">
        <f>HYPERLINK("http://mlb.mlb.com/team/player.jsp?player_id=608325",608325)</f>
        <v>608325</v>
      </c>
      <c r="BE721">
        <v>1469</v>
      </c>
      <c r="BF721">
        <v>469</v>
      </c>
      <c r="BG721">
        <v>82</v>
      </c>
      <c r="BH721">
        <v>77</v>
      </c>
    </row>
    <row r="722" spans="1:60" x14ac:dyDescent="0.3">
      <c r="A722" s="4">
        <f>HYPERLINK("http://legacy.baseballprospectus.com/p/70393",70393)</f>
        <v>70393</v>
      </c>
      <c r="B722" t="s">
        <v>1895</v>
      </c>
      <c r="C722" t="s">
        <v>1896</v>
      </c>
      <c r="D722" s="10">
        <v>33857</v>
      </c>
      <c r="E722" t="s">
        <v>59</v>
      </c>
      <c r="F722" t="s">
        <v>33</v>
      </c>
      <c r="G722" t="s">
        <v>33</v>
      </c>
      <c r="H722">
        <v>70</v>
      </c>
      <c r="I722">
        <v>223</v>
      </c>
      <c r="J722">
        <v>2018</v>
      </c>
      <c r="K722" s="4" t="str">
        <f>HYPERLINK("http://legacy.baseballprospectus.com/fantasy/dc/index.php?tm=NYN","NYN")</f>
        <v>NYN</v>
      </c>
      <c r="L722" t="s">
        <v>100</v>
      </c>
      <c r="M722" t="s">
        <v>34</v>
      </c>
      <c r="N722">
        <v>25</v>
      </c>
      <c r="O722">
        <v>85</v>
      </c>
      <c r="P722">
        <v>64</v>
      </c>
      <c r="Q722">
        <v>78</v>
      </c>
      <c r="R722">
        <v>9</v>
      </c>
      <c r="S722">
        <v>13</v>
      </c>
      <c r="T722">
        <v>4</v>
      </c>
      <c r="U722">
        <v>0</v>
      </c>
      <c r="V722">
        <v>2</v>
      </c>
      <c r="W722">
        <v>19</v>
      </c>
      <c r="X722">
        <v>29</v>
      </c>
      <c r="Y722">
        <v>9</v>
      </c>
      <c r="Z722">
        <v>6</v>
      </c>
      <c r="AA722">
        <v>0</v>
      </c>
      <c r="AB722">
        <v>1</v>
      </c>
      <c r="AC722">
        <v>18</v>
      </c>
      <c r="AD722">
        <v>0</v>
      </c>
      <c r="AE722">
        <v>0</v>
      </c>
      <c r="AF722">
        <v>2</v>
      </c>
      <c r="AG722">
        <v>0</v>
      </c>
      <c r="AH722">
        <v>0</v>
      </c>
      <c r="AI722" s="5">
        <v>0.24399999999999999</v>
      </c>
      <c r="AJ722" s="5">
        <v>0.30599999999999999</v>
      </c>
      <c r="AK722" s="5">
        <v>0.372</v>
      </c>
      <c r="AL722" s="5">
        <v>0.24199999999999999</v>
      </c>
      <c r="AM722" s="5">
        <v>0.29399999999999998</v>
      </c>
      <c r="AN722">
        <v>-0.2</v>
      </c>
      <c r="AO722">
        <v>-0.94</v>
      </c>
      <c r="AP722">
        <v>2.2799999999999998</v>
      </c>
      <c r="AQ722">
        <v>-1.61</v>
      </c>
      <c r="AR722">
        <v>-0.6</v>
      </c>
      <c r="AS722" t="s">
        <v>1014</v>
      </c>
      <c r="AT722">
        <v>-0.1</v>
      </c>
      <c r="AU722">
        <v>-0.5</v>
      </c>
      <c r="AV722">
        <v>0</v>
      </c>
      <c r="AW722">
        <v>8</v>
      </c>
      <c r="AX722">
        <v>10</v>
      </c>
      <c r="AY722">
        <v>18</v>
      </c>
      <c r="AZ722" t="s">
        <v>4291</v>
      </c>
      <c r="BA722">
        <v>26</v>
      </c>
      <c r="BB722" t="s">
        <v>35</v>
      </c>
      <c r="BC722" t="s">
        <v>35</v>
      </c>
      <c r="BD722" s="4">
        <f>HYPERLINK("http://mlb.mlb.com/team/player.jsp?player_id=595943",595943)</f>
        <v>595943</v>
      </c>
      <c r="BE722">
        <v>0</v>
      </c>
      <c r="BF722">
        <v>0</v>
      </c>
      <c r="BG722">
        <v>38</v>
      </c>
      <c r="BH722">
        <v>33</v>
      </c>
    </row>
    <row r="723" spans="1:60" x14ac:dyDescent="0.3">
      <c r="A723" s="4">
        <f>HYPERLINK("http://legacy.baseballprospectus.com/p/68156",68156)</f>
        <v>68156</v>
      </c>
      <c r="B723" t="s">
        <v>346</v>
      </c>
      <c r="C723" t="s">
        <v>347</v>
      </c>
      <c r="D723" s="10">
        <v>33842</v>
      </c>
      <c r="E723" t="s">
        <v>51</v>
      </c>
      <c r="F723" t="s">
        <v>33</v>
      </c>
      <c r="G723" t="s">
        <v>33</v>
      </c>
      <c r="H723">
        <v>73</v>
      </c>
      <c r="I723">
        <v>215</v>
      </c>
      <c r="J723">
        <v>2018</v>
      </c>
      <c r="K723" s="4" t="str">
        <f>HYPERLINK("http://legacy.baseballprospectus.com/fantasy/dc/index.php?tm=PHI","PHI")</f>
        <v>PHI</v>
      </c>
      <c r="L723" t="s">
        <v>100</v>
      </c>
      <c r="M723" t="s">
        <v>34</v>
      </c>
      <c r="N723">
        <v>25</v>
      </c>
      <c r="O723">
        <v>562</v>
      </c>
      <c r="P723">
        <v>150</v>
      </c>
      <c r="Q723">
        <v>523</v>
      </c>
      <c r="R723">
        <v>64</v>
      </c>
      <c r="S723">
        <v>81</v>
      </c>
      <c r="T723">
        <v>27</v>
      </c>
      <c r="U723">
        <v>2</v>
      </c>
      <c r="V723">
        <v>22</v>
      </c>
      <c r="W723">
        <v>132</v>
      </c>
      <c r="X723">
        <v>229</v>
      </c>
      <c r="Y723">
        <v>76</v>
      </c>
      <c r="Z723">
        <v>34</v>
      </c>
      <c r="AA723">
        <v>3</v>
      </c>
      <c r="AB723">
        <v>4</v>
      </c>
      <c r="AC723">
        <v>93</v>
      </c>
      <c r="AD723">
        <v>0</v>
      </c>
      <c r="AE723">
        <v>2</v>
      </c>
      <c r="AF723">
        <v>15</v>
      </c>
      <c r="AG723">
        <v>1</v>
      </c>
      <c r="AH723">
        <v>0</v>
      </c>
      <c r="AI723" s="5">
        <v>0.252</v>
      </c>
      <c r="AJ723" s="5">
        <v>0.30199999999999999</v>
      </c>
      <c r="AK723" s="5">
        <v>0.438</v>
      </c>
      <c r="AL723" s="5">
        <v>0.254</v>
      </c>
      <c r="AM723" s="5">
        <v>0.26700000000000002</v>
      </c>
      <c r="AN723">
        <v>-1</v>
      </c>
      <c r="AO723">
        <v>0.25</v>
      </c>
      <c r="AP723">
        <v>15.09</v>
      </c>
      <c r="AQ723">
        <v>-3.44</v>
      </c>
      <c r="AR723">
        <v>-11.6</v>
      </c>
      <c r="AS723" t="s">
        <v>4981</v>
      </c>
      <c r="AT723">
        <v>-0.1</v>
      </c>
      <c r="AU723">
        <v>10.9</v>
      </c>
      <c r="AV723">
        <v>4</v>
      </c>
      <c r="AW723">
        <v>61</v>
      </c>
      <c r="AX723">
        <v>5</v>
      </c>
      <c r="AY723">
        <v>10</v>
      </c>
      <c r="AZ723" t="s">
        <v>4567</v>
      </c>
      <c r="BA723">
        <v>97</v>
      </c>
      <c r="BB723" t="s">
        <v>35</v>
      </c>
      <c r="BC723" t="s">
        <v>36</v>
      </c>
      <c r="BD723" s="4">
        <f>HYPERLINK("http://mlb.mlb.com/team/player.jsp?player_id=596748",596748)</f>
        <v>596748</v>
      </c>
      <c r="BE723">
        <v>1489</v>
      </c>
      <c r="BF723">
        <v>489</v>
      </c>
      <c r="BG723">
        <v>623</v>
      </c>
      <c r="BH723">
        <v>575</v>
      </c>
    </row>
    <row r="724" spans="1:60" x14ac:dyDescent="0.3">
      <c r="A724" s="4">
        <f>HYPERLINK("http://legacy.baseballprospectus.com/p/66057",66057)</f>
        <v>66057</v>
      </c>
      <c r="B724" t="s">
        <v>298</v>
      </c>
      <c r="C724" t="s">
        <v>1381</v>
      </c>
      <c r="D724" s="10">
        <v>33194</v>
      </c>
      <c r="E724" t="s">
        <v>54</v>
      </c>
      <c r="F724" t="s">
        <v>33</v>
      </c>
      <c r="G724" t="s">
        <v>33</v>
      </c>
      <c r="H724">
        <v>73</v>
      </c>
      <c r="I724">
        <v>215</v>
      </c>
      <c r="J724">
        <v>2018</v>
      </c>
      <c r="K724" s="4" t="str">
        <f>HYPERLINK("http://legacy.baseballprospectus.com/fantasy/dc/index.php?tm=PIT","PIT")</f>
        <v>PIT</v>
      </c>
      <c r="L724" t="s">
        <v>100</v>
      </c>
      <c r="M724" t="s">
        <v>34</v>
      </c>
      <c r="N724">
        <v>27</v>
      </c>
      <c r="O724">
        <v>123</v>
      </c>
      <c r="P724">
        <v>36</v>
      </c>
      <c r="Q724">
        <v>114</v>
      </c>
      <c r="R724">
        <v>12</v>
      </c>
      <c r="S724">
        <v>20</v>
      </c>
      <c r="T724">
        <v>6</v>
      </c>
      <c r="U724">
        <v>0</v>
      </c>
      <c r="V724">
        <v>2</v>
      </c>
      <c r="W724">
        <v>28</v>
      </c>
      <c r="X724">
        <v>40</v>
      </c>
      <c r="Y724">
        <v>12</v>
      </c>
      <c r="Z724">
        <v>7</v>
      </c>
      <c r="AA724">
        <v>0</v>
      </c>
      <c r="AB724">
        <v>1</v>
      </c>
      <c r="AC724">
        <v>22</v>
      </c>
      <c r="AD724">
        <v>0</v>
      </c>
      <c r="AE724">
        <v>1</v>
      </c>
      <c r="AF724">
        <v>4</v>
      </c>
      <c r="AG724">
        <v>1</v>
      </c>
      <c r="AH724">
        <v>0</v>
      </c>
      <c r="AI724" s="5">
        <v>0.246</v>
      </c>
      <c r="AJ724" s="5">
        <v>0.29299999999999998</v>
      </c>
      <c r="AK724" s="5">
        <v>0.35099999999999998</v>
      </c>
      <c r="AL724" s="5">
        <v>0.23200000000000001</v>
      </c>
      <c r="AM724" s="5">
        <v>0.28699999999999998</v>
      </c>
      <c r="AN724">
        <v>-0.2</v>
      </c>
      <c r="AO724">
        <v>0.94</v>
      </c>
      <c r="AP724">
        <v>3.3</v>
      </c>
      <c r="AQ724">
        <v>-3.58</v>
      </c>
      <c r="AR724">
        <v>-2</v>
      </c>
      <c r="AS724" t="s">
        <v>1222</v>
      </c>
      <c r="AT724">
        <v>-0.1</v>
      </c>
      <c r="AU724">
        <v>0.5</v>
      </c>
      <c r="AV724">
        <v>9</v>
      </c>
      <c r="AW724">
        <v>24</v>
      </c>
      <c r="AX724">
        <v>21</v>
      </c>
      <c r="AY724">
        <v>39</v>
      </c>
      <c r="AZ724" t="s">
        <v>4426</v>
      </c>
      <c r="BA724">
        <v>67</v>
      </c>
      <c r="BB724" t="s">
        <v>35</v>
      </c>
      <c r="BC724" t="s">
        <v>36</v>
      </c>
      <c r="BD724" s="4">
        <f>HYPERLINK("http://mlb.mlb.com/team/player.jsp?player_id=553869",553869)</f>
        <v>553869</v>
      </c>
      <c r="BE724">
        <v>1391</v>
      </c>
      <c r="BF724">
        <v>391</v>
      </c>
      <c r="BG724">
        <v>200</v>
      </c>
      <c r="BH724">
        <v>188</v>
      </c>
    </row>
    <row r="725" spans="1:60" x14ac:dyDescent="0.3">
      <c r="A725" s="4">
        <f>HYPERLINK("http://legacy.baseballprospectus.com/p/58450",58450)</f>
        <v>58450</v>
      </c>
      <c r="B725" t="s">
        <v>511</v>
      </c>
      <c r="C725" t="s">
        <v>512</v>
      </c>
      <c r="D725" s="10">
        <v>31651</v>
      </c>
      <c r="E725" t="s">
        <v>53</v>
      </c>
      <c r="F725" t="s">
        <v>33</v>
      </c>
      <c r="G725" t="s">
        <v>33</v>
      </c>
      <c r="H725">
        <v>75</v>
      </c>
      <c r="I725">
        <v>210</v>
      </c>
      <c r="J725">
        <v>2018</v>
      </c>
      <c r="K725" s="4" t="str">
        <f>HYPERLINK("http://legacy.baseballprospectus.com/fantasy/dc/index.php?tm=PIT","PIT")</f>
        <v>PIT</v>
      </c>
      <c r="L725" t="s">
        <v>100</v>
      </c>
      <c r="M725" t="s">
        <v>34</v>
      </c>
      <c r="N725">
        <v>31</v>
      </c>
      <c r="O725">
        <v>534</v>
      </c>
      <c r="P725">
        <v>141</v>
      </c>
      <c r="Q725">
        <v>486</v>
      </c>
      <c r="R725">
        <v>54</v>
      </c>
      <c r="S725">
        <v>86</v>
      </c>
      <c r="T725">
        <v>24</v>
      </c>
      <c r="U725">
        <v>2</v>
      </c>
      <c r="V725">
        <v>10</v>
      </c>
      <c r="W725">
        <v>122</v>
      </c>
      <c r="X725">
        <v>180</v>
      </c>
      <c r="Y725">
        <v>53</v>
      </c>
      <c r="Z725">
        <v>38</v>
      </c>
      <c r="AA725">
        <v>8</v>
      </c>
      <c r="AB725">
        <v>3</v>
      </c>
      <c r="AC725">
        <v>86</v>
      </c>
      <c r="AD725">
        <v>4</v>
      </c>
      <c r="AE725">
        <v>2</v>
      </c>
      <c r="AF725">
        <v>15</v>
      </c>
      <c r="AG725">
        <v>2</v>
      </c>
      <c r="AH725">
        <v>2</v>
      </c>
      <c r="AI725" s="5">
        <v>0.251</v>
      </c>
      <c r="AJ725" s="5">
        <v>0.308</v>
      </c>
      <c r="AK725" s="5">
        <v>0.37</v>
      </c>
      <c r="AL725" s="5">
        <v>0.24099999999999999</v>
      </c>
      <c r="AM725" s="5">
        <v>0.28199999999999997</v>
      </c>
      <c r="AN725">
        <v>-1.3</v>
      </c>
      <c r="AO725">
        <v>3.68</v>
      </c>
      <c r="AP725">
        <v>14.34</v>
      </c>
      <c r="AQ725">
        <v>-10.66</v>
      </c>
      <c r="AR725">
        <v>-7.1</v>
      </c>
      <c r="AS725" t="s">
        <v>1205</v>
      </c>
      <c r="AT725">
        <v>-0.1</v>
      </c>
      <c r="AU725">
        <v>6</v>
      </c>
      <c r="AV725">
        <v>3</v>
      </c>
      <c r="AW725">
        <v>30</v>
      </c>
      <c r="AX725">
        <v>10</v>
      </c>
      <c r="AY725">
        <v>11</v>
      </c>
      <c r="AZ725" t="s">
        <v>4348</v>
      </c>
      <c r="BA725">
        <v>96</v>
      </c>
      <c r="BB725" t="s">
        <v>35</v>
      </c>
      <c r="BC725" t="s">
        <v>36</v>
      </c>
      <c r="BD725" s="4">
        <f>HYPERLINK("http://mlb.mlb.com/team/player.jsp?player_id=474568",474568)</f>
        <v>474568</v>
      </c>
      <c r="BE725">
        <v>1522</v>
      </c>
      <c r="BF725">
        <v>522</v>
      </c>
      <c r="BG725">
        <v>558</v>
      </c>
      <c r="BH725">
        <v>502</v>
      </c>
    </row>
    <row r="726" spans="1:60" x14ac:dyDescent="0.3">
      <c r="A726" s="4">
        <f>HYPERLINK("http://legacy.baseballprospectus.com/p/68660",68660)</f>
        <v>68660</v>
      </c>
      <c r="B726" t="s">
        <v>1270</v>
      </c>
      <c r="C726" t="s">
        <v>434</v>
      </c>
      <c r="D726" s="10">
        <v>33631</v>
      </c>
      <c r="E726" t="s">
        <v>59</v>
      </c>
      <c r="F726" t="s">
        <v>33</v>
      </c>
      <c r="G726" t="s">
        <v>33</v>
      </c>
      <c r="H726">
        <v>73</v>
      </c>
      <c r="I726">
        <v>220</v>
      </c>
      <c r="J726">
        <v>2018</v>
      </c>
      <c r="K726" s="4" t="str">
        <f>HYPERLINK("http://legacy.baseballprospectus.com/fantasy/dc/index.php?tm=SDN","SDN")</f>
        <v>SDN</v>
      </c>
      <c r="L726" t="s">
        <v>100</v>
      </c>
      <c r="M726" t="s">
        <v>34</v>
      </c>
      <c r="N726">
        <v>26</v>
      </c>
      <c r="O726">
        <v>370</v>
      </c>
      <c r="P726">
        <v>100</v>
      </c>
      <c r="Q726">
        <v>347</v>
      </c>
      <c r="R726">
        <v>45</v>
      </c>
      <c r="S726">
        <v>48</v>
      </c>
      <c r="T726">
        <v>17</v>
      </c>
      <c r="U726">
        <v>2</v>
      </c>
      <c r="V726">
        <v>18</v>
      </c>
      <c r="W726">
        <v>85</v>
      </c>
      <c r="X726">
        <v>160</v>
      </c>
      <c r="Y726">
        <v>55</v>
      </c>
      <c r="Z726">
        <v>18</v>
      </c>
      <c r="AA726">
        <v>2</v>
      </c>
      <c r="AB726">
        <v>3</v>
      </c>
      <c r="AC726">
        <v>101</v>
      </c>
      <c r="AD726">
        <v>0</v>
      </c>
      <c r="AE726">
        <v>1</v>
      </c>
      <c r="AF726">
        <v>8</v>
      </c>
      <c r="AG726">
        <v>2</v>
      </c>
      <c r="AH726">
        <v>0</v>
      </c>
      <c r="AI726" s="5">
        <v>0.245</v>
      </c>
      <c r="AJ726" s="5">
        <v>0.28699999999999998</v>
      </c>
      <c r="AK726" s="5">
        <v>0.46100000000000002</v>
      </c>
      <c r="AL726" s="5">
        <v>0.26100000000000001</v>
      </c>
      <c r="AM726" s="5">
        <v>0.29099999999999998</v>
      </c>
      <c r="AN726">
        <v>-0.3</v>
      </c>
      <c r="AO726">
        <v>-0.7</v>
      </c>
      <c r="AP726">
        <v>9.93</v>
      </c>
      <c r="AQ726">
        <v>0.55000000000000004</v>
      </c>
      <c r="AR726">
        <v>-10.7</v>
      </c>
      <c r="AS726" t="s">
        <v>4995</v>
      </c>
      <c r="AT726">
        <v>-0.1</v>
      </c>
      <c r="AU726">
        <v>9.5</v>
      </c>
      <c r="AV726">
        <v>8</v>
      </c>
      <c r="AW726">
        <v>31</v>
      </c>
      <c r="AX726">
        <v>14</v>
      </c>
      <c r="AY726">
        <v>23</v>
      </c>
      <c r="AZ726" t="s">
        <v>3697</v>
      </c>
      <c r="BA726">
        <v>66</v>
      </c>
      <c r="BB726" t="s">
        <v>35</v>
      </c>
      <c r="BC726" t="s">
        <v>36</v>
      </c>
      <c r="BD726" s="4">
        <f>HYPERLINK("http://mlb.mlb.com/team/player.jsp?player_id=592669",592669)</f>
        <v>592669</v>
      </c>
      <c r="BE726">
        <v>1593</v>
      </c>
      <c r="BF726">
        <v>593</v>
      </c>
      <c r="BG726">
        <v>479</v>
      </c>
      <c r="BH726">
        <v>445</v>
      </c>
    </row>
    <row r="727" spans="1:60" x14ac:dyDescent="0.3">
      <c r="A727" s="4">
        <f>HYPERLINK("http://legacy.baseballprospectus.com/p/65918",65918)</f>
        <v>65918</v>
      </c>
      <c r="B727" t="s">
        <v>660</v>
      </c>
      <c r="C727" t="s">
        <v>104</v>
      </c>
      <c r="D727" s="10">
        <v>32709</v>
      </c>
      <c r="E727" t="s">
        <v>57</v>
      </c>
      <c r="F727" t="s">
        <v>33</v>
      </c>
      <c r="G727" t="s">
        <v>33</v>
      </c>
      <c r="H727">
        <v>72</v>
      </c>
      <c r="I727">
        <v>200</v>
      </c>
      <c r="J727">
        <v>2018</v>
      </c>
      <c r="K727" s="4" t="str">
        <f>HYPERLINK("http://legacy.baseballprospectus.com/fantasy/dc/index.php?tm=SDN","SDN")</f>
        <v>SDN</v>
      </c>
      <c r="L727" t="s">
        <v>100</v>
      </c>
      <c r="M727" t="s">
        <v>34</v>
      </c>
      <c r="N727">
        <v>28</v>
      </c>
      <c r="O727">
        <v>160</v>
      </c>
      <c r="P727">
        <v>74</v>
      </c>
      <c r="Q727">
        <v>143</v>
      </c>
      <c r="R727">
        <v>16</v>
      </c>
      <c r="S727">
        <v>24</v>
      </c>
      <c r="T727">
        <v>6</v>
      </c>
      <c r="U727">
        <v>1</v>
      </c>
      <c r="V727">
        <v>3</v>
      </c>
      <c r="W727">
        <v>34</v>
      </c>
      <c r="X727">
        <v>51</v>
      </c>
      <c r="Y727">
        <v>15</v>
      </c>
      <c r="Z727">
        <v>12</v>
      </c>
      <c r="AA727">
        <v>0</v>
      </c>
      <c r="AB727">
        <v>2</v>
      </c>
      <c r="AC727">
        <v>32</v>
      </c>
      <c r="AD727">
        <v>2</v>
      </c>
      <c r="AE727">
        <v>1</v>
      </c>
      <c r="AF727">
        <v>3</v>
      </c>
      <c r="AG727">
        <v>3</v>
      </c>
      <c r="AH727">
        <v>2</v>
      </c>
      <c r="AI727" s="5">
        <v>0.23799999999999999</v>
      </c>
      <c r="AJ727" s="5">
        <v>0.30399999999999999</v>
      </c>
      <c r="AK727" s="5">
        <v>0.35699999999999998</v>
      </c>
      <c r="AL727" s="5">
        <v>0.23300000000000001</v>
      </c>
      <c r="AM727" s="5">
        <v>0.27800000000000002</v>
      </c>
      <c r="AN727">
        <v>-0.1</v>
      </c>
      <c r="AO727">
        <v>-0.81</v>
      </c>
      <c r="AP727">
        <v>4.3</v>
      </c>
      <c r="AQ727">
        <v>-4.51</v>
      </c>
      <c r="AR727">
        <v>0.4</v>
      </c>
      <c r="AS727" t="s">
        <v>1229</v>
      </c>
      <c r="AT727">
        <v>-0.1</v>
      </c>
      <c r="AU727">
        <v>-1.2</v>
      </c>
      <c r="AV727">
        <v>3</v>
      </c>
      <c r="AW727">
        <v>36</v>
      </c>
      <c r="AX727">
        <v>15</v>
      </c>
      <c r="AY727">
        <v>28</v>
      </c>
      <c r="AZ727" t="s">
        <v>4352</v>
      </c>
      <c r="BA727">
        <v>78</v>
      </c>
      <c r="BB727" t="s">
        <v>35</v>
      </c>
      <c r="BC727" t="s">
        <v>36</v>
      </c>
      <c r="BD727" s="4">
        <f>HYPERLINK("http://mlb.mlb.com/team/player.jsp?player_id=519333",519333)</f>
        <v>519333</v>
      </c>
      <c r="BE727">
        <v>1616</v>
      </c>
      <c r="BF727">
        <v>616</v>
      </c>
      <c r="BG727">
        <v>237</v>
      </c>
      <c r="BH727">
        <v>195</v>
      </c>
    </row>
    <row r="728" spans="1:60" x14ac:dyDescent="0.3">
      <c r="A728" s="4">
        <f>HYPERLINK("http://legacy.baseballprospectus.com/p/70466",70466)</f>
        <v>70466</v>
      </c>
      <c r="B728" t="s">
        <v>4430</v>
      </c>
      <c r="C728" t="s">
        <v>181</v>
      </c>
      <c r="D728" s="10">
        <v>32709</v>
      </c>
      <c r="E728" t="s">
        <v>54</v>
      </c>
      <c r="F728" t="s">
        <v>33</v>
      </c>
      <c r="G728" t="s">
        <v>33</v>
      </c>
      <c r="H728">
        <v>74</v>
      </c>
      <c r="I728">
        <v>205</v>
      </c>
      <c r="J728">
        <v>2018</v>
      </c>
      <c r="K728" s="4" t="str">
        <f>HYPERLINK("http://legacy.baseballprospectus.com/fantasy/dc/index.php?tm=SEA","SEA")</f>
        <v>SEA</v>
      </c>
      <c r="L728" t="s">
        <v>95</v>
      </c>
      <c r="M728" t="s">
        <v>34</v>
      </c>
      <c r="N728">
        <v>28</v>
      </c>
      <c r="O728">
        <v>60</v>
      </c>
      <c r="P728">
        <v>18</v>
      </c>
      <c r="Q728">
        <v>55</v>
      </c>
      <c r="R728">
        <v>7</v>
      </c>
      <c r="S728">
        <v>8</v>
      </c>
      <c r="T728">
        <v>3</v>
      </c>
      <c r="U728">
        <v>0</v>
      </c>
      <c r="V728">
        <v>2</v>
      </c>
      <c r="W728">
        <v>13</v>
      </c>
      <c r="X728">
        <v>22</v>
      </c>
      <c r="Y728">
        <v>7</v>
      </c>
      <c r="Z728">
        <v>3</v>
      </c>
      <c r="AA728">
        <v>0</v>
      </c>
      <c r="AB728">
        <v>1</v>
      </c>
      <c r="AC728">
        <v>12</v>
      </c>
      <c r="AD728">
        <v>0</v>
      </c>
      <c r="AE728">
        <v>0</v>
      </c>
      <c r="AF728">
        <v>2</v>
      </c>
      <c r="AG728">
        <v>0</v>
      </c>
      <c r="AH728">
        <v>0</v>
      </c>
      <c r="AI728" s="5">
        <v>0.23599999999999999</v>
      </c>
      <c r="AJ728" s="5">
        <v>0.28799999999999998</v>
      </c>
      <c r="AK728" s="5">
        <v>0.4</v>
      </c>
      <c r="AL728" s="5">
        <v>0.252</v>
      </c>
      <c r="AM728" s="5">
        <v>0.28599999999999998</v>
      </c>
      <c r="AN728">
        <v>-0.1</v>
      </c>
      <c r="AO728">
        <v>0.46</v>
      </c>
      <c r="AP728">
        <v>1.61</v>
      </c>
      <c r="AQ728">
        <v>-0.48</v>
      </c>
      <c r="AR728">
        <v>-2.2000000000000002</v>
      </c>
      <c r="AS728" t="s">
        <v>1222</v>
      </c>
      <c r="AT728">
        <v>-0.1</v>
      </c>
      <c r="AU728">
        <v>1.5</v>
      </c>
      <c r="AV728">
        <v>1</v>
      </c>
      <c r="AW728">
        <v>11</v>
      </c>
      <c r="AX728">
        <v>14</v>
      </c>
      <c r="AY728">
        <v>24</v>
      </c>
      <c r="AZ728" t="s">
        <v>4431</v>
      </c>
      <c r="BA728">
        <v>43</v>
      </c>
      <c r="BB728" t="s">
        <v>35</v>
      </c>
      <c r="BC728" t="s">
        <v>35</v>
      </c>
      <c r="BD728" s="4">
        <f>HYPERLINK("http://mlb.mlb.com/team/player.jsp?player_id=605357",605357)</f>
        <v>605357</v>
      </c>
      <c r="BE728">
        <v>389</v>
      </c>
      <c r="BF728">
        <v>1389</v>
      </c>
      <c r="BG728">
        <v>9</v>
      </c>
      <c r="BH728">
        <v>9</v>
      </c>
    </row>
    <row r="729" spans="1:60" x14ac:dyDescent="0.3">
      <c r="A729" s="4">
        <f>HYPERLINK("http://legacy.baseballprospectus.com/p/54877",54877)</f>
        <v>54877</v>
      </c>
      <c r="B729" t="s">
        <v>608</v>
      </c>
      <c r="C729" t="s">
        <v>204</v>
      </c>
      <c r="D729" s="10">
        <v>31405</v>
      </c>
      <c r="E729" t="s">
        <v>59</v>
      </c>
      <c r="F729" t="s">
        <v>37</v>
      </c>
      <c r="G729" t="s">
        <v>33</v>
      </c>
      <c r="H729">
        <v>73</v>
      </c>
      <c r="I729">
        <v>200</v>
      </c>
      <c r="J729">
        <v>2018</v>
      </c>
      <c r="K729" s="4" t="str">
        <f>HYPERLINK("http://legacy.baseballprospectus.com/fantasy/dc/index.php?tm=SEA","SEA")</f>
        <v>SEA</v>
      </c>
      <c r="L729" t="s">
        <v>95</v>
      </c>
      <c r="M729" t="s">
        <v>34</v>
      </c>
      <c r="N729">
        <v>32</v>
      </c>
      <c r="O729">
        <v>201</v>
      </c>
      <c r="P729">
        <v>79</v>
      </c>
      <c r="Q729">
        <v>181</v>
      </c>
      <c r="R729">
        <v>19</v>
      </c>
      <c r="S729">
        <v>32</v>
      </c>
      <c r="T729">
        <v>7</v>
      </c>
      <c r="U729">
        <v>1</v>
      </c>
      <c r="V729">
        <v>2</v>
      </c>
      <c r="W729">
        <v>42</v>
      </c>
      <c r="X729">
        <v>57</v>
      </c>
      <c r="Y729">
        <v>16</v>
      </c>
      <c r="Z729">
        <v>14</v>
      </c>
      <c r="AA729">
        <v>1</v>
      </c>
      <c r="AB729">
        <v>2</v>
      </c>
      <c r="AC729">
        <v>43</v>
      </c>
      <c r="AD729">
        <v>3</v>
      </c>
      <c r="AE729">
        <v>1</v>
      </c>
      <c r="AF729">
        <v>6</v>
      </c>
      <c r="AG729">
        <v>6</v>
      </c>
      <c r="AH729">
        <v>2</v>
      </c>
      <c r="AI729" s="5">
        <v>0.23200000000000001</v>
      </c>
      <c r="AJ729" s="5">
        <v>0.29299999999999998</v>
      </c>
      <c r="AK729" s="5">
        <v>0.315</v>
      </c>
      <c r="AL729" s="5">
        <v>0.217</v>
      </c>
      <c r="AM729" s="5">
        <v>0.28399999999999997</v>
      </c>
      <c r="AN729">
        <v>0.4</v>
      </c>
      <c r="AO729">
        <v>0.09</v>
      </c>
      <c r="AP729">
        <v>5.4</v>
      </c>
      <c r="AQ729">
        <v>-9.08</v>
      </c>
      <c r="AR729">
        <v>1.8</v>
      </c>
      <c r="AS729" t="s">
        <v>5010</v>
      </c>
      <c r="AT729">
        <v>-0.1</v>
      </c>
      <c r="AU729">
        <v>-3.2</v>
      </c>
      <c r="AV729">
        <v>4</v>
      </c>
      <c r="AW729">
        <v>33</v>
      </c>
      <c r="AX729">
        <v>10</v>
      </c>
      <c r="AY729">
        <v>30</v>
      </c>
      <c r="AZ729" t="s">
        <v>4432</v>
      </c>
      <c r="BA729">
        <v>81</v>
      </c>
      <c r="BB729" t="s">
        <v>35</v>
      </c>
      <c r="BC729" t="s">
        <v>36</v>
      </c>
      <c r="BD729" s="4">
        <f>HYPERLINK("http://mlb.mlb.com/team/player.jsp?player_id=461865",461865)</f>
        <v>461865</v>
      </c>
      <c r="BE729">
        <v>451</v>
      </c>
      <c r="BF729">
        <v>1451</v>
      </c>
      <c r="BG729">
        <v>348</v>
      </c>
      <c r="BH729">
        <v>318</v>
      </c>
    </row>
    <row r="730" spans="1:60" x14ac:dyDescent="0.3">
      <c r="A730" s="4">
        <f>HYPERLINK("http://legacy.baseballprospectus.com/p/51184",51184)</f>
        <v>51184</v>
      </c>
      <c r="B730" t="s">
        <v>1232</v>
      </c>
      <c r="C730" t="s">
        <v>337</v>
      </c>
      <c r="D730" s="10">
        <v>32263</v>
      </c>
      <c r="E730" t="s">
        <v>54</v>
      </c>
      <c r="F730" t="s">
        <v>33</v>
      </c>
      <c r="G730" t="s">
        <v>33</v>
      </c>
      <c r="H730">
        <v>72</v>
      </c>
      <c r="I730">
        <v>200</v>
      </c>
      <c r="J730">
        <v>2018</v>
      </c>
      <c r="K730" s="4" t="str">
        <f>HYPERLINK("http://legacy.baseballprospectus.com/fantasy/dc/index.php?tm=TBA","TBA")</f>
        <v>TBA</v>
      </c>
      <c r="L730" t="s">
        <v>95</v>
      </c>
      <c r="M730" t="s">
        <v>34</v>
      </c>
      <c r="N730">
        <v>30</v>
      </c>
      <c r="O730">
        <v>216</v>
      </c>
      <c r="P730">
        <v>69</v>
      </c>
      <c r="Q730">
        <v>200</v>
      </c>
      <c r="R730">
        <v>20</v>
      </c>
      <c r="S730">
        <v>36</v>
      </c>
      <c r="T730">
        <v>8</v>
      </c>
      <c r="U730">
        <v>1</v>
      </c>
      <c r="V730">
        <v>3</v>
      </c>
      <c r="W730">
        <v>48</v>
      </c>
      <c r="X730">
        <v>67</v>
      </c>
      <c r="Y730">
        <v>19</v>
      </c>
      <c r="Z730">
        <v>10</v>
      </c>
      <c r="AA730">
        <v>1</v>
      </c>
      <c r="AB730">
        <v>2</v>
      </c>
      <c r="AC730">
        <v>41</v>
      </c>
      <c r="AD730">
        <v>4</v>
      </c>
      <c r="AE730">
        <v>1</v>
      </c>
      <c r="AF730">
        <v>6</v>
      </c>
      <c r="AG730">
        <v>1</v>
      </c>
      <c r="AH730">
        <v>0</v>
      </c>
      <c r="AI730" s="5">
        <v>0.24</v>
      </c>
      <c r="AJ730" s="5">
        <v>0.28199999999999997</v>
      </c>
      <c r="AK730" s="5">
        <v>0.33500000000000002</v>
      </c>
      <c r="AL730" s="5">
        <v>0.22</v>
      </c>
      <c r="AM730" s="5">
        <v>0.27500000000000002</v>
      </c>
      <c r="AN730">
        <v>-0.3</v>
      </c>
      <c r="AO730">
        <v>1.65</v>
      </c>
      <c r="AP730">
        <v>5.8</v>
      </c>
      <c r="AQ730">
        <v>-9.0299999999999994</v>
      </c>
      <c r="AR730">
        <v>0.8</v>
      </c>
      <c r="AS730" t="s">
        <v>62</v>
      </c>
      <c r="AT730">
        <v>-0.1</v>
      </c>
      <c r="AU730">
        <v>-1.9</v>
      </c>
      <c r="AV730">
        <v>1</v>
      </c>
      <c r="AW730">
        <v>29</v>
      </c>
      <c r="AX730">
        <v>11</v>
      </c>
      <c r="AY730">
        <v>28</v>
      </c>
      <c r="AZ730" t="s">
        <v>4358</v>
      </c>
      <c r="BA730">
        <v>77</v>
      </c>
      <c r="BB730" t="s">
        <v>35</v>
      </c>
      <c r="BC730" t="s">
        <v>36</v>
      </c>
      <c r="BD730" s="4">
        <f>HYPERLINK("http://mlb.mlb.com/team/player.jsp?player_id=491696",491696)</f>
        <v>491696</v>
      </c>
      <c r="BE730">
        <v>373</v>
      </c>
      <c r="BF730">
        <v>1373</v>
      </c>
      <c r="BG730">
        <v>192</v>
      </c>
      <c r="BH730">
        <v>176</v>
      </c>
    </row>
    <row r="731" spans="1:60" x14ac:dyDescent="0.3">
      <c r="A731" s="4">
        <f>HYPERLINK("http://legacy.baseballprospectus.com/p/67064",67064)</f>
        <v>67064</v>
      </c>
      <c r="B731" t="s">
        <v>1639</v>
      </c>
      <c r="C731" t="s">
        <v>200</v>
      </c>
      <c r="D731" s="10">
        <v>32342</v>
      </c>
      <c r="E731" t="s">
        <v>54</v>
      </c>
      <c r="F731" t="s">
        <v>9</v>
      </c>
      <c r="G731" t="s">
        <v>33</v>
      </c>
      <c r="H731">
        <v>74</v>
      </c>
      <c r="I731">
        <v>220</v>
      </c>
      <c r="J731">
        <v>2018</v>
      </c>
      <c r="K731" s="4" t="str">
        <f>HYPERLINK("http://legacy.baseballprospectus.com/fantasy/dc/index.php?tm=TEX","TEX")</f>
        <v>TEX</v>
      </c>
      <c r="L731" t="s">
        <v>95</v>
      </c>
      <c r="M731" t="s">
        <v>34</v>
      </c>
      <c r="N731">
        <v>29</v>
      </c>
      <c r="O731">
        <v>30</v>
      </c>
      <c r="P731">
        <v>9</v>
      </c>
      <c r="Q731">
        <v>28</v>
      </c>
      <c r="R731">
        <v>4</v>
      </c>
      <c r="S731">
        <v>5</v>
      </c>
      <c r="T731">
        <v>2</v>
      </c>
      <c r="U731">
        <v>0</v>
      </c>
      <c r="V731">
        <v>1</v>
      </c>
      <c r="W731">
        <v>8</v>
      </c>
      <c r="X731">
        <v>13</v>
      </c>
      <c r="Y731">
        <v>4</v>
      </c>
      <c r="Z731">
        <v>2</v>
      </c>
      <c r="AA731">
        <v>0</v>
      </c>
      <c r="AB731">
        <v>0</v>
      </c>
      <c r="AC731">
        <v>7</v>
      </c>
      <c r="AD731">
        <v>0</v>
      </c>
      <c r="AE731">
        <v>0</v>
      </c>
      <c r="AF731">
        <v>1</v>
      </c>
      <c r="AG731">
        <v>0</v>
      </c>
      <c r="AH731">
        <v>0</v>
      </c>
      <c r="AI731" s="5">
        <v>0.28599999999999998</v>
      </c>
      <c r="AJ731" s="5">
        <v>0.33300000000000002</v>
      </c>
      <c r="AK731" s="5">
        <v>0.46400000000000002</v>
      </c>
      <c r="AL731" s="5">
        <v>0.248</v>
      </c>
      <c r="AM731" s="5">
        <v>0.30499999999999999</v>
      </c>
      <c r="AN731">
        <v>-0.1</v>
      </c>
      <c r="AO731">
        <v>0.23</v>
      </c>
      <c r="AP731">
        <v>0.81</v>
      </c>
      <c r="AQ731">
        <v>-0.37</v>
      </c>
      <c r="AR731">
        <v>-1.6</v>
      </c>
      <c r="AS731" t="s">
        <v>1222</v>
      </c>
      <c r="AT731">
        <v>-0.1</v>
      </c>
      <c r="AU731">
        <v>0.6</v>
      </c>
      <c r="AV731">
        <v>3</v>
      </c>
      <c r="AW731">
        <v>15</v>
      </c>
      <c r="AX731">
        <v>5</v>
      </c>
      <c r="AY731">
        <v>20</v>
      </c>
      <c r="AZ731" t="s">
        <v>4526</v>
      </c>
      <c r="BA731">
        <v>39</v>
      </c>
      <c r="BB731" t="s">
        <v>35</v>
      </c>
      <c r="BC731" t="s">
        <v>35</v>
      </c>
      <c r="BD731" s="4">
        <f>HYPERLINK("http://mlb.mlb.com/team/player.jsp?player_id=592592",592592)</f>
        <v>592592</v>
      </c>
      <c r="BE731">
        <v>379</v>
      </c>
      <c r="BF731">
        <v>1379</v>
      </c>
      <c r="BG731">
        <v>65</v>
      </c>
      <c r="BH731">
        <v>63</v>
      </c>
    </row>
    <row r="732" spans="1:60" x14ac:dyDescent="0.3">
      <c r="A732" s="4">
        <f>HYPERLINK("http://legacy.baseballprospectus.com/p/59480",59480)</f>
        <v>59480</v>
      </c>
      <c r="B732" t="s">
        <v>1876</v>
      </c>
      <c r="C732" t="s">
        <v>1877</v>
      </c>
      <c r="D732" s="10">
        <v>32891</v>
      </c>
      <c r="E732" t="s">
        <v>58</v>
      </c>
      <c r="F732" t="s">
        <v>33</v>
      </c>
      <c r="G732" t="s">
        <v>33</v>
      </c>
      <c r="H732">
        <v>68</v>
      </c>
      <c r="I732">
        <v>200</v>
      </c>
      <c r="J732">
        <v>2018</v>
      </c>
      <c r="K732" s="4" t="str">
        <f>HYPERLINK("http://legacy.baseballprospectus.com/fantasy/dc/index.php?tm=TOR","TOR")</f>
        <v>TOR</v>
      </c>
      <c r="L732" t="s">
        <v>95</v>
      </c>
      <c r="M732" t="s">
        <v>34</v>
      </c>
      <c r="N732">
        <v>28</v>
      </c>
      <c r="O732">
        <v>124</v>
      </c>
      <c r="P732">
        <v>38</v>
      </c>
      <c r="Q732">
        <v>110</v>
      </c>
      <c r="R732">
        <v>13</v>
      </c>
      <c r="S732">
        <v>15</v>
      </c>
      <c r="T732">
        <v>5</v>
      </c>
      <c r="U732">
        <v>1</v>
      </c>
      <c r="V732">
        <v>3</v>
      </c>
      <c r="W732">
        <v>24</v>
      </c>
      <c r="X732">
        <v>40</v>
      </c>
      <c r="Y732">
        <v>12</v>
      </c>
      <c r="Z732">
        <v>11</v>
      </c>
      <c r="AA732">
        <v>0</v>
      </c>
      <c r="AB732">
        <v>1</v>
      </c>
      <c r="AC732">
        <v>42</v>
      </c>
      <c r="AD732">
        <v>2</v>
      </c>
      <c r="AE732">
        <v>1</v>
      </c>
      <c r="AF732">
        <v>3</v>
      </c>
      <c r="AG732">
        <v>1</v>
      </c>
      <c r="AH732">
        <v>1</v>
      </c>
      <c r="AI732" s="5">
        <v>0.218</v>
      </c>
      <c r="AJ732" s="5">
        <v>0.29299999999999998</v>
      </c>
      <c r="AK732" s="5">
        <v>0.36399999999999999</v>
      </c>
      <c r="AL732" s="5">
        <v>0.22600000000000001</v>
      </c>
      <c r="AM732" s="5">
        <v>0.30299999999999999</v>
      </c>
      <c r="AN732">
        <v>-0.3</v>
      </c>
      <c r="AO732">
        <v>0.64</v>
      </c>
      <c r="AP732">
        <v>3.33</v>
      </c>
      <c r="AQ732">
        <v>-4.41</v>
      </c>
      <c r="AR732">
        <v>0</v>
      </c>
      <c r="AS732" t="s">
        <v>999</v>
      </c>
      <c r="AT732">
        <v>-0.1</v>
      </c>
      <c r="AU732">
        <v>-0.7</v>
      </c>
      <c r="AV732">
        <v>0</v>
      </c>
      <c r="AW732">
        <v>7</v>
      </c>
      <c r="AX732">
        <v>12</v>
      </c>
      <c r="AY732">
        <v>19</v>
      </c>
      <c r="AZ732" t="s">
        <v>4359</v>
      </c>
      <c r="BA732">
        <v>26</v>
      </c>
      <c r="BB732" t="s">
        <v>35</v>
      </c>
      <c r="BC732" t="s">
        <v>35</v>
      </c>
      <c r="BD732" s="4">
        <f>HYPERLINK("http://mlb.mlb.com/team/player.jsp?player_id=547912",547912)</f>
        <v>547912</v>
      </c>
      <c r="BE732">
        <v>525</v>
      </c>
      <c r="BF732">
        <v>1525</v>
      </c>
      <c r="BG732">
        <v>63</v>
      </c>
      <c r="BH732">
        <v>54</v>
      </c>
    </row>
    <row r="733" spans="1:60" x14ac:dyDescent="0.3">
      <c r="A733" s="4">
        <f>HYPERLINK("http://legacy.baseballprospectus.com/p/69314",69314)</f>
        <v>69314</v>
      </c>
      <c r="B733" t="s">
        <v>943</v>
      </c>
      <c r="C733" t="s">
        <v>121</v>
      </c>
      <c r="D733" s="10">
        <v>34170</v>
      </c>
      <c r="E733" t="s">
        <v>54</v>
      </c>
      <c r="F733" t="s">
        <v>33</v>
      </c>
      <c r="G733" t="s">
        <v>33</v>
      </c>
      <c r="H733">
        <v>72</v>
      </c>
      <c r="I733">
        <v>215</v>
      </c>
      <c r="J733">
        <v>2018</v>
      </c>
      <c r="K733" s="4" t="str">
        <f>HYPERLINK("http://legacy.baseballprospectus.com/fantasy/dc/index.php?tm=WAS","WAS")</f>
        <v>WAS</v>
      </c>
      <c r="L733" t="s">
        <v>100</v>
      </c>
      <c r="M733" t="s">
        <v>34</v>
      </c>
      <c r="N733">
        <v>24</v>
      </c>
      <c r="O733">
        <v>187</v>
      </c>
      <c r="P733">
        <v>58</v>
      </c>
      <c r="Q733">
        <v>172</v>
      </c>
      <c r="R733">
        <v>20</v>
      </c>
      <c r="S733">
        <v>31</v>
      </c>
      <c r="T733">
        <v>7</v>
      </c>
      <c r="U733">
        <v>0</v>
      </c>
      <c r="V733">
        <v>5</v>
      </c>
      <c r="W733">
        <v>43</v>
      </c>
      <c r="X733">
        <v>65</v>
      </c>
      <c r="Y733">
        <v>20</v>
      </c>
      <c r="Z733">
        <v>11</v>
      </c>
      <c r="AA733">
        <v>1</v>
      </c>
      <c r="AB733">
        <v>1</v>
      </c>
      <c r="AC733">
        <v>37</v>
      </c>
      <c r="AD733">
        <v>1</v>
      </c>
      <c r="AE733">
        <v>1</v>
      </c>
      <c r="AF733">
        <v>5</v>
      </c>
      <c r="AG733">
        <v>1</v>
      </c>
      <c r="AH733">
        <v>0</v>
      </c>
      <c r="AI733" s="5">
        <v>0.25</v>
      </c>
      <c r="AJ733" s="5">
        <v>0.29699999999999999</v>
      </c>
      <c r="AK733" s="5">
        <v>0.378</v>
      </c>
      <c r="AL733" s="5">
        <v>0.23599999999999999</v>
      </c>
      <c r="AM733" s="5">
        <v>0.29199999999999998</v>
      </c>
      <c r="AN733">
        <v>-0.5</v>
      </c>
      <c r="AO733">
        <v>1.43</v>
      </c>
      <c r="AP733">
        <v>5.0199999999999996</v>
      </c>
      <c r="AQ733">
        <v>-4.7699999999999996</v>
      </c>
      <c r="AR733">
        <v>-2.6</v>
      </c>
      <c r="AS733" t="s">
        <v>1746</v>
      </c>
      <c r="AT733">
        <v>-0.1</v>
      </c>
      <c r="AU733">
        <v>1.2</v>
      </c>
      <c r="AV733">
        <v>9</v>
      </c>
      <c r="AW733">
        <v>24</v>
      </c>
      <c r="AX733">
        <v>7</v>
      </c>
      <c r="AY733">
        <v>22</v>
      </c>
      <c r="AZ733" t="s">
        <v>4435</v>
      </c>
      <c r="BA733">
        <v>52</v>
      </c>
      <c r="BB733" t="s">
        <v>35</v>
      </c>
      <c r="BC733" t="s">
        <v>35</v>
      </c>
      <c r="BD733" s="4">
        <f>HYPERLINK("http://mlb.mlb.com/team/player.jsp?player_id=600474",600474)</f>
        <v>600474</v>
      </c>
      <c r="BE733">
        <v>1401</v>
      </c>
      <c r="BF733">
        <v>401</v>
      </c>
      <c r="BG733">
        <v>31</v>
      </c>
      <c r="BH733">
        <v>29</v>
      </c>
    </row>
    <row r="734" spans="1:60" x14ac:dyDescent="0.3">
      <c r="A734" s="4">
        <f>HYPERLINK("http://legacy.baseballprospectus.com/p/102614",102614)</f>
        <v>102614</v>
      </c>
      <c r="B734" t="s">
        <v>4438</v>
      </c>
      <c r="C734" t="s">
        <v>181</v>
      </c>
      <c r="D734" s="10">
        <v>34716</v>
      </c>
      <c r="E734" t="s">
        <v>65</v>
      </c>
      <c r="F734" t="s">
        <v>33</v>
      </c>
      <c r="G734" t="s">
        <v>33</v>
      </c>
      <c r="H734">
        <v>71</v>
      </c>
      <c r="I734">
        <v>190</v>
      </c>
      <c r="J734">
        <v>2018</v>
      </c>
      <c r="K734" s="4" t="str">
        <f>HYPERLINK("http://legacy.baseballprospectus.com/fantasy/dc/index.php?tm=ANA","ANA")</f>
        <v>ANA</v>
      </c>
      <c r="L734" t="s">
        <v>95</v>
      </c>
      <c r="M734" t="s">
        <v>34</v>
      </c>
      <c r="N734">
        <v>23</v>
      </c>
      <c r="O734">
        <v>64</v>
      </c>
      <c r="P734">
        <v>20</v>
      </c>
      <c r="Q734">
        <v>56</v>
      </c>
      <c r="R734">
        <v>8</v>
      </c>
      <c r="S734">
        <v>9</v>
      </c>
      <c r="T734">
        <v>2</v>
      </c>
      <c r="U734">
        <v>0</v>
      </c>
      <c r="V734">
        <v>1</v>
      </c>
      <c r="W734">
        <v>12</v>
      </c>
      <c r="X734">
        <v>17</v>
      </c>
      <c r="Y734">
        <v>5</v>
      </c>
      <c r="Z734">
        <v>6</v>
      </c>
      <c r="AA734">
        <v>0</v>
      </c>
      <c r="AB734">
        <v>1</v>
      </c>
      <c r="AC734">
        <v>15</v>
      </c>
      <c r="AD734">
        <v>1</v>
      </c>
      <c r="AE734">
        <v>0</v>
      </c>
      <c r="AF734">
        <v>2</v>
      </c>
      <c r="AG734">
        <v>3</v>
      </c>
      <c r="AH734">
        <v>1</v>
      </c>
      <c r="AI734" s="5">
        <v>0.214</v>
      </c>
      <c r="AJ734" s="5">
        <v>0.30199999999999999</v>
      </c>
      <c r="AK734" s="5">
        <v>0.30399999999999999</v>
      </c>
      <c r="AL734" s="5">
        <v>0.24199999999999999</v>
      </c>
      <c r="AM734" s="5">
        <v>0.28599999999999998</v>
      </c>
      <c r="AN734">
        <v>0.1</v>
      </c>
      <c r="AO734">
        <v>0.09</v>
      </c>
      <c r="AP734">
        <v>1.72</v>
      </c>
      <c r="AQ734">
        <v>-1.24</v>
      </c>
      <c r="AR734">
        <v>-1.4</v>
      </c>
      <c r="AS734" t="s">
        <v>72</v>
      </c>
      <c r="AT734">
        <v>-0.1</v>
      </c>
      <c r="AU734">
        <v>0.7</v>
      </c>
      <c r="AV734">
        <v>0</v>
      </c>
      <c r="AW734">
        <v>17</v>
      </c>
      <c r="AX734">
        <v>8</v>
      </c>
      <c r="AY734">
        <v>14</v>
      </c>
      <c r="AZ734" t="s">
        <v>4439</v>
      </c>
      <c r="BA734">
        <v>32</v>
      </c>
      <c r="BB734" t="s">
        <v>35</v>
      </c>
      <c r="BC734" t="s">
        <v>35</v>
      </c>
      <c r="BD734" s="4">
        <f>HYPERLINK("http://mlb.mlb.com/team/player.jsp?player_id=641684",641684)</f>
        <v>641684</v>
      </c>
      <c r="BE734">
        <v>640</v>
      </c>
      <c r="BF734">
        <v>1640</v>
      </c>
      <c r="BG734">
        <v>0</v>
      </c>
      <c r="BH734">
        <v>0</v>
      </c>
    </row>
    <row r="735" spans="1:60" x14ac:dyDescent="0.3">
      <c r="A735" s="4">
        <f>HYPERLINK("http://legacy.baseballprospectus.com/p/101308",101308)</f>
        <v>101308</v>
      </c>
      <c r="B735" t="s">
        <v>4516</v>
      </c>
      <c r="C735" t="s">
        <v>4517</v>
      </c>
      <c r="D735" s="10">
        <v>34158</v>
      </c>
      <c r="E735" t="s">
        <v>58</v>
      </c>
      <c r="F735" t="s">
        <v>9</v>
      </c>
      <c r="G735" t="s">
        <v>33</v>
      </c>
      <c r="H735">
        <v>72</v>
      </c>
      <c r="I735">
        <v>175</v>
      </c>
      <c r="J735">
        <v>2018</v>
      </c>
      <c r="K735" s="4" t="str">
        <f>HYPERLINK("http://legacy.baseballprospectus.com/fantasy/dc/index.php?tm=DET","DET")</f>
        <v>DET</v>
      </c>
      <c r="L735" t="s">
        <v>95</v>
      </c>
      <c r="M735" t="s">
        <v>34</v>
      </c>
      <c r="N735">
        <v>24</v>
      </c>
      <c r="O735">
        <v>97</v>
      </c>
      <c r="P735">
        <v>30</v>
      </c>
      <c r="Q735">
        <v>88</v>
      </c>
      <c r="R735">
        <v>11</v>
      </c>
      <c r="S735">
        <v>12</v>
      </c>
      <c r="T735">
        <v>4</v>
      </c>
      <c r="U735">
        <v>1</v>
      </c>
      <c r="V735">
        <v>3</v>
      </c>
      <c r="W735">
        <v>20</v>
      </c>
      <c r="X735">
        <v>35</v>
      </c>
      <c r="Y735">
        <v>11</v>
      </c>
      <c r="Z735">
        <v>7</v>
      </c>
      <c r="AA735">
        <v>0</v>
      </c>
      <c r="AB735">
        <v>1</v>
      </c>
      <c r="AC735">
        <v>28</v>
      </c>
      <c r="AD735">
        <v>0</v>
      </c>
      <c r="AE735">
        <v>0</v>
      </c>
      <c r="AF735">
        <v>2</v>
      </c>
      <c r="AG735">
        <v>1</v>
      </c>
      <c r="AH735">
        <v>1</v>
      </c>
      <c r="AI735" s="5">
        <v>0.22700000000000001</v>
      </c>
      <c r="AJ735" s="5">
        <v>0.29199999999999998</v>
      </c>
      <c r="AK735" s="5">
        <v>0.39800000000000002</v>
      </c>
      <c r="AL735" s="5">
        <v>0.22600000000000001</v>
      </c>
      <c r="AM735" s="5">
        <v>0.28399999999999997</v>
      </c>
      <c r="AN735">
        <v>0</v>
      </c>
      <c r="AO735">
        <v>0.5</v>
      </c>
      <c r="AP735">
        <v>2.6</v>
      </c>
      <c r="AQ735">
        <v>-3.49</v>
      </c>
      <c r="AR735">
        <v>-0.5</v>
      </c>
      <c r="AS735" t="s">
        <v>999</v>
      </c>
      <c r="AT735">
        <v>-0.1</v>
      </c>
      <c r="AU735">
        <v>-0.4</v>
      </c>
      <c r="AV735">
        <v>2</v>
      </c>
      <c r="AW735">
        <v>9</v>
      </c>
      <c r="AX735">
        <v>1</v>
      </c>
      <c r="AY735">
        <v>10</v>
      </c>
      <c r="AZ735" t="s">
        <v>4518</v>
      </c>
      <c r="BA735">
        <v>12</v>
      </c>
      <c r="BB735" t="s">
        <v>35</v>
      </c>
      <c r="BC735" t="s">
        <v>35</v>
      </c>
      <c r="BD735" s="4">
        <f>HYPERLINK("http://mlb.mlb.com/team/player.jsp?player_id=623238",623238)</f>
        <v>623238</v>
      </c>
      <c r="BE735">
        <v>687</v>
      </c>
      <c r="BF735">
        <v>1687</v>
      </c>
      <c r="BG735">
        <v>0</v>
      </c>
      <c r="BH735">
        <v>0</v>
      </c>
    </row>
    <row r="736" spans="1:60" x14ac:dyDescent="0.3">
      <c r="A736" s="4">
        <f>HYPERLINK("http://legacy.baseballprospectus.com/p/100344",100344)</f>
        <v>100344</v>
      </c>
      <c r="B736" t="s">
        <v>1099</v>
      </c>
      <c r="C736" t="s">
        <v>436</v>
      </c>
      <c r="D736" s="10">
        <v>34907</v>
      </c>
      <c r="E736" t="s">
        <v>58</v>
      </c>
      <c r="F736" t="s">
        <v>37</v>
      </c>
      <c r="G736" t="s">
        <v>33</v>
      </c>
      <c r="H736">
        <v>73</v>
      </c>
      <c r="I736">
        <v>185</v>
      </c>
      <c r="J736">
        <v>2018</v>
      </c>
      <c r="K736" s="4" t="str">
        <f>HYPERLINK("http://legacy.baseballprospectus.com/fantasy/dc/index.php?tm=KCA","KCA")</f>
        <v>KCA</v>
      </c>
      <c r="L736" t="s">
        <v>95</v>
      </c>
      <c r="M736" t="s">
        <v>34</v>
      </c>
      <c r="N736">
        <v>22</v>
      </c>
      <c r="O736">
        <v>124</v>
      </c>
      <c r="P736">
        <v>40</v>
      </c>
      <c r="Q736">
        <v>114</v>
      </c>
      <c r="R736">
        <v>16</v>
      </c>
      <c r="S736">
        <v>17</v>
      </c>
      <c r="T736">
        <v>4</v>
      </c>
      <c r="U736">
        <v>2</v>
      </c>
      <c r="V736">
        <v>3</v>
      </c>
      <c r="W736">
        <v>26</v>
      </c>
      <c r="X736">
        <v>43</v>
      </c>
      <c r="Y736">
        <v>12</v>
      </c>
      <c r="Z736">
        <v>6</v>
      </c>
      <c r="AA736">
        <v>1</v>
      </c>
      <c r="AB736">
        <v>1</v>
      </c>
      <c r="AC736">
        <v>36</v>
      </c>
      <c r="AD736">
        <v>3</v>
      </c>
      <c r="AE736">
        <v>1</v>
      </c>
      <c r="AF736">
        <v>2</v>
      </c>
      <c r="AG736">
        <v>7</v>
      </c>
      <c r="AH736">
        <v>1</v>
      </c>
      <c r="AI736" s="5">
        <v>0.22800000000000001</v>
      </c>
      <c r="AJ736" s="5">
        <v>0.27</v>
      </c>
      <c r="AK736" s="5">
        <v>0.377</v>
      </c>
      <c r="AL736" s="5">
        <v>0.22600000000000001</v>
      </c>
      <c r="AM736" s="5">
        <v>0.29899999999999999</v>
      </c>
      <c r="AN736">
        <v>1.4</v>
      </c>
      <c r="AO736">
        <v>0.64</v>
      </c>
      <c r="AP736">
        <v>3.33</v>
      </c>
      <c r="AQ736">
        <v>-4.3899999999999997</v>
      </c>
      <c r="AR736">
        <v>-2.2999999999999998</v>
      </c>
      <c r="AS736" t="s">
        <v>1027</v>
      </c>
      <c r="AT736">
        <v>-0.1</v>
      </c>
      <c r="AU736">
        <v>1</v>
      </c>
      <c r="AV736">
        <v>5</v>
      </c>
      <c r="AW736">
        <v>25</v>
      </c>
      <c r="AX736">
        <v>5</v>
      </c>
      <c r="AY736">
        <v>13</v>
      </c>
      <c r="AZ736" t="s">
        <v>3785</v>
      </c>
      <c r="BA736">
        <v>33</v>
      </c>
      <c r="BB736" t="s">
        <v>35</v>
      </c>
      <c r="BC736" t="s">
        <v>36</v>
      </c>
      <c r="BD736" s="4">
        <f>HYPERLINK("http://mlb.mlb.com/team/player.jsp?player_id=609275",609275)</f>
        <v>609275</v>
      </c>
      <c r="BE736">
        <v>526</v>
      </c>
      <c r="BF736">
        <v>1526</v>
      </c>
      <c r="BG736">
        <v>60</v>
      </c>
      <c r="BH736">
        <v>53</v>
      </c>
    </row>
    <row r="737" spans="1:60" x14ac:dyDescent="0.3">
      <c r="A737" s="4">
        <f>HYPERLINK("http://legacy.baseballprospectus.com/p/105149",105149)</f>
        <v>105149</v>
      </c>
      <c r="B737" t="s">
        <v>469</v>
      </c>
      <c r="C737" t="s">
        <v>3365</v>
      </c>
      <c r="D737" s="10">
        <v>34204</v>
      </c>
      <c r="E737" t="s">
        <v>65</v>
      </c>
      <c r="F737" t="s">
        <v>9</v>
      </c>
      <c r="G737" t="s">
        <v>33</v>
      </c>
      <c r="H737">
        <v>70</v>
      </c>
      <c r="I737">
        <v>185</v>
      </c>
      <c r="J737">
        <v>2018</v>
      </c>
      <c r="K737" s="4" t="str">
        <f>HYPERLINK("http://legacy.baseballprospectus.com/fantasy/dc/index.php?tm=MIA","MIA")</f>
        <v>MIA</v>
      </c>
      <c r="L737" t="s">
        <v>100</v>
      </c>
      <c r="M737" t="s">
        <v>34</v>
      </c>
      <c r="N737">
        <v>24</v>
      </c>
      <c r="O737">
        <v>123</v>
      </c>
      <c r="P737">
        <v>57</v>
      </c>
      <c r="Q737">
        <v>110</v>
      </c>
      <c r="R737">
        <v>13</v>
      </c>
      <c r="S737">
        <v>21</v>
      </c>
      <c r="T737">
        <v>4</v>
      </c>
      <c r="U737">
        <v>0</v>
      </c>
      <c r="V737">
        <v>2</v>
      </c>
      <c r="W737">
        <v>27</v>
      </c>
      <c r="X737">
        <v>37</v>
      </c>
      <c r="Y737">
        <v>10</v>
      </c>
      <c r="Z737">
        <v>10</v>
      </c>
      <c r="AA737">
        <v>1</v>
      </c>
      <c r="AB737">
        <v>1</v>
      </c>
      <c r="AC737">
        <v>26</v>
      </c>
      <c r="AD737">
        <v>2</v>
      </c>
      <c r="AE737">
        <v>1</v>
      </c>
      <c r="AF737">
        <v>2</v>
      </c>
      <c r="AG737">
        <v>3</v>
      </c>
      <c r="AH737">
        <v>2</v>
      </c>
      <c r="AI737" s="5">
        <v>0.245</v>
      </c>
      <c r="AJ737" s="5">
        <v>0.311</v>
      </c>
      <c r="AK737" s="5">
        <v>0.33600000000000002</v>
      </c>
      <c r="AL737" s="5">
        <v>0.22900000000000001</v>
      </c>
      <c r="AM737" s="5">
        <v>0.29799999999999999</v>
      </c>
      <c r="AN737">
        <v>-0.1</v>
      </c>
      <c r="AO737">
        <v>-0.46</v>
      </c>
      <c r="AP737">
        <v>3.3</v>
      </c>
      <c r="AQ737">
        <v>-4.03</v>
      </c>
      <c r="AR737">
        <v>0.8</v>
      </c>
      <c r="AS737" t="s">
        <v>3807</v>
      </c>
      <c r="AT737">
        <v>-0.1</v>
      </c>
      <c r="AU737">
        <v>-1.3</v>
      </c>
      <c r="AV737">
        <v>8</v>
      </c>
      <c r="AW737">
        <v>17</v>
      </c>
      <c r="AX737">
        <v>6</v>
      </c>
      <c r="AY737">
        <v>17</v>
      </c>
      <c r="AZ737" t="s">
        <v>4384</v>
      </c>
      <c r="BA737">
        <v>31</v>
      </c>
      <c r="BB737" t="s">
        <v>35</v>
      </c>
      <c r="BC737" t="s">
        <v>35</v>
      </c>
      <c r="BD737" s="4">
        <f>HYPERLINK("http://mlb.mlb.com/team/player.jsp?player_id=657658",657658)</f>
        <v>657658</v>
      </c>
      <c r="BE737">
        <v>1713</v>
      </c>
      <c r="BF737">
        <v>713</v>
      </c>
      <c r="BG737">
        <v>0</v>
      </c>
      <c r="BH737">
        <v>0</v>
      </c>
    </row>
    <row r="738" spans="1:60" x14ac:dyDescent="0.3">
      <c r="A738" s="4">
        <f>HYPERLINK("http://legacy.baseballprospectus.com/p/105609",105609)</f>
        <v>105609</v>
      </c>
      <c r="B738" t="s">
        <v>4446</v>
      </c>
      <c r="C738" t="s">
        <v>148</v>
      </c>
      <c r="D738" s="10">
        <v>34063</v>
      </c>
      <c r="E738" t="s">
        <v>54</v>
      </c>
      <c r="F738" t="s">
        <v>33</v>
      </c>
      <c r="G738" t="s">
        <v>33</v>
      </c>
      <c r="H738">
        <v>72</v>
      </c>
      <c r="I738">
        <v>205</v>
      </c>
      <c r="J738">
        <v>2018</v>
      </c>
      <c r="K738" s="4" t="str">
        <f>HYPERLINK("http://legacy.baseballprospectus.com/fantasy/dc/index.php?tm=PIT","PIT")</f>
        <v>PIT</v>
      </c>
      <c r="L738" t="s">
        <v>100</v>
      </c>
      <c r="M738" t="s">
        <v>34</v>
      </c>
      <c r="N738">
        <v>25</v>
      </c>
      <c r="O738">
        <v>31</v>
      </c>
      <c r="P738">
        <v>10</v>
      </c>
      <c r="Q738">
        <v>29</v>
      </c>
      <c r="R738">
        <v>2</v>
      </c>
      <c r="S738">
        <v>4</v>
      </c>
      <c r="T738">
        <v>1</v>
      </c>
      <c r="U738">
        <v>0</v>
      </c>
      <c r="V738">
        <v>0</v>
      </c>
      <c r="W738">
        <v>5</v>
      </c>
      <c r="X738">
        <v>6</v>
      </c>
      <c r="Y738">
        <v>2</v>
      </c>
      <c r="Z738">
        <v>2</v>
      </c>
      <c r="AA738">
        <v>0</v>
      </c>
      <c r="AB738">
        <v>0</v>
      </c>
      <c r="AC738">
        <v>6</v>
      </c>
      <c r="AD738">
        <v>0</v>
      </c>
      <c r="AE738">
        <v>0</v>
      </c>
      <c r="AF738">
        <v>1</v>
      </c>
      <c r="AG738">
        <v>0</v>
      </c>
      <c r="AH738">
        <v>0</v>
      </c>
      <c r="AI738" s="5">
        <v>0.17199999999999999</v>
      </c>
      <c r="AJ738" s="5">
        <v>0.22600000000000001</v>
      </c>
      <c r="AK738" s="5">
        <v>0.20699999999999999</v>
      </c>
      <c r="AL738" s="5">
        <v>0.21</v>
      </c>
      <c r="AM738" s="5">
        <v>0.26200000000000001</v>
      </c>
      <c r="AN738">
        <v>-0.1</v>
      </c>
      <c r="AO738">
        <v>0.24</v>
      </c>
      <c r="AP738">
        <v>0.83</v>
      </c>
      <c r="AQ738">
        <v>-1.63</v>
      </c>
      <c r="AR738">
        <v>-0.7</v>
      </c>
      <c r="AS738" t="s">
        <v>60</v>
      </c>
      <c r="AT738">
        <v>-0.1</v>
      </c>
      <c r="AU738">
        <v>-0.6</v>
      </c>
      <c r="AV738">
        <v>10</v>
      </c>
      <c r="AW738">
        <v>12</v>
      </c>
      <c r="AX738">
        <v>10</v>
      </c>
      <c r="AY738">
        <v>20</v>
      </c>
      <c r="AZ738" t="s">
        <v>4447</v>
      </c>
      <c r="BA738">
        <v>26</v>
      </c>
      <c r="BB738" t="s">
        <v>35</v>
      </c>
      <c r="BC738" t="s">
        <v>35</v>
      </c>
      <c r="BD738" s="4">
        <f>HYPERLINK("http://mlb.mlb.com/team/player.jsp?player_id=657524",657524)</f>
        <v>657524</v>
      </c>
      <c r="BE738">
        <v>0</v>
      </c>
      <c r="BF738">
        <v>0</v>
      </c>
      <c r="BG738">
        <v>1</v>
      </c>
      <c r="BH738">
        <v>1</v>
      </c>
    </row>
    <row r="739" spans="1:60" x14ac:dyDescent="0.3">
      <c r="A739" s="4">
        <f>HYPERLINK("http://legacy.baseballprospectus.com/p/102507",102507)</f>
        <v>102507</v>
      </c>
      <c r="B739" t="s">
        <v>1386</v>
      </c>
      <c r="C739" t="s">
        <v>165</v>
      </c>
      <c r="D739" s="10">
        <v>33544</v>
      </c>
      <c r="E739" t="s">
        <v>58</v>
      </c>
      <c r="F739" t="s">
        <v>9</v>
      </c>
      <c r="G739" t="s">
        <v>33</v>
      </c>
      <c r="H739">
        <v>69</v>
      </c>
      <c r="I739">
        <v>158</v>
      </c>
      <c r="J739">
        <v>2018</v>
      </c>
      <c r="K739" s="4" t="str">
        <f>HYPERLINK("http://legacy.baseballprospectus.com/fantasy/dc/index.php?tm=SDN","SDN")</f>
        <v>SDN</v>
      </c>
      <c r="L739" t="s">
        <v>100</v>
      </c>
      <c r="M739" t="s">
        <v>34</v>
      </c>
      <c r="N739">
        <v>26</v>
      </c>
      <c r="O739">
        <v>459</v>
      </c>
      <c r="P739">
        <v>135</v>
      </c>
      <c r="Q739">
        <v>407</v>
      </c>
      <c r="R739">
        <v>52</v>
      </c>
      <c r="S739">
        <v>68</v>
      </c>
      <c r="T739">
        <v>18</v>
      </c>
      <c r="U739">
        <v>4</v>
      </c>
      <c r="V739">
        <v>8</v>
      </c>
      <c r="W739">
        <v>98</v>
      </c>
      <c r="X739">
        <v>148</v>
      </c>
      <c r="Y739">
        <v>40</v>
      </c>
      <c r="Z739">
        <v>41</v>
      </c>
      <c r="AA739">
        <v>1</v>
      </c>
      <c r="AB739">
        <v>4</v>
      </c>
      <c r="AC739">
        <v>94</v>
      </c>
      <c r="AD739">
        <v>5</v>
      </c>
      <c r="AE739">
        <v>2</v>
      </c>
      <c r="AF739">
        <v>9</v>
      </c>
      <c r="AG739">
        <v>2</v>
      </c>
      <c r="AH739">
        <v>1</v>
      </c>
      <c r="AI739" s="5">
        <v>0.24099999999999999</v>
      </c>
      <c r="AJ739" s="5">
        <v>0.315</v>
      </c>
      <c r="AK739" s="5">
        <v>0.36399999999999999</v>
      </c>
      <c r="AL739" s="5">
        <v>0.24199999999999999</v>
      </c>
      <c r="AM739" s="5">
        <v>0.28699999999999998</v>
      </c>
      <c r="AN739">
        <v>-0.4</v>
      </c>
      <c r="AO739">
        <v>2.08</v>
      </c>
      <c r="AP739">
        <v>12.32</v>
      </c>
      <c r="AQ739">
        <v>-8.6</v>
      </c>
      <c r="AR739">
        <v>-6.7</v>
      </c>
      <c r="AS739" t="s">
        <v>4879</v>
      </c>
      <c r="AT739">
        <v>-0.1</v>
      </c>
      <c r="AU739">
        <v>5.4</v>
      </c>
      <c r="AV739">
        <v>4</v>
      </c>
      <c r="AW739">
        <v>45</v>
      </c>
      <c r="AX739">
        <v>6</v>
      </c>
      <c r="AY739">
        <v>25</v>
      </c>
      <c r="AZ739" t="s">
        <v>4386</v>
      </c>
      <c r="BA739">
        <v>59</v>
      </c>
      <c r="BB739" t="s">
        <v>35</v>
      </c>
      <c r="BC739" t="s">
        <v>36</v>
      </c>
      <c r="BD739" s="4">
        <f>HYPERLINK("http://mlb.mlb.com/team/player.jsp?player_id=641319",641319)</f>
        <v>641319</v>
      </c>
      <c r="BE739">
        <v>1462</v>
      </c>
      <c r="BF739">
        <v>462</v>
      </c>
      <c r="BG739">
        <v>343</v>
      </c>
      <c r="BH739">
        <v>307</v>
      </c>
    </row>
    <row r="740" spans="1:60" x14ac:dyDescent="0.3">
      <c r="A740" s="4">
        <f>HYPERLINK("http://legacy.baseballprospectus.com/p/103260",103260)</f>
        <v>103260</v>
      </c>
      <c r="B740" t="s">
        <v>820</v>
      </c>
      <c r="C740" t="s">
        <v>145</v>
      </c>
      <c r="D740" s="10">
        <v>34967</v>
      </c>
      <c r="E740" t="s">
        <v>53</v>
      </c>
      <c r="F740" t="s">
        <v>9</v>
      </c>
      <c r="G740" t="s">
        <v>33</v>
      </c>
      <c r="H740">
        <v>71</v>
      </c>
      <c r="I740">
        <v>155</v>
      </c>
      <c r="J740">
        <v>2018</v>
      </c>
      <c r="K740" s="4" t="str">
        <f>HYPERLINK("http://legacy.baseballprospectus.com/fantasy/dc/index.php?tm=SDN","SDN")</f>
        <v>SDN</v>
      </c>
      <c r="L740" t="s">
        <v>100</v>
      </c>
      <c r="M740" t="s">
        <v>34</v>
      </c>
      <c r="N740">
        <v>22</v>
      </c>
      <c r="O740">
        <v>30</v>
      </c>
      <c r="P740">
        <v>9</v>
      </c>
      <c r="Q740">
        <v>28</v>
      </c>
      <c r="R740">
        <v>3</v>
      </c>
      <c r="S740">
        <v>3</v>
      </c>
      <c r="T740">
        <v>1</v>
      </c>
      <c r="U740">
        <v>0</v>
      </c>
      <c r="V740">
        <v>1</v>
      </c>
      <c r="W740">
        <v>5</v>
      </c>
      <c r="X740">
        <v>9</v>
      </c>
      <c r="Y740">
        <v>3</v>
      </c>
      <c r="Z740">
        <v>2</v>
      </c>
      <c r="AA740">
        <v>0</v>
      </c>
      <c r="AB740">
        <v>0</v>
      </c>
      <c r="AC740">
        <v>10</v>
      </c>
      <c r="AD740">
        <v>0</v>
      </c>
      <c r="AE740">
        <v>0</v>
      </c>
      <c r="AF740">
        <v>1</v>
      </c>
      <c r="AG740">
        <v>0</v>
      </c>
      <c r="AH740">
        <v>0</v>
      </c>
      <c r="AI740" s="5">
        <v>0.17899999999999999</v>
      </c>
      <c r="AJ740" s="5">
        <v>0.23300000000000001</v>
      </c>
      <c r="AK740" s="5">
        <v>0.32100000000000001</v>
      </c>
      <c r="AL740" s="5">
        <v>0.2</v>
      </c>
      <c r="AM740" s="5">
        <v>0.26800000000000002</v>
      </c>
      <c r="AN740">
        <v>-0.1</v>
      </c>
      <c r="AO740">
        <v>0.21</v>
      </c>
      <c r="AP740">
        <v>0.81</v>
      </c>
      <c r="AQ740">
        <v>-1.9</v>
      </c>
      <c r="AR740">
        <v>-0.1</v>
      </c>
      <c r="AS740" t="s">
        <v>74</v>
      </c>
      <c r="AT740">
        <v>-0.1</v>
      </c>
      <c r="AU740">
        <v>-1</v>
      </c>
      <c r="AV740">
        <v>0</v>
      </c>
      <c r="AW740">
        <v>3</v>
      </c>
      <c r="AX740">
        <v>2</v>
      </c>
      <c r="AY740">
        <v>3</v>
      </c>
      <c r="AZ740" t="s">
        <v>4571</v>
      </c>
      <c r="BA740">
        <v>5</v>
      </c>
      <c r="BB740" t="s">
        <v>35</v>
      </c>
      <c r="BC740" t="s">
        <v>35</v>
      </c>
      <c r="BD740" s="4">
        <f>HYPERLINK("http://mlb.mlb.com/team/player.jsp?player_id=642770",642770)</f>
        <v>642770</v>
      </c>
      <c r="BE740">
        <v>1568</v>
      </c>
      <c r="BF740">
        <v>568</v>
      </c>
      <c r="BG740">
        <v>0</v>
      </c>
      <c r="BH740">
        <v>0</v>
      </c>
    </row>
    <row r="741" spans="1:60" x14ac:dyDescent="0.3">
      <c r="A741" s="4">
        <f>HYPERLINK("http://legacy.baseballprospectus.com/p/101662",101662)</f>
        <v>101662</v>
      </c>
      <c r="B741" t="s">
        <v>1259</v>
      </c>
      <c r="C741" t="s">
        <v>165</v>
      </c>
      <c r="D741" s="10">
        <v>34934</v>
      </c>
      <c r="E741" t="s">
        <v>59</v>
      </c>
      <c r="F741" t="s">
        <v>33</v>
      </c>
      <c r="G741" t="s">
        <v>33</v>
      </c>
      <c r="H741">
        <v>74</v>
      </c>
      <c r="I741">
        <v>160</v>
      </c>
      <c r="J741">
        <v>2018</v>
      </c>
      <c r="K741" s="4" t="str">
        <f>HYPERLINK("http://legacy.baseballprospectus.com/fantasy/dc/index.php?tm=TEX","TEX")</f>
        <v>TEX</v>
      </c>
      <c r="L741" t="s">
        <v>95</v>
      </c>
      <c r="M741" t="s">
        <v>34</v>
      </c>
      <c r="N741">
        <v>22</v>
      </c>
      <c r="O741">
        <v>60</v>
      </c>
      <c r="P741">
        <v>18</v>
      </c>
      <c r="Q741">
        <v>56</v>
      </c>
      <c r="R741">
        <v>6</v>
      </c>
      <c r="S741">
        <v>10</v>
      </c>
      <c r="T741">
        <v>3</v>
      </c>
      <c r="U741">
        <v>0</v>
      </c>
      <c r="V741">
        <v>1</v>
      </c>
      <c r="W741">
        <v>14</v>
      </c>
      <c r="X741">
        <v>20</v>
      </c>
      <c r="Y741">
        <v>6</v>
      </c>
      <c r="Z741">
        <v>3</v>
      </c>
      <c r="AA741">
        <v>0</v>
      </c>
      <c r="AB741">
        <v>1</v>
      </c>
      <c r="AC741">
        <v>12</v>
      </c>
      <c r="AD741">
        <v>0</v>
      </c>
      <c r="AE741">
        <v>0</v>
      </c>
      <c r="AF741">
        <v>1</v>
      </c>
      <c r="AG741">
        <v>0</v>
      </c>
      <c r="AH741">
        <v>0</v>
      </c>
      <c r="AI741" s="5">
        <v>0.25</v>
      </c>
      <c r="AJ741" s="5">
        <v>0.3</v>
      </c>
      <c r="AK741" s="5">
        <v>0.35699999999999998</v>
      </c>
      <c r="AL741" s="5">
        <v>0.23100000000000001</v>
      </c>
      <c r="AM741" s="5">
        <v>0.309</v>
      </c>
      <c r="AN741">
        <v>-0.1</v>
      </c>
      <c r="AO741">
        <v>-0.01</v>
      </c>
      <c r="AP741">
        <v>1.61</v>
      </c>
      <c r="AQ741">
        <v>-1.82</v>
      </c>
      <c r="AR741">
        <v>-0.5</v>
      </c>
      <c r="AS741" t="s">
        <v>4295</v>
      </c>
      <c r="AT741">
        <v>-0.1</v>
      </c>
      <c r="AU741">
        <v>-0.3</v>
      </c>
      <c r="AV741">
        <v>1</v>
      </c>
      <c r="AW741">
        <v>14</v>
      </c>
      <c r="AX741">
        <v>5</v>
      </c>
      <c r="AY741">
        <v>17</v>
      </c>
      <c r="AZ741" t="s">
        <v>4173</v>
      </c>
      <c r="BA741">
        <v>27</v>
      </c>
      <c r="BB741" t="s">
        <v>35</v>
      </c>
      <c r="BC741" t="s">
        <v>35</v>
      </c>
      <c r="BD741" s="4">
        <f>HYPERLINK("http://mlb.mlb.com/team/player.jsp?player_id=624636",624636)</f>
        <v>624636</v>
      </c>
      <c r="BE741">
        <v>674</v>
      </c>
      <c r="BF741">
        <v>1674</v>
      </c>
      <c r="BG741">
        <v>0</v>
      </c>
      <c r="BH741">
        <v>0</v>
      </c>
    </row>
    <row r="742" spans="1:60" x14ac:dyDescent="0.3">
      <c r="A742" s="4">
        <f>HYPERLINK("http://legacy.baseballprospectus.com/p/101996",101996)</f>
        <v>101996</v>
      </c>
      <c r="B742" t="s">
        <v>1166</v>
      </c>
      <c r="C742" t="s">
        <v>917</v>
      </c>
      <c r="D742" s="10">
        <v>35121</v>
      </c>
      <c r="E742" t="s">
        <v>53</v>
      </c>
      <c r="F742" t="s">
        <v>37</v>
      </c>
      <c r="G742" t="s">
        <v>33</v>
      </c>
      <c r="H742">
        <v>72</v>
      </c>
      <c r="I742">
        <v>185</v>
      </c>
      <c r="J742">
        <v>2018</v>
      </c>
      <c r="K742" s="4" t="str">
        <f>HYPERLINK("http://legacy.baseballprospectus.com/fantasy/dc/index.php?tm=TOR","TOR")</f>
        <v>TOR</v>
      </c>
      <c r="L742" t="s">
        <v>95</v>
      </c>
      <c r="M742" t="s">
        <v>34</v>
      </c>
      <c r="N742">
        <v>22</v>
      </c>
      <c r="O742">
        <v>30</v>
      </c>
      <c r="P742">
        <v>9</v>
      </c>
      <c r="Q742">
        <v>28</v>
      </c>
      <c r="R742">
        <v>3</v>
      </c>
      <c r="S742">
        <v>4</v>
      </c>
      <c r="T742">
        <v>1</v>
      </c>
      <c r="U742">
        <v>0</v>
      </c>
      <c r="V742">
        <v>1</v>
      </c>
      <c r="W742">
        <v>6</v>
      </c>
      <c r="X742">
        <v>10</v>
      </c>
      <c r="Y742">
        <v>3</v>
      </c>
      <c r="Z742">
        <v>1</v>
      </c>
      <c r="AA742">
        <v>0</v>
      </c>
      <c r="AB742">
        <v>0</v>
      </c>
      <c r="AC742">
        <v>7</v>
      </c>
      <c r="AD742">
        <v>0</v>
      </c>
      <c r="AE742">
        <v>0</v>
      </c>
      <c r="AF742">
        <v>1</v>
      </c>
      <c r="AG742">
        <v>0</v>
      </c>
      <c r="AH742">
        <v>0</v>
      </c>
      <c r="AI742" s="5">
        <v>0.214</v>
      </c>
      <c r="AJ742" s="5">
        <v>0.24099999999999999</v>
      </c>
      <c r="AK742" s="5">
        <v>0.35699999999999998</v>
      </c>
      <c r="AL742" s="5">
        <v>0.216</v>
      </c>
      <c r="AM742" s="5">
        <v>0.28399999999999997</v>
      </c>
      <c r="AN742">
        <v>0</v>
      </c>
      <c r="AO742">
        <v>0.21</v>
      </c>
      <c r="AP742">
        <v>0.81</v>
      </c>
      <c r="AQ742">
        <v>-1.38</v>
      </c>
      <c r="AR742">
        <v>-0.4</v>
      </c>
      <c r="AS742" t="s">
        <v>74</v>
      </c>
      <c r="AT742">
        <v>-0.1</v>
      </c>
      <c r="AU742">
        <v>-0.4</v>
      </c>
      <c r="AV742">
        <v>2</v>
      </c>
      <c r="AW742">
        <v>15</v>
      </c>
      <c r="AX742">
        <v>4</v>
      </c>
      <c r="AY742">
        <v>12</v>
      </c>
      <c r="AZ742" t="s">
        <v>4448</v>
      </c>
      <c r="BA742">
        <v>22</v>
      </c>
      <c r="BB742" t="s">
        <v>35</v>
      </c>
      <c r="BC742" t="s">
        <v>35</v>
      </c>
      <c r="BD742" s="4">
        <f>HYPERLINK("http://mlb.mlb.com/team/player.jsp?player_id=620446",620446)</f>
        <v>620446</v>
      </c>
      <c r="BE742">
        <v>522</v>
      </c>
      <c r="BF742">
        <v>1522</v>
      </c>
      <c r="BG742">
        <v>75</v>
      </c>
      <c r="BH742">
        <v>68</v>
      </c>
    </row>
    <row r="743" spans="1:60" x14ac:dyDescent="0.3">
      <c r="A743" s="4">
        <f>HYPERLINK("http://legacy.baseballprospectus.com/p/100318",100318)</f>
        <v>100318</v>
      </c>
      <c r="B743" t="s">
        <v>599</v>
      </c>
      <c r="C743" t="s">
        <v>104</v>
      </c>
      <c r="D743" s="10">
        <v>33210</v>
      </c>
      <c r="E743" t="s">
        <v>58</v>
      </c>
      <c r="F743" t="s">
        <v>33</v>
      </c>
      <c r="G743" t="s">
        <v>33</v>
      </c>
      <c r="H743">
        <v>73</v>
      </c>
      <c r="I743">
        <v>198</v>
      </c>
      <c r="J743">
        <v>2018</v>
      </c>
      <c r="K743" s="4" t="str">
        <f>HYPERLINK("http://legacy.baseballprospectus.com/fantasy/dc/index.php?tm=WAS","WAS")</f>
        <v>WAS</v>
      </c>
      <c r="L743" t="s">
        <v>100</v>
      </c>
      <c r="M743" t="s">
        <v>34</v>
      </c>
      <c r="N743">
        <v>27</v>
      </c>
      <c r="O743">
        <v>155</v>
      </c>
      <c r="P743">
        <v>72</v>
      </c>
      <c r="Q743">
        <v>141</v>
      </c>
      <c r="R743">
        <v>16</v>
      </c>
      <c r="S743">
        <v>22</v>
      </c>
      <c r="T743">
        <v>7</v>
      </c>
      <c r="U743">
        <v>1</v>
      </c>
      <c r="V743">
        <v>3</v>
      </c>
      <c r="W743">
        <v>33</v>
      </c>
      <c r="X743">
        <v>51</v>
      </c>
      <c r="Y743">
        <v>15</v>
      </c>
      <c r="Z743">
        <v>12</v>
      </c>
      <c r="AA743">
        <v>1</v>
      </c>
      <c r="AB743">
        <v>2</v>
      </c>
      <c r="AC743">
        <v>41</v>
      </c>
      <c r="AD743">
        <v>1</v>
      </c>
      <c r="AE743">
        <v>1</v>
      </c>
      <c r="AF743">
        <v>5</v>
      </c>
      <c r="AG743">
        <v>2</v>
      </c>
      <c r="AH743">
        <v>1</v>
      </c>
      <c r="AI743" s="5">
        <v>0.23400000000000001</v>
      </c>
      <c r="AJ743" s="5">
        <v>0.30099999999999999</v>
      </c>
      <c r="AK743" s="5">
        <v>0.36199999999999999</v>
      </c>
      <c r="AL743" s="5">
        <v>0.22700000000000001</v>
      </c>
      <c r="AM743" s="5">
        <v>0.30499999999999999</v>
      </c>
      <c r="AN743">
        <v>-0.1</v>
      </c>
      <c r="AO743">
        <v>-7.0000000000000007E-2</v>
      </c>
      <c r="AP743">
        <v>4.16</v>
      </c>
      <c r="AQ743">
        <v>-5.37</v>
      </c>
      <c r="AR743">
        <v>0.2</v>
      </c>
      <c r="AS743" t="s">
        <v>4898</v>
      </c>
      <c r="AT743">
        <v>-0.1</v>
      </c>
      <c r="AU743">
        <v>-1.4</v>
      </c>
      <c r="AV743">
        <v>3</v>
      </c>
      <c r="AW743">
        <v>19</v>
      </c>
      <c r="AX743">
        <v>12</v>
      </c>
      <c r="AY743">
        <v>23</v>
      </c>
      <c r="AZ743" t="s">
        <v>4423</v>
      </c>
      <c r="BA743">
        <v>38</v>
      </c>
      <c r="BB743" t="s">
        <v>35</v>
      </c>
      <c r="BC743" t="s">
        <v>36</v>
      </c>
      <c r="BD743" s="4">
        <f>HYPERLINK("http://mlb.mlb.com/team/player.jsp?player_id=608703",608703)</f>
        <v>608703</v>
      </c>
      <c r="BE743">
        <v>1544</v>
      </c>
      <c r="BF743">
        <v>544</v>
      </c>
      <c r="BG743">
        <v>130</v>
      </c>
      <c r="BH743">
        <v>113</v>
      </c>
    </row>
    <row r="744" spans="1:60" x14ac:dyDescent="0.3">
      <c r="A744" s="4">
        <f>HYPERLINK("http://legacy.baseballprospectus.com/p/106527",106527)</f>
        <v>106527</v>
      </c>
      <c r="B744" t="s">
        <v>1779</v>
      </c>
      <c r="C744" t="s">
        <v>102</v>
      </c>
      <c r="D744" s="10">
        <v>35479</v>
      </c>
      <c r="E744" t="s">
        <v>51</v>
      </c>
      <c r="F744" t="s">
        <v>33</v>
      </c>
      <c r="G744" t="s">
        <v>33</v>
      </c>
      <c r="H744">
        <v>75</v>
      </c>
      <c r="I744">
        <v>195</v>
      </c>
      <c r="J744">
        <v>2018</v>
      </c>
      <c r="K744" s="4" t="str">
        <f>HYPERLINK("http://legacy.baseballprospectus.com/fantasy/dc/index.php?tm=BAL","BAL")</f>
        <v>BAL</v>
      </c>
      <c r="L744" t="s">
        <v>95</v>
      </c>
      <c r="M744" t="s">
        <v>34</v>
      </c>
      <c r="N744">
        <v>21</v>
      </c>
      <c r="O744">
        <v>29</v>
      </c>
      <c r="P744">
        <v>9</v>
      </c>
      <c r="Q744">
        <v>28</v>
      </c>
      <c r="R744">
        <v>3</v>
      </c>
      <c r="S744">
        <v>4</v>
      </c>
      <c r="T744">
        <v>2</v>
      </c>
      <c r="U744">
        <v>0</v>
      </c>
      <c r="V744">
        <v>1</v>
      </c>
      <c r="W744">
        <v>7</v>
      </c>
      <c r="X744">
        <v>12</v>
      </c>
      <c r="Y744">
        <v>3</v>
      </c>
      <c r="Z744">
        <v>1</v>
      </c>
      <c r="AA744">
        <v>0</v>
      </c>
      <c r="AB744">
        <v>0</v>
      </c>
      <c r="AC744">
        <v>7</v>
      </c>
      <c r="AD744">
        <v>0</v>
      </c>
      <c r="AE744">
        <v>0</v>
      </c>
      <c r="AF744">
        <v>1</v>
      </c>
      <c r="AG744">
        <v>0</v>
      </c>
      <c r="AH744">
        <v>0</v>
      </c>
      <c r="AI744" s="5">
        <v>0.25</v>
      </c>
      <c r="AJ744" s="5">
        <v>0.27600000000000002</v>
      </c>
      <c r="AK744" s="5">
        <v>0.42899999999999999</v>
      </c>
      <c r="AL744" s="5">
        <v>0.222</v>
      </c>
      <c r="AM744" s="5">
        <v>0.28799999999999998</v>
      </c>
      <c r="AN744">
        <v>-0.1</v>
      </c>
      <c r="AO744">
        <v>0.03</v>
      </c>
      <c r="AP744">
        <v>0.78</v>
      </c>
      <c r="AQ744">
        <v>-1.1499999999999999</v>
      </c>
      <c r="AR744">
        <v>-0.2</v>
      </c>
      <c r="AS744" t="s">
        <v>1327</v>
      </c>
      <c r="AT744">
        <v>-0.1</v>
      </c>
      <c r="AU744">
        <v>-0.4</v>
      </c>
      <c r="AV744">
        <v>4</v>
      </c>
      <c r="AW744">
        <v>5</v>
      </c>
      <c r="AX744">
        <v>3</v>
      </c>
      <c r="AY744">
        <v>24</v>
      </c>
      <c r="AZ744" t="s">
        <v>4673</v>
      </c>
      <c r="BA744">
        <v>29</v>
      </c>
      <c r="BB744" t="s">
        <v>35</v>
      </c>
      <c r="BC744" t="s">
        <v>35</v>
      </c>
      <c r="BD744" s="4">
        <f>HYPERLINK("http://mlb.mlb.com/team/player.jsp?player_id=663624",663624)</f>
        <v>663624</v>
      </c>
      <c r="BE744">
        <v>530</v>
      </c>
      <c r="BF744">
        <v>1530</v>
      </c>
      <c r="BG744">
        <v>0</v>
      </c>
      <c r="BH744">
        <v>0</v>
      </c>
    </row>
    <row r="745" spans="1:60" x14ac:dyDescent="0.3">
      <c r="A745" s="4">
        <f>HYPERLINK("http://legacy.baseballprospectus.com/p/1358",1358)</f>
        <v>1358</v>
      </c>
      <c r="B745" t="s">
        <v>164</v>
      </c>
      <c r="C745" t="s">
        <v>165</v>
      </c>
      <c r="D745" s="10">
        <v>28239</v>
      </c>
      <c r="E745" t="s">
        <v>59</v>
      </c>
      <c r="F745" t="s">
        <v>37</v>
      </c>
      <c r="G745" t="s">
        <v>33</v>
      </c>
      <c r="H745">
        <v>73</v>
      </c>
      <c r="I745">
        <v>215</v>
      </c>
      <c r="J745">
        <v>2018</v>
      </c>
      <c r="K745" s="4" t="str">
        <f>HYPERLINK("http://legacy.baseballprospectus.com/fantasy/dc/index.php?tm=HOU","HOU")</f>
        <v>HOU</v>
      </c>
      <c r="L745" t="s">
        <v>95</v>
      </c>
      <c r="M745" t="s">
        <v>34</v>
      </c>
      <c r="N745">
        <v>41</v>
      </c>
      <c r="O745">
        <v>495</v>
      </c>
      <c r="P745" t="s">
        <v>1680</v>
      </c>
      <c r="Q745">
        <v>454</v>
      </c>
      <c r="R745">
        <v>53</v>
      </c>
      <c r="S745">
        <v>70</v>
      </c>
      <c r="T745">
        <v>26</v>
      </c>
      <c r="U745">
        <v>1</v>
      </c>
      <c r="V745">
        <v>17</v>
      </c>
      <c r="W745">
        <v>114</v>
      </c>
      <c r="X745">
        <v>193</v>
      </c>
      <c r="Y745">
        <v>63</v>
      </c>
      <c r="Z745">
        <v>35</v>
      </c>
      <c r="AA745">
        <v>1</v>
      </c>
      <c r="AB745">
        <v>2</v>
      </c>
      <c r="AC745">
        <v>95</v>
      </c>
      <c r="AD745">
        <v>0</v>
      </c>
      <c r="AE745">
        <v>4</v>
      </c>
      <c r="AF745">
        <v>15</v>
      </c>
      <c r="AG745">
        <v>1</v>
      </c>
      <c r="AH745">
        <v>0</v>
      </c>
      <c r="AI745" s="5">
        <v>0.251</v>
      </c>
      <c r="AJ745" s="5">
        <v>0.30499999999999999</v>
      </c>
      <c r="AK745" s="5">
        <v>0.42199999999999999</v>
      </c>
      <c r="AL745" s="5">
        <v>0.24199999999999999</v>
      </c>
      <c r="AM745" s="5">
        <v>0.28100000000000003</v>
      </c>
      <c r="AN745">
        <v>-1.4</v>
      </c>
      <c r="AO745">
        <v>-0.85</v>
      </c>
      <c r="AP745">
        <v>13.86</v>
      </c>
      <c r="AQ745">
        <v>-9.1300000000000008</v>
      </c>
      <c r="AR745">
        <v>-3</v>
      </c>
      <c r="AS745" t="s">
        <v>4071</v>
      </c>
      <c r="AT745">
        <v>-0.1</v>
      </c>
      <c r="AU745">
        <v>2.5</v>
      </c>
      <c r="AV745">
        <v>0</v>
      </c>
      <c r="AW745">
        <v>15</v>
      </c>
      <c r="AX745">
        <v>8</v>
      </c>
      <c r="AY745">
        <v>21</v>
      </c>
      <c r="AZ745" t="s">
        <v>4363</v>
      </c>
      <c r="BA745">
        <v>54</v>
      </c>
      <c r="BB745" t="s">
        <v>36</v>
      </c>
      <c r="BC745" t="s">
        <v>36</v>
      </c>
      <c r="BD745" s="4">
        <f>HYPERLINK("http://mlb.mlb.com/team/player.jsp?player_id=136860",136860)</f>
        <v>136860</v>
      </c>
      <c r="BE745">
        <v>0</v>
      </c>
      <c r="BF745">
        <v>0</v>
      </c>
      <c r="BG745">
        <v>509</v>
      </c>
      <c r="BH745">
        <v>467</v>
      </c>
    </row>
    <row r="746" spans="1:60" x14ac:dyDescent="0.3">
      <c r="A746" s="4">
        <f>HYPERLINK("http://legacy.baseballprospectus.com/p/52240",52240)</f>
        <v>52240</v>
      </c>
      <c r="B746" t="s">
        <v>445</v>
      </c>
      <c r="C746" t="s">
        <v>234</v>
      </c>
      <c r="D746" s="10">
        <v>30956</v>
      </c>
      <c r="E746" t="s">
        <v>51</v>
      </c>
      <c r="F746" t="s">
        <v>33</v>
      </c>
      <c r="G746" t="s">
        <v>33</v>
      </c>
      <c r="H746">
        <v>75</v>
      </c>
      <c r="I746">
        <v>225</v>
      </c>
      <c r="J746">
        <v>2018</v>
      </c>
      <c r="K746" s="4" t="str">
        <f>HYPERLINK("http://legacy.baseballprospectus.com/fantasy/dc/index.php?tm=BAL","BAL")</f>
        <v>BAL</v>
      </c>
      <c r="L746" t="s">
        <v>95</v>
      </c>
      <c r="M746" t="s">
        <v>34</v>
      </c>
      <c r="N746">
        <v>33</v>
      </c>
      <c r="O746">
        <v>250</v>
      </c>
      <c r="P746" t="s">
        <v>1680</v>
      </c>
      <c r="Q746">
        <v>234</v>
      </c>
      <c r="R746">
        <v>25</v>
      </c>
      <c r="S746">
        <v>43</v>
      </c>
      <c r="T746">
        <v>12</v>
      </c>
      <c r="U746">
        <v>0</v>
      </c>
      <c r="V746">
        <v>7</v>
      </c>
      <c r="W746">
        <v>62</v>
      </c>
      <c r="X746">
        <v>95</v>
      </c>
      <c r="Y746">
        <v>29</v>
      </c>
      <c r="Z746">
        <v>14</v>
      </c>
      <c r="AA746">
        <v>1</v>
      </c>
      <c r="AB746">
        <v>1</v>
      </c>
      <c r="AC746">
        <v>66</v>
      </c>
      <c r="AD746">
        <v>0</v>
      </c>
      <c r="AE746">
        <v>1</v>
      </c>
      <c r="AF746">
        <v>9</v>
      </c>
      <c r="AG746">
        <v>1</v>
      </c>
      <c r="AH746">
        <v>0</v>
      </c>
      <c r="AI746" s="5">
        <v>0.26200000000000001</v>
      </c>
      <c r="AJ746" s="5">
        <v>0.30399999999999999</v>
      </c>
      <c r="AK746" s="5">
        <v>0.39900000000000002</v>
      </c>
      <c r="AL746" s="5">
        <v>0.23400000000000001</v>
      </c>
      <c r="AM746" s="5">
        <v>0.33500000000000002</v>
      </c>
      <c r="AN746">
        <v>-0.4</v>
      </c>
      <c r="AO746">
        <v>1.06</v>
      </c>
      <c r="AP746">
        <v>7</v>
      </c>
      <c r="AQ746">
        <v>-6.96</v>
      </c>
      <c r="AR746">
        <v>-2</v>
      </c>
      <c r="AS746" t="s">
        <v>1796</v>
      </c>
      <c r="AT746">
        <v>-0.1</v>
      </c>
      <c r="AU746">
        <v>0.7</v>
      </c>
      <c r="AV746">
        <v>3</v>
      </c>
      <c r="AW746">
        <v>31</v>
      </c>
      <c r="AX746">
        <v>17</v>
      </c>
      <c r="AY746">
        <v>26</v>
      </c>
      <c r="AZ746" t="s">
        <v>4533</v>
      </c>
      <c r="BA746">
        <v>81</v>
      </c>
      <c r="BB746" t="s">
        <v>36</v>
      </c>
      <c r="BC746" t="s">
        <v>36</v>
      </c>
      <c r="BD746" s="4">
        <f>HYPERLINK("http://mlb.mlb.com/team/player.jsp?player_id=453400",453400)</f>
        <v>453400</v>
      </c>
      <c r="BE746">
        <v>0</v>
      </c>
      <c r="BF746">
        <v>0</v>
      </c>
      <c r="BG746">
        <v>0</v>
      </c>
      <c r="BH746">
        <v>0</v>
      </c>
    </row>
    <row r="747" spans="1:60" x14ac:dyDescent="0.3">
      <c r="A747" s="4">
        <f>HYPERLINK("http://legacy.baseballprospectus.com/p/58394",58394)</f>
        <v>58394</v>
      </c>
      <c r="B747" t="s">
        <v>4453</v>
      </c>
      <c r="C747" t="s">
        <v>255</v>
      </c>
      <c r="D747" s="10">
        <v>32406</v>
      </c>
      <c r="E747" t="s">
        <v>58</v>
      </c>
      <c r="F747" t="s">
        <v>37</v>
      </c>
      <c r="G747" t="s">
        <v>33</v>
      </c>
      <c r="H747">
        <v>72</v>
      </c>
      <c r="I747">
        <v>195</v>
      </c>
      <c r="J747">
        <v>2018</v>
      </c>
      <c r="K747" s="4" t="str">
        <f>HYPERLINK("http://legacy.baseballprospectus.com/fantasy/dc/index.php?tm=MIA","MIA")</f>
        <v>MIA</v>
      </c>
      <c r="L747" t="s">
        <v>100</v>
      </c>
      <c r="M747" t="s">
        <v>34</v>
      </c>
      <c r="N747">
        <v>29</v>
      </c>
      <c r="O747">
        <v>250</v>
      </c>
      <c r="P747" t="s">
        <v>1680</v>
      </c>
      <c r="Q747">
        <v>228</v>
      </c>
      <c r="R747">
        <v>28</v>
      </c>
      <c r="S747">
        <v>44</v>
      </c>
      <c r="T747">
        <v>9</v>
      </c>
      <c r="U747">
        <v>1</v>
      </c>
      <c r="V747">
        <v>3</v>
      </c>
      <c r="W747">
        <v>57</v>
      </c>
      <c r="X747">
        <v>77</v>
      </c>
      <c r="Y747">
        <v>20</v>
      </c>
      <c r="Z747">
        <v>17</v>
      </c>
      <c r="AA747">
        <v>1</v>
      </c>
      <c r="AB747">
        <v>1</v>
      </c>
      <c r="AC747">
        <v>40</v>
      </c>
      <c r="AD747">
        <v>2</v>
      </c>
      <c r="AE747">
        <v>2</v>
      </c>
      <c r="AF747">
        <v>7</v>
      </c>
      <c r="AG747">
        <v>4</v>
      </c>
      <c r="AH747">
        <v>2</v>
      </c>
      <c r="AI747" s="5">
        <v>0.251</v>
      </c>
      <c r="AJ747" s="5">
        <v>0.30299999999999999</v>
      </c>
      <c r="AK747" s="5">
        <v>0.34100000000000003</v>
      </c>
      <c r="AL747" s="5">
        <v>0.22</v>
      </c>
      <c r="AM747" s="5">
        <v>0.28499999999999998</v>
      </c>
      <c r="AN747">
        <v>0</v>
      </c>
      <c r="AO747">
        <v>2.88</v>
      </c>
      <c r="AP747">
        <v>7</v>
      </c>
      <c r="AQ747">
        <v>-10.61</v>
      </c>
      <c r="AR747">
        <v>0.3</v>
      </c>
      <c r="AS747" t="s">
        <v>4454</v>
      </c>
      <c r="AT747">
        <v>-0.1</v>
      </c>
      <c r="AU747">
        <v>-0.8</v>
      </c>
      <c r="AV747">
        <v>3</v>
      </c>
      <c r="AW747">
        <v>15</v>
      </c>
      <c r="AX747">
        <v>11</v>
      </c>
      <c r="AY747">
        <v>20</v>
      </c>
      <c r="AZ747" t="s">
        <v>4455</v>
      </c>
      <c r="BA747">
        <v>39</v>
      </c>
      <c r="BB747" t="s">
        <v>36</v>
      </c>
      <c r="BC747" t="s">
        <v>36</v>
      </c>
      <c r="BD747" s="4">
        <f>HYPERLINK("http://mlb.mlb.com/team/player.jsp?player_id=543459",543459)</f>
        <v>543459</v>
      </c>
      <c r="BE747">
        <v>0</v>
      </c>
      <c r="BF747">
        <v>0</v>
      </c>
      <c r="BG747">
        <v>8</v>
      </c>
      <c r="BH747">
        <v>8</v>
      </c>
    </row>
    <row r="748" spans="1:60" x14ac:dyDescent="0.3">
      <c r="A748" s="4">
        <f>HYPERLINK("http://legacy.baseballprospectus.com/p/59285",59285)</f>
        <v>59285</v>
      </c>
      <c r="B748" t="s">
        <v>389</v>
      </c>
      <c r="C748" t="s">
        <v>390</v>
      </c>
      <c r="D748" s="10">
        <v>32047</v>
      </c>
      <c r="E748" t="s">
        <v>51</v>
      </c>
      <c r="F748" t="s">
        <v>33</v>
      </c>
      <c r="G748" t="s">
        <v>33</v>
      </c>
      <c r="H748">
        <v>75</v>
      </c>
      <c r="I748">
        <v>180</v>
      </c>
      <c r="J748">
        <v>2018</v>
      </c>
      <c r="K748" s="4" t="str">
        <f>HYPERLINK("http://legacy.baseballprospectus.com/fantasy/dc/index.php?tm=MIA","MIA")</f>
        <v>MIA</v>
      </c>
      <c r="L748" t="s">
        <v>100</v>
      </c>
      <c r="M748" t="s">
        <v>34</v>
      </c>
      <c r="N748">
        <v>30</v>
      </c>
      <c r="O748">
        <v>250</v>
      </c>
      <c r="P748" t="s">
        <v>1680</v>
      </c>
      <c r="Q748">
        <v>232</v>
      </c>
      <c r="R748">
        <v>24</v>
      </c>
      <c r="S748">
        <v>42</v>
      </c>
      <c r="T748">
        <v>11</v>
      </c>
      <c r="U748">
        <v>1</v>
      </c>
      <c r="V748">
        <v>5</v>
      </c>
      <c r="W748">
        <v>59</v>
      </c>
      <c r="X748">
        <v>87</v>
      </c>
      <c r="Y748">
        <v>27</v>
      </c>
      <c r="Z748">
        <v>14</v>
      </c>
      <c r="AA748">
        <v>1</v>
      </c>
      <c r="AB748">
        <v>1</v>
      </c>
      <c r="AC748">
        <v>56</v>
      </c>
      <c r="AD748">
        <v>1</v>
      </c>
      <c r="AE748">
        <v>2</v>
      </c>
      <c r="AF748">
        <v>7</v>
      </c>
      <c r="AG748">
        <v>1</v>
      </c>
      <c r="AH748">
        <v>1</v>
      </c>
      <c r="AI748" s="5">
        <v>0.25900000000000001</v>
      </c>
      <c r="AJ748" s="5">
        <v>0.30299999999999999</v>
      </c>
      <c r="AK748" s="5">
        <v>0.38600000000000001</v>
      </c>
      <c r="AL748" s="5">
        <v>0.23499999999999999</v>
      </c>
      <c r="AM748" s="5">
        <v>0.316</v>
      </c>
      <c r="AN748">
        <v>-0.5</v>
      </c>
      <c r="AO748">
        <v>1.4</v>
      </c>
      <c r="AP748">
        <v>7</v>
      </c>
      <c r="AQ748">
        <v>-6.62</v>
      </c>
      <c r="AR748">
        <v>-2.5</v>
      </c>
      <c r="AS748" t="s">
        <v>1936</v>
      </c>
      <c r="AT748">
        <v>-0.1</v>
      </c>
      <c r="AU748">
        <v>1.2</v>
      </c>
      <c r="AV748">
        <v>0</v>
      </c>
      <c r="AW748">
        <v>4</v>
      </c>
      <c r="AX748">
        <v>6</v>
      </c>
      <c r="AY748">
        <v>13</v>
      </c>
      <c r="AZ748" t="s">
        <v>4537</v>
      </c>
      <c r="BA748">
        <v>22</v>
      </c>
      <c r="BB748" t="s">
        <v>36</v>
      </c>
      <c r="BC748" t="s">
        <v>36</v>
      </c>
      <c r="BD748" s="4">
        <f>HYPERLINK("http://mlb.mlb.com/team/player.jsp?player_id=502205",502205)</f>
        <v>502205</v>
      </c>
      <c r="BE748">
        <v>0</v>
      </c>
      <c r="BF748">
        <v>0</v>
      </c>
      <c r="BG748">
        <v>3</v>
      </c>
      <c r="BH748">
        <v>3</v>
      </c>
    </row>
    <row r="749" spans="1:60" x14ac:dyDescent="0.3">
      <c r="A749" s="4">
        <f>HYPERLINK("http://legacy.baseballprospectus.com/p/59319",59319)</f>
        <v>59319</v>
      </c>
      <c r="B749" t="s">
        <v>616</v>
      </c>
      <c r="C749" t="s">
        <v>225</v>
      </c>
      <c r="D749" s="10">
        <v>32283</v>
      </c>
      <c r="E749" t="s">
        <v>54</v>
      </c>
      <c r="F749" t="s">
        <v>33</v>
      </c>
      <c r="G749" t="s">
        <v>33</v>
      </c>
      <c r="H749">
        <v>71</v>
      </c>
      <c r="I749">
        <v>220</v>
      </c>
      <c r="J749">
        <v>2018</v>
      </c>
      <c r="K749" s="4" t="str">
        <f>HYPERLINK("http://legacy.baseballprospectus.com/fantasy/dc/index.php?tm=ATL","ATL")</f>
        <v>ATL</v>
      </c>
      <c r="L749" t="s">
        <v>100</v>
      </c>
      <c r="M749" t="s">
        <v>34</v>
      </c>
      <c r="N749">
        <v>30</v>
      </c>
      <c r="O749">
        <v>250</v>
      </c>
      <c r="P749" t="s">
        <v>1680</v>
      </c>
      <c r="Q749">
        <v>219</v>
      </c>
      <c r="R749">
        <v>27</v>
      </c>
      <c r="S749">
        <v>31</v>
      </c>
      <c r="T749">
        <v>12</v>
      </c>
      <c r="U749">
        <v>0</v>
      </c>
      <c r="V749">
        <v>7</v>
      </c>
      <c r="W749">
        <v>50</v>
      </c>
      <c r="X749">
        <v>83</v>
      </c>
      <c r="Y749">
        <v>27</v>
      </c>
      <c r="Z749">
        <v>24</v>
      </c>
      <c r="AA749">
        <v>1</v>
      </c>
      <c r="AB749">
        <v>4</v>
      </c>
      <c r="AC749">
        <v>64</v>
      </c>
      <c r="AD749">
        <v>1</v>
      </c>
      <c r="AE749">
        <v>2</v>
      </c>
      <c r="AF749">
        <v>7</v>
      </c>
      <c r="AG749">
        <v>1</v>
      </c>
      <c r="AH749">
        <v>1</v>
      </c>
      <c r="AI749" s="5">
        <v>0.22800000000000001</v>
      </c>
      <c r="AJ749" s="5">
        <v>0.314</v>
      </c>
      <c r="AK749" s="5">
        <v>0.377</v>
      </c>
      <c r="AL749" s="5">
        <v>0.23599999999999999</v>
      </c>
      <c r="AM749" s="5">
        <v>0.28599999999999998</v>
      </c>
      <c r="AN749">
        <v>-0.6</v>
      </c>
      <c r="AO749">
        <v>5.48</v>
      </c>
      <c r="AP749">
        <v>7</v>
      </c>
      <c r="AQ749">
        <v>-6.34</v>
      </c>
      <c r="AR749">
        <v>-6.8</v>
      </c>
      <c r="AS749" t="s">
        <v>4456</v>
      </c>
      <c r="AT749">
        <v>-0.1</v>
      </c>
      <c r="AU749">
        <v>5.5</v>
      </c>
      <c r="AV749">
        <v>4</v>
      </c>
      <c r="AW749">
        <v>16</v>
      </c>
      <c r="AX749">
        <v>1</v>
      </c>
      <c r="AY749">
        <v>13</v>
      </c>
      <c r="AZ749" t="s">
        <v>4457</v>
      </c>
      <c r="BA749">
        <v>32</v>
      </c>
      <c r="BB749" t="s">
        <v>36</v>
      </c>
      <c r="BC749" t="s">
        <v>36</v>
      </c>
      <c r="BD749" s="4">
        <f>HYPERLINK("http://mlb.mlb.com/team/player.jsp?player_id=506997",506997)</f>
        <v>506997</v>
      </c>
      <c r="BE749">
        <v>0</v>
      </c>
      <c r="BF749">
        <v>0</v>
      </c>
      <c r="BG749">
        <v>1</v>
      </c>
      <c r="BH749">
        <v>1</v>
      </c>
    </row>
    <row r="750" spans="1:60" x14ac:dyDescent="0.3">
      <c r="A750" s="4">
        <f>HYPERLINK("http://legacy.baseballprospectus.com/p/66299",66299)</f>
        <v>66299</v>
      </c>
      <c r="B750" t="s">
        <v>1085</v>
      </c>
      <c r="C750" t="s">
        <v>808</v>
      </c>
      <c r="D750" s="10">
        <v>33459</v>
      </c>
      <c r="E750" t="s">
        <v>57</v>
      </c>
      <c r="F750" t="s">
        <v>9</v>
      </c>
      <c r="G750" t="s">
        <v>33</v>
      </c>
      <c r="H750">
        <v>79</v>
      </c>
      <c r="I750">
        <v>260</v>
      </c>
      <c r="J750">
        <v>2018</v>
      </c>
      <c r="K750" s="4" t="str">
        <f>HYPERLINK("http://legacy.baseballprospectus.com/fantasy/dc/index.php?tm=DET","DET")</f>
        <v>DET</v>
      </c>
      <c r="L750" t="s">
        <v>95</v>
      </c>
      <c r="M750" t="s">
        <v>34</v>
      </c>
      <c r="N750">
        <v>26</v>
      </c>
      <c r="O750">
        <v>250</v>
      </c>
      <c r="P750" t="s">
        <v>1680</v>
      </c>
      <c r="Q750">
        <v>235</v>
      </c>
      <c r="R750">
        <v>30</v>
      </c>
      <c r="S750">
        <v>30</v>
      </c>
      <c r="T750">
        <v>11</v>
      </c>
      <c r="U750">
        <v>1</v>
      </c>
      <c r="V750">
        <v>13</v>
      </c>
      <c r="W750">
        <v>55</v>
      </c>
      <c r="X750">
        <v>107</v>
      </c>
      <c r="Y750">
        <v>38</v>
      </c>
      <c r="Z750">
        <v>12</v>
      </c>
      <c r="AA750">
        <v>1</v>
      </c>
      <c r="AB750">
        <v>1</v>
      </c>
      <c r="AC750">
        <v>81</v>
      </c>
      <c r="AD750">
        <v>0</v>
      </c>
      <c r="AE750">
        <v>1</v>
      </c>
      <c r="AF750">
        <v>6</v>
      </c>
      <c r="AG750">
        <v>2</v>
      </c>
      <c r="AH750">
        <v>1</v>
      </c>
      <c r="AI750" s="5">
        <v>0.23799999999999999</v>
      </c>
      <c r="AJ750" s="5">
        <v>0.27800000000000002</v>
      </c>
      <c r="AK750" s="5">
        <v>0.46600000000000003</v>
      </c>
      <c r="AL750" s="5">
        <v>0.23799999999999999</v>
      </c>
      <c r="AM750" s="5">
        <v>0.3</v>
      </c>
      <c r="AN750">
        <v>-0.1</v>
      </c>
      <c r="AO750">
        <v>-0.22</v>
      </c>
      <c r="AP750">
        <v>7</v>
      </c>
      <c r="AQ750">
        <v>-5.85</v>
      </c>
      <c r="AR750">
        <v>-1.4</v>
      </c>
      <c r="AS750" t="s">
        <v>78</v>
      </c>
      <c r="AT750">
        <v>-0.1</v>
      </c>
      <c r="AU750">
        <v>0.8</v>
      </c>
      <c r="AV750">
        <v>8</v>
      </c>
      <c r="AW750">
        <v>12</v>
      </c>
      <c r="AX750">
        <v>11</v>
      </c>
      <c r="AY750">
        <v>21</v>
      </c>
      <c r="AZ750" t="s">
        <v>4458</v>
      </c>
      <c r="BA750">
        <v>30</v>
      </c>
      <c r="BB750" t="s">
        <v>36</v>
      </c>
      <c r="BC750" t="s">
        <v>35</v>
      </c>
      <c r="BD750" s="4">
        <f>HYPERLINK("http://mlb.mlb.com/team/player.jsp?player_id=570615",570615)</f>
        <v>570615</v>
      </c>
      <c r="BE750">
        <v>0</v>
      </c>
      <c r="BF750">
        <v>0</v>
      </c>
      <c r="BG750">
        <v>0</v>
      </c>
      <c r="BH750">
        <v>0</v>
      </c>
    </row>
    <row r="751" spans="1:60" x14ac:dyDescent="0.3">
      <c r="A751" s="4">
        <f>HYPERLINK("http://legacy.baseballprospectus.com/p/68318",68318)</f>
        <v>68318</v>
      </c>
      <c r="B751" t="s">
        <v>1250</v>
      </c>
      <c r="C751" t="s">
        <v>192</v>
      </c>
      <c r="D751" s="10">
        <v>33069</v>
      </c>
      <c r="E751" t="s">
        <v>50</v>
      </c>
      <c r="F751" t="s">
        <v>33</v>
      </c>
      <c r="G751" t="s">
        <v>33</v>
      </c>
      <c r="H751">
        <v>76</v>
      </c>
      <c r="I751">
        <v>235</v>
      </c>
      <c r="J751">
        <v>2018</v>
      </c>
      <c r="K751" s="4" t="str">
        <f>HYPERLINK("http://legacy.baseballprospectus.com/fantasy/dc/index.php?tm=LAN","LAN")</f>
        <v>LAN</v>
      </c>
      <c r="L751" t="s">
        <v>100</v>
      </c>
      <c r="M751" t="s">
        <v>34</v>
      </c>
      <c r="N751">
        <v>27</v>
      </c>
      <c r="O751">
        <v>250</v>
      </c>
      <c r="P751" t="s">
        <v>1680</v>
      </c>
      <c r="Q751">
        <v>230</v>
      </c>
      <c r="R751">
        <v>28</v>
      </c>
      <c r="S751">
        <v>24</v>
      </c>
      <c r="T751">
        <v>10</v>
      </c>
      <c r="U751">
        <v>1</v>
      </c>
      <c r="V751">
        <v>13</v>
      </c>
      <c r="W751">
        <v>48</v>
      </c>
      <c r="X751">
        <v>99</v>
      </c>
      <c r="Y751">
        <v>36</v>
      </c>
      <c r="Z751">
        <v>16</v>
      </c>
      <c r="AA751">
        <v>1</v>
      </c>
      <c r="AB751">
        <v>2</v>
      </c>
      <c r="AC751">
        <v>91</v>
      </c>
      <c r="AD751">
        <v>0</v>
      </c>
      <c r="AE751">
        <v>1</v>
      </c>
      <c r="AF751">
        <v>5</v>
      </c>
      <c r="AG751">
        <v>0</v>
      </c>
      <c r="AH751">
        <v>0</v>
      </c>
      <c r="AI751" s="5">
        <v>0.20799999999999999</v>
      </c>
      <c r="AJ751" s="5">
        <v>0.26500000000000001</v>
      </c>
      <c r="AK751" s="5">
        <v>0.42799999999999999</v>
      </c>
      <c r="AL751" s="5">
        <v>0.23499999999999999</v>
      </c>
      <c r="AM751" s="5">
        <v>0.27400000000000002</v>
      </c>
      <c r="AN751">
        <v>-0.3</v>
      </c>
      <c r="AO751">
        <v>-0.62</v>
      </c>
      <c r="AP751">
        <v>7</v>
      </c>
      <c r="AQ751">
        <v>-6.63</v>
      </c>
      <c r="AR751">
        <v>-0.4</v>
      </c>
      <c r="AS751" t="s">
        <v>4461</v>
      </c>
      <c r="AT751">
        <v>-0.1</v>
      </c>
      <c r="AU751">
        <v>-0.5</v>
      </c>
      <c r="AV751">
        <v>0</v>
      </c>
      <c r="AW751">
        <v>9</v>
      </c>
      <c r="AX751">
        <v>5</v>
      </c>
      <c r="AY751">
        <v>11</v>
      </c>
      <c r="AZ751" t="s">
        <v>4462</v>
      </c>
      <c r="BA751">
        <v>24</v>
      </c>
      <c r="BB751" t="s">
        <v>36</v>
      </c>
      <c r="BC751" t="s">
        <v>35</v>
      </c>
      <c r="BD751" s="4">
        <f>HYPERLINK("http://mlb.mlb.com/team/player.jsp?player_id=598284",598284)</f>
        <v>598284</v>
      </c>
      <c r="BE751">
        <v>0</v>
      </c>
      <c r="BF751">
        <v>0</v>
      </c>
      <c r="BG751">
        <v>0</v>
      </c>
      <c r="BH751">
        <v>0</v>
      </c>
    </row>
    <row r="752" spans="1:60" x14ac:dyDescent="0.3">
      <c r="A752" s="4">
        <f>HYPERLINK("http://legacy.baseballprospectus.com/p/69886",69886)</f>
        <v>69886</v>
      </c>
      <c r="B752" t="s">
        <v>482</v>
      </c>
      <c r="C752" t="s">
        <v>354</v>
      </c>
      <c r="D752" s="10">
        <v>32052</v>
      </c>
      <c r="E752" t="s">
        <v>54</v>
      </c>
      <c r="F752" t="s">
        <v>9</v>
      </c>
      <c r="G752" t="s">
        <v>33</v>
      </c>
      <c r="H752">
        <v>69</v>
      </c>
      <c r="I752">
        <v>200</v>
      </c>
      <c r="J752">
        <v>2018</v>
      </c>
      <c r="K752" s="4" t="str">
        <f>HYPERLINK("http://legacy.baseballprospectus.com/fantasy/dc/index.php?tm=SDN","SDN")</f>
        <v>SDN</v>
      </c>
      <c r="L752" t="s">
        <v>95</v>
      </c>
      <c r="M752" t="s">
        <v>34</v>
      </c>
      <c r="N752">
        <v>30</v>
      </c>
      <c r="O752">
        <v>250</v>
      </c>
      <c r="P752" t="s">
        <v>1680</v>
      </c>
      <c r="Q752">
        <v>221</v>
      </c>
      <c r="R752">
        <v>28</v>
      </c>
      <c r="S752">
        <v>34</v>
      </c>
      <c r="T752">
        <v>10</v>
      </c>
      <c r="U752">
        <v>1</v>
      </c>
      <c r="V752">
        <v>7</v>
      </c>
      <c r="W752">
        <v>52</v>
      </c>
      <c r="X752">
        <v>85</v>
      </c>
      <c r="Y752">
        <v>28</v>
      </c>
      <c r="Z752">
        <v>25</v>
      </c>
      <c r="AA752">
        <v>2</v>
      </c>
      <c r="AB752">
        <v>2</v>
      </c>
      <c r="AC752">
        <v>65</v>
      </c>
      <c r="AD752">
        <v>1</v>
      </c>
      <c r="AE752">
        <v>1</v>
      </c>
      <c r="AF752">
        <v>6</v>
      </c>
      <c r="AG752">
        <v>0</v>
      </c>
      <c r="AH752">
        <v>0</v>
      </c>
      <c r="AI752" s="5">
        <v>0.23499999999999999</v>
      </c>
      <c r="AJ752" s="5">
        <v>0.318</v>
      </c>
      <c r="AK752" s="5">
        <v>0.38300000000000001</v>
      </c>
      <c r="AL752" s="5">
        <v>0.23699999999999999</v>
      </c>
      <c r="AM752" s="5">
        <v>0.29799999999999999</v>
      </c>
      <c r="AN752">
        <v>-0.4</v>
      </c>
      <c r="AO752">
        <v>5.32</v>
      </c>
      <c r="AP752">
        <v>7</v>
      </c>
      <c r="AQ752">
        <v>-5.97</v>
      </c>
      <c r="AR752">
        <v>-6.8</v>
      </c>
      <c r="AS752" t="s">
        <v>4463</v>
      </c>
      <c r="AT752">
        <v>-0.1</v>
      </c>
      <c r="AU752">
        <v>6</v>
      </c>
      <c r="AV752">
        <v>5</v>
      </c>
      <c r="AW752">
        <v>14</v>
      </c>
      <c r="AX752">
        <v>1</v>
      </c>
      <c r="AY752">
        <v>11</v>
      </c>
      <c r="AZ752" t="s">
        <v>4464</v>
      </c>
      <c r="BA752">
        <v>29</v>
      </c>
      <c r="BB752" t="s">
        <v>36</v>
      </c>
      <c r="BC752" t="s">
        <v>35</v>
      </c>
      <c r="BD752" s="4">
        <f>HYPERLINK("http://mlb.mlb.com/team/player.jsp?player_id=607257",607257)</f>
        <v>607257</v>
      </c>
      <c r="BE752">
        <v>0</v>
      </c>
      <c r="BF752">
        <v>0</v>
      </c>
      <c r="BG752">
        <v>63</v>
      </c>
      <c r="BH752">
        <v>54</v>
      </c>
    </row>
    <row r="753" spans="1:60" x14ac:dyDescent="0.3">
      <c r="A753" s="4">
        <f>HYPERLINK("http://legacy.baseballprospectus.com/p/101262",101262)</f>
        <v>101262</v>
      </c>
      <c r="B753" t="s">
        <v>1138</v>
      </c>
      <c r="C753" t="s">
        <v>767</v>
      </c>
      <c r="D753" s="10">
        <v>32864</v>
      </c>
      <c r="E753" t="s">
        <v>57</v>
      </c>
      <c r="F753" t="s">
        <v>33</v>
      </c>
      <c r="G753" t="s">
        <v>33</v>
      </c>
      <c r="H753">
        <v>74</v>
      </c>
      <c r="I753">
        <v>223</v>
      </c>
      <c r="J753">
        <v>2018</v>
      </c>
      <c r="K753" s="4" t="str">
        <f>HYPERLINK("http://legacy.baseballprospectus.com/fantasy/dc/index.php?tm=CIN","CIN")</f>
        <v>CIN</v>
      </c>
      <c r="L753" t="s">
        <v>100</v>
      </c>
      <c r="M753" t="s">
        <v>34</v>
      </c>
      <c r="N753">
        <v>28</v>
      </c>
      <c r="O753">
        <v>250</v>
      </c>
      <c r="P753" t="s">
        <v>1680</v>
      </c>
      <c r="Q753">
        <v>226</v>
      </c>
      <c r="R753">
        <v>29</v>
      </c>
      <c r="S753">
        <v>30</v>
      </c>
      <c r="T753">
        <v>9</v>
      </c>
      <c r="U753">
        <v>1</v>
      </c>
      <c r="V753">
        <v>11</v>
      </c>
      <c r="W753">
        <v>51</v>
      </c>
      <c r="X753">
        <v>95</v>
      </c>
      <c r="Y753">
        <v>33</v>
      </c>
      <c r="Z753">
        <v>19</v>
      </c>
      <c r="AA753">
        <v>1</v>
      </c>
      <c r="AB753">
        <v>3</v>
      </c>
      <c r="AC753">
        <v>74</v>
      </c>
      <c r="AD753">
        <v>0</v>
      </c>
      <c r="AE753">
        <v>1</v>
      </c>
      <c r="AF753">
        <v>6</v>
      </c>
      <c r="AG753">
        <v>3</v>
      </c>
      <c r="AH753">
        <v>2</v>
      </c>
      <c r="AI753" s="5">
        <v>0.22500000000000001</v>
      </c>
      <c r="AJ753" s="5">
        <v>0.29299999999999998</v>
      </c>
      <c r="AK753" s="5">
        <v>0.41499999999999998</v>
      </c>
      <c r="AL753" s="5">
        <v>0.23599999999999999</v>
      </c>
      <c r="AM753" s="5">
        <v>0.28100000000000003</v>
      </c>
      <c r="AN753">
        <v>0.3</v>
      </c>
      <c r="AO753">
        <v>0.45</v>
      </c>
      <c r="AP753">
        <v>7</v>
      </c>
      <c r="AQ753">
        <v>-6.28</v>
      </c>
      <c r="AR753">
        <v>-2.4</v>
      </c>
      <c r="AS753" t="s">
        <v>4922</v>
      </c>
      <c r="AT753">
        <v>-0.1</v>
      </c>
      <c r="AU753">
        <v>1.5</v>
      </c>
      <c r="AV753">
        <v>2</v>
      </c>
      <c r="AW753">
        <v>10</v>
      </c>
      <c r="AX753">
        <v>19</v>
      </c>
      <c r="AY753">
        <v>34</v>
      </c>
      <c r="AZ753" t="s">
        <v>4467</v>
      </c>
      <c r="BA753">
        <v>47</v>
      </c>
      <c r="BB753" t="s">
        <v>36</v>
      </c>
      <c r="BC753" t="s">
        <v>36</v>
      </c>
      <c r="BD753" s="4">
        <f>HYPERLINK("http://mlb.mlb.com/team/player.jsp?player_id=623182",623182)</f>
        <v>623182</v>
      </c>
      <c r="BE753">
        <v>0</v>
      </c>
      <c r="BF753">
        <v>0</v>
      </c>
      <c r="BG753">
        <v>204</v>
      </c>
      <c r="BH753">
        <v>178</v>
      </c>
    </row>
    <row r="754" spans="1:60" x14ac:dyDescent="0.3">
      <c r="A754" s="4">
        <f>HYPERLINK("http://legacy.baseballprospectus.com/p/101630",101630)</f>
        <v>101630</v>
      </c>
      <c r="B754" t="s">
        <v>1065</v>
      </c>
      <c r="C754" t="s">
        <v>414</v>
      </c>
      <c r="D754" s="10">
        <v>34760</v>
      </c>
      <c r="E754" t="s">
        <v>54</v>
      </c>
      <c r="F754" t="s">
        <v>9</v>
      </c>
      <c r="G754" t="s">
        <v>33</v>
      </c>
      <c r="H754">
        <v>71</v>
      </c>
      <c r="I754">
        <v>215</v>
      </c>
      <c r="J754">
        <v>2018</v>
      </c>
      <c r="K754" s="4" t="str">
        <f>HYPERLINK("http://legacy.baseballprospectus.com/fantasy/dc/index.php?tm=TOR","TOR")</f>
        <v>TOR</v>
      </c>
      <c r="L754" t="s">
        <v>95</v>
      </c>
      <c r="M754" t="s">
        <v>34</v>
      </c>
      <c r="N754">
        <v>23</v>
      </c>
      <c r="O754">
        <v>250</v>
      </c>
      <c r="P754" t="s">
        <v>1680</v>
      </c>
      <c r="Q754">
        <v>224</v>
      </c>
      <c r="R754">
        <v>26</v>
      </c>
      <c r="S754">
        <v>36</v>
      </c>
      <c r="T754">
        <v>12</v>
      </c>
      <c r="U754">
        <v>1</v>
      </c>
      <c r="V754">
        <v>6</v>
      </c>
      <c r="W754">
        <v>55</v>
      </c>
      <c r="X754">
        <v>87</v>
      </c>
      <c r="Y754">
        <v>27</v>
      </c>
      <c r="Z754">
        <v>20</v>
      </c>
      <c r="AA754">
        <v>1</v>
      </c>
      <c r="AB754">
        <v>2</v>
      </c>
      <c r="AC754">
        <v>43</v>
      </c>
      <c r="AD754">
        <v>3</v>
      </c>
      <c r="AE754">
        <v>1</v>
      </c>
      <c r="AF754">
        <v>7</v>
      </c>
      <c r="AG754">
        <v>3</v>
      </c>
      <c r="AH754">
        <v>2</v>
      </c>
      <c r="AI754" s="5">
        <v>0.24299999999999999</v>
      </c>
      <c r="AJ754" s="5">
        <v>0.309</v>
      </c>
      <c r="AK754" s="5">
        <v>0.379</v>
      </c>
      <c r="AL754" s="5">
        <v>0.23</v>
      </c>
      <c r="AM754" s="5">
        <v>0.27100000000000002</v>
      </c>
      <c r="AN754">
        <v>-0.5</v>
      </c>
      <c r="AO754">
        <v>5.17</v>
      </c>
      <c r="AP754">
        <v>7</v>
      </c>
      <c r="AQ754">
        <v>-7.77</v>
      </c>
      <c r="AR754">
        <v>-5.0999999999999996</v>
      </c>
      <c r="AS754" t="s">
        <v>1687</v>
      </c>
      <c r="AT754">
        <v>-0.1</v>
      </c>
      <c r="AU754">
        <v>3.9</v>
      </c>
      <c r="AV754">
        <v>4</v>
      </c>
      <c r="AW754">
        <v>19</v>
      </c>
      <c r="AX754">
        <v>2</v>
      </c>
      <c r="AY754">
        <v>17</v>
      </c>
      <c r="AZ754" t="s">
        <v>4468</v>
      </c>
      <c r="BA754">
        <v>28</v>
      </c>
      <c r="BB754" t="s">
        <v>36</v>
      </c>
      <c r="BC754" t="s">
        <v>35</v>
      </c>
      <c r="BD754" s="4">
        <f>HYPERLINK("http://mlb.mlb.com/team/player.jsp?player_id=624512",624512)</f>
        <v>624512</v>
      </c>
      <c r="BE754">
        <v>399</v>
      </c>
      <c r="BF754">
        <v>1399</v>
      </c>
      <c r="BG754">
        <v>0</v>
      </c>
      <c r="BH754">
        <v>0</v>
      </c>
    </row>
    <row r="755" spans="1:60" x14ac:dyDescent="0.3">
      <c r="A755" s="4">
        <f>HYPERLINK("http://legacy.baseballprospectus.com/p/102657",102657)</f>
        <v>102657</v>
      </c>
      <c r="B755" t="s">
        <v>493</v>
      </c>
      <c r="C755" t="s">
        <v>156</v>
      </c>
      <c r="D755" s="10">
        <v>34947</v>
      </c>
      <c r="E755" t="s">
        <v>59</v>
      </c>
      <c r="F755" t="s">
        <v>9</v>
      </c>
      <c r="G755" t="s">
        <v>33</v>
      </c>
      <c r="H755">
        <v>71</v>
      </c>
      <c r="I755">
        <v>190</v>
      </c>
      <c r="J755">
        <v>2018</v>
      </c>
      <c r="K755" s="4" t="str">
        <f>HYPERLINK("http://legacy.baseballprospectus.com/fantasy/dc/index.php?tm=PIT","PIT")</f>
        <v>PIT</v>
      </c>
      <c r="L755" t="s">
        <v>95</v>
      </c>
      <c r="M755" t="s">
        <v>34</v>
      </c>
      <c r="N755">
        <v>22</v>
      </c>
      <c r="O755">
        <v>250</v>
      </c>
      <c r="P755" t="s">
        <v>1680</v>
      </c>
      <c r="Q755">
        <v>226</v>
      </c>
      <c r="R755">
        <v>34</v>
      </c>
      <c r="S755">
        <v>29</v>
      </c>
      <c r="T755">
        <v>11</v>
      </c>
      <c r="U755">
        <v>2</v>
      </c>
      <c r="V755">
        <v>10</v>
      </c>
      <c r="W755">
        <v>52</v>
      </c>
      <c r="X755">
        <v>97</v>
      </c>
      <c r="Y755">
        <v>29</v>
      </c>
      <c r="Z755">
        <v>20</v>
      </c>
      <c r="AA755">
        <v>1</v>
      </c>
      <c r="AB755">
        <v>1</v>
      </c>
      <c r="AC755">
        <v>71</v>
      </c>
      <c r="AD755">
        <v>2</v>
      </c>
      <c r="AE755">
        <v>1</v>
      </c>
      <c r="AF755">
        <v>5</v>
      </c>
      <c r="AG755">
        <v>5</v>
      </c>
      <c r="AH755">
        <v>4</v>
      </c>
      <c r="AI755" s="5">
        <v>0.23100000000000001</v>
      </c>
      <c r="AJ755" s="5">
        <v>0.29399999999999998</v>
      </c>
      <c r="AK755" s="5">
        <v>0.42499999999999999</v>
      </c>
      <c r="AL755" s="5">
        <v>0.23899999999999999</v>
      </c>
      <c r="AM755" s="5">
        <v>0.28499999999999998</v>
      </c>
      <c r="AN755">
        <v>-0.3</v>
      </c>
      <c r="AO755">
        <v>1.33</v>
      </c>
      <c r="AP755">
        <v>7</v>
      </c>
      <c r="AQ755">
        <v>-5.44</v>
      </c>
      <c r="AR755">
        <v>-3.7</v>
      </c>
      <c r="AS755" t="s">
        <v>4469</v>
      </c>
      <c r="AT755">
        <v>-0.1</v>
      </c>
      <c r="AU755">
        <v>2.6</v>
      </c>
      <c r="AV755">
        <v>1</v>
      </c>
      <c r="AW755">
        <v>34</v>
      </c>
      <c r="AX755">
        <v>1</v>
      </c>
      <c r="AY755">
        <v>29</v>
      </c>
      <c r="AZ755" t="s">
        <v>4470</v>
      </c>
      <c r="BA755">
        <v>44</v>
      </c>
      <c r="BB755" t="s">
        <v>36</v>
      </c>
      <c r="BC755" t="s">
        <v>35</v>
      </c>
      <c r="BD755" s="4">
        <f>HYPERLINK("http://mlb.mlb.com/team/player.jsp?player_id=641829",641829)</f>
        <v>641829</v>
      </c>
      <c r="BE755">
        <v>1677</v>
      </c>
      <c r="BF755">
        <v>677</v>
      </c>
      <c r="BG755">
        <v>0</v>
      </c>
      <c r="BH755">
        <v>0</v>
      </c>
    </row>
    <row r="756" spans="1:60" x14ac:dyDescent="0.3">
      <c r="A756" s="4">
        <f>HYPERLINK("http://legacy.baseballprospectus.com/p/103202",103202)</f>
        <v>103202</v>
      </c>
      <c r="B756" t="s">
        <v>1921</v>
      </c>
      <c r="C756" t="s">
        <v>112</v>
      </c>
      <c r="D756" s="10">
        <v>35039</v>
      </c>
      <c r="E756" t="s">
        <v>59</v>
      </c>
      <c r="F756" t="s">
        <v>33</v>
      </c>
      <c r="G756" t="s">
        <v>33</v>
      </c>
      <c r="H756">
        <v>73</v>
      </c>
      <c r="I756">
        <v>175</v>
      </c>
      <c r="J756">
        <v>2018</v>
      </c>
      <c r="K756" s="4" t="str">
        <f>HYPERLINK("http://legacy.baseballprospectus.com/fantasy/dc/index.php?tm=SDN","SDN")</f>
        <v>SDN</v>
      </c>
      <c r="L756" t="s">
        <v>100</v>
      </c>
      <c r="M756" t="s">
        <v>34</v>
      </c>
      <c r="N756">
        <v>22</v>
      </c>
      <c r="O756">
        <v>250</v>
      </c>
      <c r="P756" t="s">
        <v>1680</v>
      </c>
      <c r="Q756">
        <v>226</v>
      </c>
      <c r="R756">
        <v>29</v>
      </c>
      <c r="S756">
        <v>36</v>
      </c>
      <c r="T756">
        <v>9</v>
      </c>
      <c r="U756">
        <v>2</v>
      </c>
      <c r="V756">
        <v>6</v>
      </c>
      <c r="W756">
        <v>53</v>
      </c>
      <c r="X756">
        <v>84</v>
      </c>
      <c r="Y756">
        <v>23</v>
      </c>
      <c r="Z756">
        <v>19</v>
      </c>
      <c r="AA756">
        <v>1</v>
      </c>
      <c r="AB756">
        <v>3</v>
      </c>
      <c r="AC756">
        <v>58</v>
      </c>
      <c r="AD756">
        <v>1</v>
      </c>
      <c r="AE756">
        <v>2</v>
      </c>
      <c r="AF756">
        <v>6</v>
      </c>
      <c r="AG756">
        <v>3</v>
      </c>
      <c r="AH756">
        <v>2</v>
      </c>
      <c r="AI756" s="5">
        <v>0.23200000000000001</v>
      </c>
      <c r="AJ756" s="5">
        <v>0.29899999999999999</v>
      </c>
      <c r="AK756" s="5">
        <v>0.36299999999999999</v>
      </c>
      <c r="AL756" s="5">
        <v>0.23</v>
      </c>
      <c r="AM756" s="5">
        <v>0.28299999999999997</v>
      </c>
      <c r="AN756">
        <v>0.1</v>
      </c>
      <c r="AO756">
        <v>2.27</v>
      </c>
      <c r="AP756">
        <v>7</v>
      </c>
      <c r="AQ756">
        <v>-7.77</v>
      </c>
      <c r="AR756">
        <v>-2.2999999999999998</v>
      </c>
      <c r="AS756" t="s">
        <v>4868</v>
      </c>
      <c r="AT756">
        <v>-0.1</v>
      </c>
      <c r="AU756">
        <v>1.6</v>
      </c>
      <c r="AV756">
        <v>1</v>
      </c>
      <c r="AW756">
        <v>22</v>
      </c>
      <c r="AX756">
        <v>5</v>
      </c>
      <c r="AY756">
        <v>10</v>
      </c>
      <c r="AZ756" t="s">
        <v>4387</v>
      </c>
      <c r="BA756">
        <v>35</v>
      </c>
      <c r="BB756" t="s">
        <v>36</v>
      </c>
      <c r="BC756" t="s">
        <v>36</v>
      </c>
      <c r="BD756" s="4">
        <f>HYPERLINK("http://mlb.mlb.com/team/player.jsp?player_id=642707",642707)</f>
        <v>642707</v>
      </c>
      <c r="BE756">
        <v>1539</v>
      </c>
      <c r="BF756">
        <v>539</v>
      </c>
      <c r="BG756">
        <v>227</v>
      </c>
      <c r="BH756">
        <v>202</v>
      </c>
    </row>
    <row r="757" spans="1:60" x14ac:dyDescent="0.3">
      <c r="A757" s="4">
        <f>HYPERLINK("http://legacy.baseballprospectus.com/p/103280",103280)</f>
        <v>103280</v>
      </c>
      <c r="B757" t="s">
        <v>1943</v>
      </c>
      <c r="C757" t="s">
        <v>136</v>
      </c>
      <c r="D757" s="10">
        <v>33217</v>
      </c>
      <c r="E757" t="s">
        <v>54</v>
      </c>
      <c r="F757" t="s">
        <v>33</v>
      </c>
      <c r="G757" t="s">
        <v>33</v>
      </c>
      <c r="H757">
        <v>74</v>
      </c>
      <c r="I757">
        <v>205</v>
      </c>
      <c r="J757">
        <v>2018</v>
      </c>
      <c r="K757" s="4" t="str">
        <f>HYPERLINK("http://legacy.baseballprospectus.com/fantasy/dc/index.php?tm=BAL","BAL")</f>
        <v>BAL</v>
      </c>
      <c r="L757" t="s">
        <v>95</v>
      </c>
      <c r="M757" t="s">
        <v>34</v>
      </c>
      <c r="N757">
        <v>27</v>
      </c>
      <c r="O757">
        <v>250</v>
      </c>
      <c r="P757" t="s">
        <v>1680</v>
      </c>
      <c r="Q757">
        <v>223</v>
      </c>
      <c r="R757">
        <v>28</v>
      </c>
      <c r="S757">
        <v>36</v>
      </c>
      <c r="T757">
        <v>11</v>
      </c>
      <c r="U757">
        <v>0</v>
      </c>
      <c r="V757">
        <v>7</v>
      </c>
      <c r="W757">
        <v>54</v>
      </c>
      <c r="X757">
        <v>86</v>
      </c>
      <c r="Y757">
        <v>28</v>
      </c>
      <c r="Z757">
        <v>22</v>
      </c>
      <c r="AA757">
        <v>1</v>
      </c>
      <c r="AB757">
        <v>2</v>
      </c>
      <c r="AC757">
        <v>54</v>
      </c>
      <c r="AD757">
        <v>1</v>
      </c>
      <c r="AE757">
        <v>1</v>
      </c>
      <c r="AF757">
        <v>8</v>
      </c>
      <c r="AG757">
        <v>0</v>
      </c>
      <c r="AH757">
        <v>0</v>
      </c>
      <c r="AI757" s="5">
        <v>0.245</v>
      </c>
      <c r="AJ757" s="5">
        <v>0.318</v>
      </c>
      <c r="AK757" s="5">
        <v>0.39500000000000002</v>
      </c>
      <c r="AL757" s="5">
        <v>0.23899999999999999</v>
      </c>
      <c r="AM757" s="5">
        <v>0.28999999999999998</v>
      </c>
      <c r="AN757">
        <v>-0.5</v>
      </c>
      <c r="AO757">
        <v>5.31</v>
      </c>
      <c r="AP757">
        <v>7</v>
      </c>
      <c r="AQ757">
        <v>-5.56</v>
      </c>
      <c r="AR757">
        <v>-7.4</v>
      </c>
      <c r="AS757" t="s">
        <v>1748</v>
      </c>
      <c r="AT757">
        <v>-0.1</v>
      </c>
      <c r="AU757">
        <v>6.3</v>
      </c>
      <c r="AV757">
        <v>2</v>
      </c>
      <c r="AW757">
        <v>8</v>
      </c>
      <c r="AX757">
        <v>10</v>
      </c>
      <c r="AY757">
        <v>20</v>
      </c>
      <c r="AZ757" t="s">
        <v>4440</v>
      </c>
      <c r="BA757">
        <v>25</v>
      </c>
      <c r="BB757" t="s">
        <v>36</v>
      </c>
      <c r="BC757" t="s">
        <v>35</v>
      </c>
      <c r="BD757" s="4">
        <f>HYPERLINK("http://mlb.mlb.com/team/player.jsp?player_id=642851",642851)</f>
        <v>642851</v>
      </c>
      <c r="BE757">
        <v>0</v>
      </c>
      <c r="BF757">
        <v>0</v>
      </c>
      <c r="BG757">
        <v>0</v>
      </c>
      <c r="BH757">
        <v>0</v>
      </c>
    </row>
    <row r="758" spans="1:60" x14ac:dyDescent="0.3">
      <c r="A758" s="4">
        <f>HYPERLINK("http://legacy.baseballprospectus.com/p/103500",103500)</f>
        <v>103500</v>
      </c>
      <c r="B758" t="s">
        <v>4471</v>
      </c>
      <c r="C758" t="s">
        <v>2219</v>
      </c>
      <c r="D758" s="10">
        <v>33784</v>
      </c>
      <c r="E758" t="s">
        <v>50</v>
      </c>
      <c r="F758" t="s">
        <v>33</v>
      </c>
      <c r="G758" t="s">
        <v>33</v>
      </c>
      <c r="H758">
        <v>73</v>
      </c>
      <c r="I758">
        <v>205</v>
      </c>
      <c r="J758">
        <v>2018</v>
      </c>
      <c r="K758" s="4" t="str">
        <f>HYPERLINK("http://legacy.baseballprospectus.com/fantasy/dc/index.php?tm=KCA","KCA")</f>
        <v>KCA</v>
      </c>
      <c r="L758" t="s">
        <v>95</v>
      </c>
      <c r="M758" t="s">
        <v>34</v>
      </c>
      <c r="N758">
        <v>26</v>
      </c>
      <c r="O758">
        <v>250</v>
      </c>
      <c r="P758" t="s">
        <v>1680</v>
      </c>
      <c r="Q758">
        <v>237</v>
      </c>
      <c r="R758">
        <v>27</v>
      </c>
      <c r="S758">
        <v>38</v>
      </c>
      <c r="T758">
        <v>14</v>
      </c>
      <c r="U758">
        <v>0</v>
      </c>
      <c r="V758">
        <v>10</v>
      </c>
      <c r="W758">
        <v>62</v>
      </c>
      <c r="X758">
        <v>106</v>
      </c>
      <c r="Y758">
        <v>34</v>
      </c>
      <c r="Z758">
        <v>9</v>
      </c>
      <c r="AA758">
        <v>1</v>
      </c>
      <c r="AB758">
        <v>2</v>
      </c>
      <c r="AC758">
        <v>53</v>
      </c>
      <c r="AD758">
        <v>0</v>
      </c>
      <c r="AE758">
        <v>2</v>
      </c>
      <c r="AF758">
        <v>6</v>
      </c>
      <c r="AG758">
        <v>0</v>
      </c>
      <c r="AH758">
        <v>0</v>
      </c>
      <c r="AI758" s="5">
        <v>0.26300000000000001</v>
      </c>
      <c r="AJ758" s="5">
        <v>0.29199999999999998</v>
      </c>
      <c r="AK758" s="5">
        <v>0.45100000000000001</v>
      </c>
      <c r="AL758" s="5">
        <v>0.24399999999999999</v>
      </c>
      <c r="AM758" s="5">
        <v>0.29699999999999999</v>
      </c>
      <c r="AN758">
        <v>-0.5</v>
      </c>
      <c r="AO758">
        <v>-2.19</v>
      </c>
      <c r="AP758">
        <v>7</v>
      </c>
      <c r="AQ758">
        <v>-4.1100000000000003</v>
      </c>
      <c r="AR758">
        <v>-1.1000000000000001</v>
      </c>
      <c r="AS758" t="s">
        <v>64</v>
      </c>
      <c r="AT758">
        <v>-0.1</v>
      </c>
      <c r="AU758">
        <v>0.2</v>
      </c>
      <c r="AV758">
        <v>3</v>
      </c>
      <c r="AW758">
        <v>11</v>
      </c>
      <c r="AX758">
        <v>2</v>
      </c>
      <c r="AY758">
        <v>17</v>
      </c>
      <c r="AZ758" t="s">
        <v>4472</v>
      </c>
      <c r="BA758">
        <v>21</v>
      </c>
      <c r="BB758" t="s">
        <v>36</v>
      </c>
      <c r="BC758" t="s">
        <v>35</v>
      </c>
      <c r="BD758" s="4">
        <f>HYPERLINK("http://mlb.mlb.com/team/player.jsp?player_id=643524",643524)</f>
        <v>643524</v>
      </c>
      <c r="BE758">
        <v>0</v>
      </c>
      <c r="BF758">
        <v>0</v>
      </c>
      <c r="BG758">
        <v>0</v>
      </c>
      <c r="BH758">
        <v>0</v>
      </c>
    </row>
    <row r="759" spans="1:60" x14ac:dyDescent="0.3">
      <c r="A759" s="4">
        <f>HYPERLINK("http://legacy.baseballprospectus.com/p/104205",104205)</f>
        <v>104205</v>
      </c>
      <c r="B759" t="s">
        <v>239</v>
      </c>
      <c r="C759" t="s">
        <v>1956</v>
      </c>
      <c r="D759" s="10">
        <v>35544</v>
      </c>
      <c r="E759" t="s">
        <v>53</v>
      </c>
      <c r="F759" t="s">
        <v>37</v>
      </c>
      <c r="G759" t="s">
        <v>33</v>
      </c>
      <c r="H759">
        <v>73</v>
      </c>
      <c r="I759">
        <v>165</v>
      </c>
      <c r="J759">
        <v>2018</v>
      </c>
      <c r="K759" s="4" t="str">
        <f>HYPERLINK("http://legacy.baseballprospectus.com/fantasy/dc/index.php?tm=CLE","CLE")</f>
        <v>CLE</v>
      </c>
      <c r="L759" t="s">
        <v>95</v>
      </c>
      <c r="M759" t="s">
        <v>34</v>
      </c>
      <c r="N759">
        <v>21</v>
      </c>
      <c r="O759">
        <v>250</v>
      </c>
      <c r="P759" t="s">
        <v>1680</v>
      </c>
      <c r="Q759">
        <v>237</v>
      </c>
      <c r="R759">
        <v>29</v>
      </c>
      <c r="S759">
        <v>38</v>
      </c>
      <c r="T759">
        <v>11</v>
      </c>
      <c r="U759">
        <v>1</v>
      </c>
      <c r="V759">
        <v>7</v>
      </c>
      <c r="W759">
        <v>57</v>
      </c>
      <c r="X759">
        <v>91</v>
      </c>
      <c r="Y759">
        <v>25</v>
      </c>
      <c r="Z759">
        <v>8</v>
      </c>
      <c r="AA759">
        <v>1</v>
      </c>
      <c r="AB759">
        <v>2</v>
      </c>
      <c r="AC759">
        <v>58</v>
      </c>
      <c r="AD759">
        <v>2</v>
      </c>
      <c r="AE759">
        <v>1</v>
      </c>
      <c r="AF759">
        <v>6</v>
      </c>
      <c r="AG759">
        <v>4</v>
      </c>
      <c r="AH759">
        <v>3</v>
      </c>
      <c r="AI759" s="5">
        <v>0.24</v>
      </c>
      <c r="AJ759" s="5">
        <v>0.26900000000000002</v>
      </c>
      <c r="AK759" s="5">
        <v>0.38200000000000001</v>
      </c>
      <c r="AL759" s="5">
        <v>0.214</v>
      </c>
      <c r="AM759" s="5">
        <v>0.28499999999999998</v>
      </c>
      <c r="AN759">
        <v>-0.1</v>
      </c>
      <c r="AO759">
        <v>4.25</v>
      </c>
      <c r="AP759">
        <v>7</v>
      </c>
      <c r="AQ759">
        <v>-12.1</v>
      </c>
      <c r="AR759">
        <v>-0.1</v>
      </c>
      <c r="AS759" t="s">
        <v>1045</v>
      </c>
      <c r="AT759">
        <v>-0.1</v>
      </c>
      <c r="AU759">
        <v>-1</v>
      </c>
      <c r="AV759">
        <v>4</v>
      </c>
      <c r="AW759">
        <v>7</v>
      </c>
      <c r="AX759">
        <v>0</v>
      </c>
      <c r="AY759">
        <v>7</v>
      </c>
      <c r="AZ759" t="s">
        <v>4394</v>
      </c>
      <c r="BA759">
        <v>12</v>
      </c>
      <c r="BB759" t="s">
        <v>36</v>
      </c>
      <c r="BC759" t="s">
        <v>35</v>
      </c>
      <c r="BD759" s="4">
        <f>HYPERLINK("http://mlb.mlb.com/team/player.jsp?player_id=650489",650489)</f>
        <v>650489</v>
      </c>
      <c r="BE759">
        <v>0</v>
      </c>
      <c r="BF759">
        <v>0</v>
      </c>
      <c r="BG759">
        <v>0</v>
      </c>
      <c r="BH759">
        <v>0</v>
      </c>
    </row>
    <row r="760" spans="1:60" x14ac:dyDescent="0.3">
      <c r="A760" s="4">
        <f>HYPERLINK("http://legacy.baseballprospectus.com/p/104785",104785)</f>
        <v>104785</v>
      </c>
      <c r="B760" t="s">
        <v>4395</v>
      </c>
      <c r="C760" t="s">
        <v>181</v>
      </c>
      <c r="D760" s="10">
        <v>34994</v>
      </c>
      <c r="E760" t="s">
        <v>65</v>
      </c>
      <c r="F760" t="s">
        <v>33</v>
      </c>
      <c r="G760" t="s">
        <v>33</v>
      </c>
      <c r="H760">
        <v>73</v>
      </c>
      <c r="I760">
        <v>203</v>
      </c>
      <c r="J760">
        <v>2018</v>
      </c>
      <c r="K760" s="4" t="str">
        <f>HYPERLINK("http://legacy.baseballprospectus.com/fantasy/dc/index.php?tm=SDN","SDN")</f>
        <v>SDN</v>
      </c>
      <c r="L760" t="s">
        <v>100</v>
      </c>
      <c r="M760" t="s">
        <v>34</v>
      </c>
      <c r="N760">
        <v>22</v>
      </c>
      <c r="O760">
        <v>250</v>
      </c>
      <c r="P760" t="s">
        <v>1680</v>
      </c>
      <c r="Q760">
        <v>231</v>
      </c>
      <c r="R760">
        <v>27</v>
      </c>
      <c r="S760">
        <v>31</v>
      </c>
      <c r="T760">
        <v>9</v>
      </c>
      <c r="U760">
        <v>1</v>
      </c>
      <c r="V760">
        <v>7</v>
      </c>
      <c r="W760">
        <v>48</v>
      </c>
      <c r="X760">
        <v>80</v>
      </c>
      <c r="Y760">
        <v>27</v>
      </c>
      <c r="Z760">
        <v>14</v>
      </c>
      <c r="AA760">
        <v>1</v>
      </c>
      <c r="AB760">
        <v>3</v>
      </c>
      <c r="AC760">
        <v>93</v>
      </c>
      <c r="AD760">
        <v>1</v>
      </c>
      <c r="AE760">
        <v>1</v>
      </c>
      <c r="AF760">
        <v>5</v>
      </c>
      <c r="AG760">
        <v>6</v>
      </c>
      <c r="AH760">
        <v>3</v>
      </c>
      <c r="AI760" s="5">
        <v>0.20899999999999999</v>
      </c>
      <c r="AJ760" s="5">
        <v>0.26100000000000001</v>
      </c>
      <c r="AK760" s="5">
        <v>0.35199999999999998</v>
      </c>
      <c r="AL760" s="5">
        <v>0.21299999999999999</v>
      </c>
      <c r="AM760" s="5">
        <v>0.307</v>
      </c>
      <c r="AN760">
        <v>0.2</v>
      </c>
      <c r="AO760">
        <v>3.25</v>
      </c>
      <c r="AP760">
        <v>7</v>
      </c>
      <c r="AQ760">
        <v>-12.28</v>
      </c>
      <c r="AR760">
        <v>1.2</v>
      </c>
      <c r="AS760" t="s">
        <v>66</v>
      </c>
      <c r="AT760">
        <v>-0.1</v>
      </c>
      <c r="AU760">
        <v>-1.9</v>
      </c>
      <c r="AV760">
        <v>5</v>
      </c>
      <c r="AW760">
        <v>12</v>
      </c>
      <c r="AX760">
        <v>5</v>
      </c>
      <c r="AY760">
        <v>12</v>
      </c>
      <c r="AZ760" t="s">
        <v>4396</v>
      </c>
      <c r="BA760">
        <v>21</v>
      </c>
      <c r="BB760" t="s">
        <v>36</v>
      </c>
      <c r="BC760" t="s">
        <v>35</v>
      </c>
      <c r="BD760" s="4">
        <f>HYPERLINK("http://mlb.mlb.com/team/player.jsp?player_id=656455",656455)</f>
        <v>656455</v>
      </c>
      <c r="BE760">
        <v>0</v>
      </c>
      <c r="BF760">
        <v>0</v>
      </c>
      <c r="BG760">
        <v>0</v>
      </c>
      <c r="BH760">
        <v>0</v>
      </c>
    </row>
    <row r="761" spans="1:60" x14ac:dyDescent="0.3">
      <c r="A761" s="4">
        <f>HYPERLINK("http://legacy.baseballprospectus.com/p/104872",104872)</f>
        <v>104872</v>
      </c>
      <c r="B761" t="s">
        <v>1737</v>
      </c>
      <c r="C761" t="s">
        <v>459</v>
      </c>
      <c r="D761" s="10">
        <v>35261</v>
      </c>
      <c r="E761" t="s">
        <v>51</v>
      </c>
      <c r="F761" t="s">
        <v>33</v>
      </c>
      <c r="G761" t="s">
        <v>33</v>
      </c>
      <c r="H761">
        <v>74</v>
      </c>
      <c r="I761">
        <v>205</v>
      </c>
      <c r="J761">
        <v>2018</v>
      </c>
      <c r="K761" s="4" t="str">
        <f>HYPERLINK("http://legacy.baseballprospectus.com/fantasy/dc/index.php?tm=TBA","TBA")</f>
        <v>TBA</v>
      </c>
      <c r="L761" t="s">
        <v>95</v>
      </c>
      <c r="M761" t="s">
        <v>34</v>
      </c>
      <c r="N761">
        <v>21</v>
      </c>
      <c r="O761">
        <v>250</v>
      </c>
      <c r="P761" t="s">
        <v>1680</v>
      </c>
      <c r="Q761">
        <v>215</v>
      </c>
      <c r="R761">
        <v>28</v>
      </c>
      <c r="S761">
        <v>24</v>
      </c>
      <c r="T761">
        <v>9</v>
      </c>
      <c r="U761">
        <v>1</v>
      </c>
      <c r="V761">
        <v>8</v>
      </c>
      <c r="W761">
        <v>42</v>
      </c>
      <c r="X761">
        <v>77</v>
      </c>
      <c r="Y761">
        <v>29</v>
      </c>
      <c r="Z761">
        <v>31</v>
      </c>
      <c r="AA761">
        <v>1</v>
      </c>
      <c r="AB761">
        <v>2</v>
      </c>
      <c r="AC761">
        <v>80</v>
      </c>
      <c r="AD761">
        <v>1</v>
      </c>
      <c r="AE761">
        <v>2</v>
      </c>
      <c r="AF761">
        <v>5</v>
      </c>
      <c r="AG761">
        <v>3</v>
      </c>
      <c r="AH761">
        <v>2</v>
      </c>
      <c r="AI761" s="5">
        <v>0.19500000000000001</v>
      </c>
      <c r="AJ761" s="5">
        <v>0.29899999999999999</v>
      </c>
      <c r="AK761" s="5">
        <v>0.36</v>
      </c>
      <c r="AL761" s="5">
        <v>0.23200000000000001</v>
      </c>
      <c r="AM761" s="5">
        <v>0.26100000000000001</v>
      </c>
      <c r="AN761">
        <v>-0.4</v>
      </c>
      <c r="AO761">
        <v>1.52</v>
      </c>
      <c r="AP761">
        <v>7</v>
      </c>
      <c r="AQ761">
        <v>-7.28</v>
      </c>
      <c r="AR761">
        <v>-1.3</v>
      </c>
      <c r="AS761" t="s">
        <v>56</v>
      </c>
      <c r="AT761">
        <v>-0.1</v>
      </c>
      <c r="AU761">
        <v>0.8</v>
      </c>
      <c r="AV761">
        <v>3</v>
      </c>
      <c r="AW761">
        <v>7</v>
      </c>
      <c r="AX761">
        <v>0</v>
      </c>
      <c r="AY761">
        <v>6</v>
      </c>
      <c r="AZ761" t="s">
        <v>4474</v>
      </c>
      <c r="BA761">
        <v>13</v>
      </c>
      <c r="BB761" t="s">
        <v>36</v>
      </c>
      <c r="BC761" t="s">
        <v>35</v>
      </c>
      <c r="BD761" s="4">
        <f>HYPERLINK("http://mlb.mlb.com/team/player.jsp?player_id=656821",656821)</f>
        <v>656821</v>
      </c>
      <c r="BE761">
        <v>0</v>
      </c>
      <c r="BF761">
        <v>0</v>
      </c>
      <c r="BG761">
        <v>0</v>
      </c>
      <c r="BH761">
        <v>0</v>
      </c>
    </row>
    <row r="762" spans="1:60" x14ac:dyDescent="0.3">
      <c r="A762" s="4">
        <f>HYPERLINK("http://legacy.baseballprospectus.com/p/104942",104942)</f>
        <v>104942</v>
      </c>
      <c r="B762" t="s">
        <v>976</v>
      </c>
      <c r="C762" t="s">
        <v>1439</v>
      </c>
      <c r="D762" s="10">
        <v>35023</v>
      </c>
      <c r="E762" t="s">
        <v>65</v>
      </c>
      <c r="F762" t="s">
        <v>9</v>
      </c>
      <c r="G762" t="s">
        <v>33</v>
      </c>
      <c r="H762">
        <v>72</v>
      </c>
      <c r="I762">
        <v>176</v>
      </c>
      <c r="J762">
        <v>2018</v>
      </c>
      <c r="K762" s="4" t="str">
        <f>HYPERLINK("http://legacy.baseballprospectus.com/fantasy/dc/index.php?tm=COL","COL")</f>
        <v>COL</v>
      </c>
      <c r="L762" t="s">
        <v>100</v>
      </c>
      <c r="M762" t="s">
        <v>34</v>
      </c>
      <c r="N762">
        <v>22</v>
      </c>
      <c r="O762">
        <v>250</v>
      </c>
      <c r="P762" t="s">
        <v>1680</v>
      </c>
      <c r="Q762">
        <v>225</v>
      </c>
      <c r="R762">
        <v>31</v>
      </c>
      <c r="S762">
        <v>36</v>
      </c>
      <c r="T762">
        <v>9</v>
      </c>
      <c r="U762">
        <v>2</v>
      </c>
      <c r="V762">
        <v>6</v>
      </c>
      <c r="W762">
        <v>53</v>
      </c>
      <c r="X762">
        <v>84</v>
      </c>
      <c r="Y762">
        <v>24</v>
      </c>
      <c r="Z762">
        <v>19</v>
      </c>
      <c r="AA762">
        <v>1</v>
      </c>
      <c r="AB762">
        <v>1</v>
      </c>
      <c r="AC762">
        <v>58</v>
      </c>
      <c r="AD762">
        <v>3</v>
      </c>
      <c r="AE762">
        <v>1</v>
      </c>
      <c r="AF762">
        <v>5</v>
      </c>
      <c r="AG762">
        <v>7</v>
      </c>
      <c r="AH762">
        <v>3</v>
      </c>
      <c r="AI762" s="5">
        <v>0.23899999999999999</v>
      </c>
      <c r="AJ762" s="5">
        <v>0.3</v>
      </c>
      <c r="AK762" s="5">
        <v>0.38400000000000001</v>
      </c>
      <c r="AL762" s="5">
        <v>0.218</v>
      </c>
      <c r="AM762" s="5">
        <v>0.28899999999999998</v>
      </c>
      <c r="AN762">
        <v>0.2</v>
      </c>
      <c r="AO762">
        <v>3.05</v>
      </c>
      <c r="AP762">
        <v>7</v>
      </c>
      <c r="AQ762">
        <v>-11.09</v>
      </c>
      <c r="AR762">
        <v>-0.1</v>
      </c>
      <c r="AS762" t="s">
        <v>1932</v>
      </c>
      <c r="AT762">
        <v>-0.1</v>
      </c>
      <c r="AU762">
        <v>-0.8</v>
      </c>
      <c r="AV762">
        <v>0</v>
      </c>
      <c r="AW762">
        <v>9</v>
      </c>
      <c r="AX762">
        <v>3</v>
      </c>
      <c r="AY762">
        <v>9</v>
      </c>
      <c r="AZ762" t="s">
        <v>4475</v>
      </c>
      <c r="BA762">
        <v>15</v>
      </c>
      <c r="BB762" t="s">
        <v>36</v>
      </c>
      <c r="BC762" t="s">
        <v>35</v>
      </c>
      <c r="BD762" s="4">
        <f>HYPERLINK("http://mlb.mlb.com/team/player.jsp?player_id=657088",657088)</f>
        <v>657088</v>
      </c>
      <c r="BE762">
        <v>1483</v>
      </c>
      <c r="BF762">
        <v>483</v>
      </c>
      <c r="BG762">
        <v>0</v>
      </c>
      <c r="BH762">
        <v>0</v>
      </c>
    </row>
    <row r="763" spans="1:60" x14ac:dyDescent="0.3">
      <c r="A763" s="4">
        <f>HYPERLINK("http://legacy.baseballprospectus.com/p/104998",104998)</f>
        <v>104998</v>
      </c>
      <c r="B763" t="s">
        <v>4476</v>
      </c>
      <c r="C763" t="s">
        <v>234</v>
      </c>
      <c r="D763" s="10">
        <v>34081</v>
      </c>
      <c r="E763" t="s">
        <v>54</v>
      </c>
      <c r="F763" t="s">
        <v>33</v>
      </c>
      <c r="G763" t="s">
        <v>33</v>
      </c>
      <c r="H763">
        <v>71</v>
      </c>
      <c r="I763">
        <v>185</v>
      </c>
      <c r="J763">
        <v>2018</v>
      </c>
      <c r="K763" s="4" t="str">
        <f>HYPERLINK("http://legacy.baseballprospectus.com/fantasy/dc/index.php?tm=COL","COL")</f>
        <v>COL</v>
      </c>
      <c r="L763" t="s">
        <v>100</v>
      </c>
      <c r="M763" t="s">
        <v>34</v>
      </c>
      <c r="N763">
        <v>25</v>
      </c>
      <c r="O763">
        <v>250</v>
      </c>
      <c r="P763" t="s">
        <v>1680</v>
      </c>
      <c r="Q763">
        <v>224</v>
      </c>
      <c r="R763">
        <v>26</v>
      </c>
      <c r="S763">
        <v>35</v>
      </c>
      <c r="T763">
        <v>10</v>
      </c>
      <c r="U763">
        <v>2</v>
      </c>
      <c r="V763">
        <v>4</v>
      </c>
      <c r="W763">
        <v>51</v>
      </c>
      <c r="X763">
        <v>77</v>
      </c>
      <c r="Y763">
        <v>21</v>
      </c>
      <c r="Z763">
        <v>19</v>
      </c>
      <c r="AA763">
        <v>1</v>
      </c>
      <c r="AB763">
        <v>2</v>
      </c>
      <c r="AC763">
        <v>57</v>
      </c>
      <c r="AD763">
        <v>3</v>
      </c>
      <c r="AE763">
        <v>2</v>
      </c>
      <c r="AF763">
        <v>7</v>
      </c>
      <c r="AG763">
        <v>8</v>
      </c>
      <c r="AH763">
        <v>3</v>
      </c>
      <c r="AI763" s="5">
        <v>0.22800000000000001</v>
      </c>
      <c r="AJ763" s="5">
        <v>0.29499999999999998</v>
      </c>
      <c r="AK763" s="5">
        <v>0.34</v>
      </c>
      <c r="AL763" s="5">
        <v>0.20599999999999999</v>
      </c>
      <c r="AM763" s="5">
        <v>0.28299999999999997</v>
      </c>
      <c r="AN763">
        <v>0.5</v>
      </c>
      <c r="AO763">
        <v>5.45</v>
      </c>
      <c r="AP763">
        <v>7</v>
      </c>
      <c r="AQ763">
        <v>-14.27</v>
      </c>
      <c r="AR763">
        <v>0.4</v>
      </c>
      <c r="AS763" t="s">
        <v>71</v>
      </c>
      <c r="AT763">
        <v>-0.1</v>
      </c>
      <c r="AU763">
        <v>-1.3</v>
      </c>
      <c r="AV763">
        <v>8</v>
      </c>
      <c r="AW763">
        <v>9</v>
      </c>
      <c r="AX763">
        <v>5</v>
      </c>
      <c r="AY763">
        <v>15</v>
      </c>
      <c r="AZ763" t="s">
        <v>4477</v>
      </c>
      <c r="BA763">
        <v>17</v>
      </c>
      <c r="BB763" t="s">
        <v>36</v>
      </c>
      <c r="BC763" t="s">
        <v>35</v>
      </c>
      <c r="BD763" s="4">
        <f>HYPERLINK("http://mlb.mlb.com/team/player.jsp?player_id=657253",657253)</f>
        <v>657253</v>
      </c>
      <c r="BE763">
        <v>0</v>
      </c>
      <c r="BF763">
        <v>0</v>
      </c>
      <c r="BG763">
        <v>0</v>
      </c>
      <c r="BH763">
        <v>0</v>
      </c>
    </row>
    <row r="764" spans="1:60" x14ac:dyDescent="0.3">
      <c r="A764" s="4">
        <f>HYPERLINK("http://legacy.baseballprospectus.com/p/105932",105932)</f>
        <v>105932</v>
      </c>
      <c r="B764" t="s">
        <v>1995</v>
      </c>
      <c r="C764" t="s">
        <v>1996</v>
      </c>
      <c r="D764" s="10">
        <v>35860</v>
      </c>
      <c r="E764" t="s">
        <v>57</v>
      </c>
      <c r="F764" t="s">
        <v>33</v>
      </c>
      <c r="G764" t="s">
        <v>33</v>
      </c>
      <c r="H764">
        <v>73</v>
      </c>
      <c r="I764">
        <v>180</v>
      </c>
      <c r="J764">
        <v>2018</v>
      </c>
      <c r="K764" s="4" t="str">
        <f>HYPERLINK("http://legacy.baseballprospectus.com/fantasy/dc/index.php?tm=SFN","SFN")</f>
        <v>SFN</v>
      </c>
      <c r="L764" t="s">
        <v>100</v>
      </c>
      <c r="M764" t="s">
        <v>34</v>
      </c>
      <c r="N764">
        <v>20</v>
      </c>
      <c r="O764">
        <v>250</v>
      </c>
      <c r="P764" t="s">
        <v>1680</v>
      </c>
      <c r="Q764">
        <v>240</v>
      </c>
      <c r="R764">
        <v>21</v>
      </c>
      <c r="S764">
        <v>36</v>
      </c>
      <c r="T764">
        <v>12</v>
      </c>
      <c r="U764">
        <v>1</v>
      </c>
      <c r="V764">
        <v>7</v>
      </c>
      <c r="W764">
        <v>56</v>
      </c>
      <c r="X764">
        <v>91</v>
      </c>
      <c r="Y764">
        <v>28</v>
      </c>
      <c r="Z764">
        <v>5</v>
      </c>
      <c r="AA764">
        <v>1</v>
      </c>
      <c r="AB764">
        <v>2</v>
      </c>
      <c r="AC764">
        <v>67</v>
      </c>
      <c r="AD764">
        <v>2</v>
      </c>
      <c r="AE764">
        <v>2</v>
      </c>
      <c r="AF764">
        <v>6</v>
      </c>
      <c r="AG764">
        <v>0</v>
      </c>
      <c r="AH764">
        <v>0</v>
      </c>
      <c r="AI764" s="5">
        <v>0.22900000000000001</v>
      </c>
      <c r="AJ764" s="5">
        <v>0.25</v>
      </c>
      <c r="AK764" s="5">
        <v>0.36799999999999999</v>
      </c>
      <c r="AL764" s="5">
        <v>0.21199999999999999</v>
      </c>
      <c r="AM764" s="5">
        <v>0.28499999999999998</v>
      </c>
      <c r="AN764">
        <v>-0.4</v>
      </c>
      <c r="AO764">
        <v>-0.1</v>
      </c>
      <c r="AP764">
        <v>7</v>
      </c>
      <c r="AQ764">
        <v>-12.68</v>
      </c>
      <c r="AR764">
        <v>5.4</v>
      </c>
      <c r="AS764" t="s">
        <v>4478</v>
      </c>
      <c r="AT764">
        <v>-0.1</v>
      </c>
      <c r="AU764">
        <v>-6.2</v>
      </c>
      <c r="AV764">
        <v>2</v>
      </c>
      <c r="AW764">
        <v>6</v>
      </c>
      <c r="AX764">
        <v>0</v>
      </c>
      <c r="AY764">
        <v>2</v>
      </c>
      <c r="AZ764" t="s">
        <v>4479</v>
      </c>
      <c r="BA764">
        <v>8</v>
      </c>
      <c r="BB764" t="s">
        <v>36</v>
      </c>
      <c r="BC764" t="s">
        <v>35</v>
      </c>
      <c r="BD764" s="4">
        <f>HYPERLINK("http://mlb.mlb.com/team/player.jsp?player_id=660758",660758)</f>
        <v>660758</v>
      </c>
      <c r="BE764">
        <v>0</v>
      </c>
      <c r="BF764">
        <v>0</v>
      </c>
      <c r="BG764">
        <v>0</v>
      </c>
      <c r="BH764">
        <v>0</v>
      </c>
    </row>
    <row r="765" spans="1:60" x14ac:dyDescent="0.3">
      <c r="A765" s="4">
        <f>HYPERLINK("http://legacy.baseballprospectus.com/p/105984",105984)</f>
        <v>105984</v>
      </c>
      <c r="B765" t="s">
        <v>4397</v>
      </c>
      <c r="C765" t="s">
        <v>4398</v>
      </c>
      <c r="D765" s="10">
        <v>35759</v>
      </c>
      <c r="E765" t="s">
        <v>65</v>
      </c>
      <c r="F765" t="s">
        <v>9</v>
      </c>
      <c r="G765" t="s">
        <v>33</v>
      </c>
      <c r="H765">
        <v>73</v>
      </c>
      <c r="I765">
        <v>185</v>
      </c>
      <c r="J765">
        <v>2018</v>
      </c>
      <c r="K765" s="4" t="str">
        <f>HYPERLINK("http://legacy.baseballprospectus.com/fantasy/dc/index.php?tm=NYA","NYA")</f>
        <v>NYA</v>
      </c>
      <c r="L765" t="s">
        <v>95</v>
      </c>
      <c r="M765" t="s">
        <v>34</v>
      </c>
      <c r="N765">
        <v>20</v>
      </c>
      <c r="O765">
        <v>250</v>
      </c>
      <c r="P765" t="s">
        <v>1680</v>
      </c>
      <c r="Q765">
        <v>227</v>
      </c>
      <c r="R765">
        <v>28</v>
      </c>
      <c r="S765">
        <v>30</v>
      </c>
      <c r="T765">
        <v>8</v>
      </c>
      <c r="U765">
        <v>1</v>
      </c>
      <c r="V765">
        <v>9</v>
      </c>
      <c r="W765">
        <v>48</v>
      </c>
      <c r="X765">
        <v>85</v>
      </c>
      <c r="Y765">
        <v>30</v>
      </c>
      <c r="Z765">
        <v>20</v>
      </c>
      <c r="AA765">
        <v>1</v>
      </c>
      <c r="AB765">
        <v>1</v>
      </c>
      <c r="AC765">
        <v>92</v>
      </c>
      <c r="AD765">
        <v>1</v>
      </c>
      <c r="AE765">
        <v>1</v>
      </c>
      <c r="AF765">
        <v>5</v>
      </c>
      <c r="AG765">
        <v>5</v>
      </c>
      <c r="AH765">
        <v>2</v>
      </c>
      <c r="AI765" s="5">
        <v>0.21199999999999999</v>
      </c>
      <c r="AJ765" s="5">
        <v>0.27800000000000002</v>
      </c>
      <c r="AK765" s="5">
        <v>0.378</v>
      </c>
      <c r="AL765" s="5">
        <v>0.223</v>
      </c>
      <c r="AM765" s="5">
        <v>0.308</v>
      </c>
      <c r="AN765">
        <v>0.3</v>
      </c>
      <c r="AO765">
        <v>2.33</v>
      </c>
      <c r="AP765">
        <v>7</v>
      </c>
      <c r="AQ765">
        <v>-9.7899999999999991</v>
      </c>
      <c r="AR765">
        <v>-0.3</v>
      </c>
      <c r="AS765" t="s">
        <v>1373</v>
      </c>
      <c r="AT765">
        <v>-0.1</v>
      </c>
      <c r="AU765">
        <v>-0.2</v>
      </c>
      <c r="AV765">
        <v>4</v>
      </c>
      <c r="AW765">
        <v>14</v>
      </c>
      <c r="AX765">
        <v>0</v>
      </c>
      <c r="AY765">
        <v>5</v>
      </c>
      <c r="AZ765" t="s">
        <v>4399</v>
      </c>
      <c r="BA765">
        <v>15</v>
      </c>
      <c r="BB765" t="s">
        <v>36</v>
      </c>
      <c r="BC765" t="s">
        <v>35</v>
      </c>
      <c r="BD765" s="4">
        <f>HYPERLINK("http://mlb.mlb.com/team/player.jsp?player_id=664314",664314)</f>
        <v>664314</v>
      </c>
      <c r="BE765">
        <v>663</v>
      </c>
      <c r="BF765">
        <v>1663</v>
      </c>
      <c r="BG765">
        <v>0</v>
      </c>
      <c r="BH765">
        <v>0</v>
      </c>
    </row>
    <row r="766" spans="1:60" x14ac:dyDescent="0.3">
      <c r="A766" s="4">
        <f>HYPERLINK("http://legacy.baseballprospectus.com/p/106720",106720)</f>
        <v>106720</v>
      </c>
      <c r="B766" t="s">
        <v>1775</v>
      </c>
      <c r="C766" t="s">
        <v>1776</v>
      </c>
      <c r="D766" s="10">
        <v>35583</v>
      </c>
      <c r="E766" t="s">
        <v>59</v>
      </c>
      <c r="F766" t="s">
        <v>9</v>
      </c>
      <c r="G766" t="s">
        <v>33</v>
      </c>
      <c r="H766">
        <v>71</v>
      </c>
      <c r="I766">
        <v>205</v>
      </c>
      <c r="J766">
        <v>2018</v>
      </c>
      <c r="K766" s="4" t="str">
        <f>HYPERLINK("http://legacy.baseballprospectus.com/fantasy/dc/index.php?tm=PHI","PHI")</f>
        <v>PHI</v>
      </c>
      <c r="L766" t="s">
        <v>100</v>
      </c>
      <c r="M766" t="s">
        <v>34</v>
      </c>
      <c r="N766">
        <v>21</v>
      </c>
      <c r="O766">
        <v>250</v>
      </c>
      <c r="P766" t="s">
        <v>1680</v>
      </c>
      <c r="Q766">
        <v>222</v>
      </c>
      <c r="R766">
        <v>26</v>
      </c>
      <c r="S766">
        <v>31</v>
      </c>
      <c r="T766">
        <v>10</v>
      </c>
      <c r="U766">
        <v>1</v>
      </c>
      <c r="V766">
        <v>8</v>
      </c>
      <c r="W766">
        <v>50</v>
      </c>
      <c r="X766">
        <v>86</v>
      </c>
      <c r="Y766">
        <v>30</v>
      </c>
      <c r="Z766">
        <v>23</v>
      </c>
      <c r="AA766">
        <v>1</v>
      </c>
      <c r="AB766">
        <v>3</v>
      </c>
      <c r="AC766">
        <v>73</v>
      </c>
      <c r="AD766">
        <v>1</v>
      </c>
      <c r="AE766">
        <v>1</v>
      </c>
      <c r="AF766">
        <v>5</v>
      </c>
      <c r="AG766">
        <v>1</v>
      </c>
      <c r="AH766">
        <v>0</v>
      </c>
      <c r="AI766" s="5">
        <v>0.223</v>
      </c>
      <c r="AJ766" s="5">
        <v>0.30099999999999999</v>
      </c>
      <c r="AK766" s="5">
        <v>0.38100000000000001</v>
      </c>
      <c r="AL766" s="5">
        <v>0.23200000000000001</v>
      </c>
      <c r="AM766" s="5">
        <v>0.29099999999999998</v>
      </c>
      <c r="AN766">
        <v>-0.3</v>
      </c>
      <c r="AO766">
        <v>1.27</v>
      </c>
      <c r="AP766">
        <v>7</v>
      </c>
      <c r="AQ766">
        <v>-7.35</v>
      </c>
      <c r="AR766">
        <v>-1.6</v>
      </c>
      <c r="AS766" t="s">
        <v>3579</v>
      </c>
      <c r="AT766">
        <v>-0.1</v>
      </c>
      <c r="AU766">
        <v>0.6</v>
      </c>
      <c r="AV766">
        <v>2</v>
      </c>
      <c r="AW766">
        <v>6</v>
      </c>
      <c r="AX766">
        <v>2</v>
      </c>
      <c r="AY766">
        <v>7</v>
      </c>
      <c r="AZ766" t="s">
        <v>4482</v>
      </c>
      <c r="BA766">
        <v>12</v>
      </c>
      <c r="BB766" t="s">
        <v>36</v>
      </c>
      <c r="BC766" t="s">
        <v>35</v>
      </c>
      <c r="BD766" s="4">
        <f>HYPERLINK("http://mlb.mlb.com/team/player.jsp?player_id=663524",663524)</f>
        <v>663524</v>
      </c>
      <c r="BE766">
        <v>1672</v>
      </c>
      <c r="BF766">
        <v>672</v>
      </c>
      <c r="BG766">
        <v>0</v>
      </c>
      <c r="BH766">
        <v>0</v>
      </c>
    </row>
    <row r="767" spans="1:60" x14ac:dyDescent="0.3">
      <c r="A767" s="4">
        <f>HYPERLINK("http://legacy.baseballprospectus.com/p/106849",106849)</f>
        <v>106849</v>
      </c>
      <c r="B767" t="s">
        <v>1675</v>
      </c>
      <c r="C767" t="s">
        <v>4483</v>
      </c>
      <c r="D767" s="10">
        <v>35201</v>
      </c>
      <c r="E767" t="s">
        <v>54</v>
      </c>
      <c r="F767" t="s">
        <v>33</v>
      </c>
      <c r="G767" t="s">
        <v>33</v>
      </c>
      <c r="H767">
        <v>74</v>
      </c>
      <c r="I767">
        <v>190</v>
      </c>
      <c r="J767">
        <v>2018</v>
      </c>
      <c r="K767" s="4" t="str">
        <f>HYPERLINK("http://legacy.baseballprospectus.com/fantasy/dc/index.php?tm=NYA","NYA")</f>
        <v>NYA</v>
      </c>
      <c r="L767" t="s">
        <v>95</v>
      </c>
      <c r="M767" t="s">
        <v>34</v>
      </c>
      <c r="N767">
        <v>22</v>
      </c>
      <c r="O767">
        <v>250</v>
      </c>
      <c r="P767" t="s">
        <v>1680</v>
      </c>
      <c r="Q767">
        <v>231</v>
      </c>
      <c r="R767">
        <v>23</v>
      </c>
      <c r="S767">
        <v>35</v>
      </c>
      <c r="T767">
        <v>10</v>
      </c>
      <c r="U767">
        <v>0</v>
      </c>
      <c r="V767">
        <v>7</v>
      </c>
      <c r="W767">
        <v>52</v>
      </c>
      <c r="X767">
        <v>83</v>
      </c>
      <c r="Y767">
        <v>28</v>
      </c>
      <c r="Z767">
        <v>15</v>
      </c>
      <c r="AA767">
        <v>1</v>
      </c>
      <c r="AB767">
        <v>1</v>
      </c>
      <c r="AC767">
        <v>62</v>
      </c>
      <c r="AD767">
        <v>1</v>
      </c>
      <c r="AE767">
        <v>2</v>
      </c>
      <c r="AF767">
        <v>6</v>
      </c>
      <c r="AG767">
        <v>0</v>
      </c>
      <c r="AH767">
        <v>0</v>
      </c>
      <c r="AI767" s="5">
        <v>0.22800000000000001</v>
      </c>
      <c r="AJ767" s="5">
        <v>0.27700000000000002</v>
      </c>
      <c r="AK767" s="5">
        <v>0.36299999999999999</v>
      </c>
      <c r="AL767" s="5">
        <v>0.215</v>
      </c>
      <c r="AM767" s="5">
        <v>0.27700000000000002</v>
      </c>
      <c r="AN767">
        <v>-0.7</v>
      </c>
      <c r="AO767">
        <v>5.51</v>
      </c>
      <c r="AP767">
        <v>7</v>
      </c>
      <c r="AQ767">
        <v>-11.72</v>
      </c>
      <c r="AR767">
        <v>-1.2</v>
      </c>
      <c r="AS767" t="s">
        <v>60</v>
      </c>
      <c r="AT767">
        <v>-0.1</v>
      </c>
      <c r="AU767">
        <v>0.1</v>
      </c>
      <c r="AV767">
        <v>4</v>
      </c>
      <c r="AW767">
        <v>6</v>
      </c>
      <c r="AX767">
        <v>9</v>
      </c>
      <c r="AY767">
        <v>14</v>
      </c>
      <c r="AZ767" t="s">
        <v>4484</v>
      </c>
      <c r="BA767">
        <v>27</v>
      </c>
      <c r="BB767" t="s">
        <v>36</v>
      </c>
      <c r="BC767" t="s">
        <v>35</v>
      </c>
      <c r="BD767" s="4">
        <f>HYPERLINK("http://mlb.mlb.com/team/player.jsp?player_id=664848",664848)</f>
        <v>664848</v>
      </c>
      <c r="BE767">
        <v>0</v>
      </c>
      <c r="BF767">
        <v>0</v>
      </c>
      <c r="BG767">
        <v>0</v>
      </c>
      <c r="BH767">
        <v>0</v>
      </c>
    </row>
    <row r="768" spans="1:60" x14ac:dyDescent="0.3">
      <c r="A768" s="4">
        <f>HYPERLINK("http://legacy.baseballprospectus.com/p/106898",106898)</f>
        <v>106898</v>
      </c>
      <c r="B768" t="s">
        <v>944</v>
      </c>
      <c r="C768" t="s">
        <v>234</v>
      </c>
      <c r="D768" s="10">
        <v>34262</v>
      </c>
      <c r="E768" t="s">
        <v>59</v>
      </c>
      <c r="F768" t="s">
        <v>9</v>
      </c>
      <c r="G768" t="s">
        <v>33</v>
      </c>
      <c r="H768">
        <v>76</v>
      </c>
      <c r="I768">
        <v>235</v>
      </c>
      <c r="J768">
        <v>2018</v>
      </c>
      <c r="K768" s="4" t="str">
        <f>HYPERLINK("http://legacy.baseballprospectus.com/fantasy/dc/index.php?tm=SFN","SFN")</f>
        <v>SFN</v>
      </c>
      <c r="L768" t="s">
        <v>100</v>
      </c>
      <c r="M768" t="s">
        <v>34</v>
      </c>
      <c r="N768">
        <v>24</v>
      </c>
      <c r="O768">
        <v>250</v>
      </c>
      <c r="P768" t="s">
        <v>1680</v>
      </c>
      <c r="Q768">
        <v>229</v>
      </c>
      <c r="R768">
        <v>28</v>
      </c>
      <c r="S768">
        <v>31</v>
      </c>
      <c r="T768">
        <v>13</v>
      </c>
      <c r="U768">
        <v>1</v>
      </c>
      <c r="V768">
        <v>11</v>
      </c>
      <c r="W768">
        <v>56</v>
      </c>
      <c r="X768">
        <v>104</v>
      </c>
      <c r="Y768">
        <v>35</v>
      </c>
      <c r="Z768">
        <v>17</v>
      </c>
      <c r="AA768">
        <v>2</v>
      </c>
      <c r="AB768">
        <v>2</v>
      </c>
      <c r="AC768">
        <v>73</v>
      </c>
      <c r="AD768">
        <v>0</v>
      </c>
      <c r="AE768">
        <v>1</v>
      </c>
      <c r="AF768">
        <v>6</v>
      </c>
      <c r="AG768">
        <v>0</v>
      </c>
      <c r="AH768">
        <v>0</v>
      </c>
      <c r="AI768" s="5">
        <v>0.24199999999999999</v>
      </c>
      <c r="AJ768" s="5">
        <v>0.29799999999999999</v>
      </c>
      <c r="AK768" s="5">
        <v>0.44600000000000001</v>
      </c>
      <c r="AL768" s="5">
        <v>0.253</v>
      </c>
      <c r="AM768" s="5">
        <v>0.30399999999999999</v>
      </c>
      <c r="AN768">
        <v>-0.4</v>
      </c>
      <c r="AO768">
        <v>0.73</v>
      </c>
      <c r="AP768">
        <v>7</v>
      </c>
      <c r="AQ768">
        <v>-1.87</v>
      </c>
      <c r="AR768">
        <v>-5.9</v>
      </c>
      <c r="AS768" t="s">
        <v>3564</v>
      </c>
      <c r="AT768">
        <v>-0.1</v>
      </c>
      <c r="AU768">
        <v>5.5</v>
      </c>
      <c r="AV768">
        <v>8</v>
      </c>
      <c r="AW768">
        <v>25</v>
      </c>
      <c r="AX768">
        <v>10</v>
      </c>
      <c r="AY768">
        <v>25</v>
      </c>
      <c r="AZ768" t="s">
        <v>4400</v>
      </c>
      <c r="BA768">
        <v>45</v>
      </c>
      <c r="BB768" t="s">
        <v>36</v>
      </c>
      <c r="BC768" t="s">
        <v>35</v>
      </c>
      <c r="BD768" s="4">
        <f>HYPERLINK("http://mlb.mlb.com/team/player.jsp?player_id=622046",622046)</f>
        <v>622046</v>
      </c>
      <c r="BE768">
        <v>0</v>
      </c>
      <c r="BF768">
        <v>0</v>
      </c>
      <c r="BG768">
        <v>0</v>
      </c>
      <c r="BH768">
        <v>0</v>
      </c>
    </row>
    <row r="769" spans="1:60" x14ac:dyDescent="0.3">
      <c r="A769" s="4">
        <f>HYPERLINK("http://legacy.baseballprospectus.com/p/106960",106960)</f>
        <v>106960</v>
      </c>
      <c r="B769" t="s">
        <v>1060</v>
      </c>
      <c r="C769" t="s">
        <v>258</v>
      </c>
      <c r="D769" s="10">
        <v>35293</v>
      </c>
      <c r="E769" t="s">
        <v>54</v>
      </c>
      <c r="F769" t="s">
        <v>33</v>
      </c>
      <c r="G769" t="s">
        <v>33</v>
      </c>
      <c r="H769">
        <v>76</v>
      </c>
      <c r="I769">
        <v>225</v>
      </c>
      <c r="J769">
        <v>2018</v>
      </c>
      <c r="K769" s="4" t="str">
        <f>HYPERLINK("http://legacy.baseballprospectus.com/fantasy/dc/index.php?tm=CIN","CIN")</f>
        <v>CIN</v>
      </c>
      <c r="L769" t="s">
        <v>100</v>
      </c>
      <c r="M769" t="s">
        <v>34</v>
      </c>
      <c r="N769">
        <v>21</v>
      </c>
      <c r="O769">
        <v>250</v>
      </c>
      <c r="P769" t="s">
        <v>1680</v>
      </c>
      <c r="Q769">
        <v>224</v>
      </c>
      <c r="R769">
        <v>24</v>
      </c>
      <c r="S769">
        <v>31</v>
      </c>
      <c r="T769">
        <v>10</v>
      </c>
      <c r="U769">
        <v>0</v>
      </c>
      <c r="V769">
        <v>7</v>
      </c>
      <c r="W769">
        <v>48</v>
      </c>
      <c r="X769">
        <v>79</v>
      </c>
      <c r="Y769">
        <v>28</v>
      </c>
      <c r="Z769">
        <v>22</v>
      </c>
      <c r="AA769">
        <v>1</v>
      </c>
      <c r="AB769">
        <v>2</v>
      </c>
      <c r="AC769">
        <v>69</v>
      </c>
      <c r="AD769">
        <v>1</v>
      </c>
      <c r="AE769">
        <v>1</v>
      </c>
      <c r="AF769">
        <v>7</v>
      </c>
      <c r="AG769">
        <v>0</v>
      </c>
      <c r="AH769">
        <v>0</v>
      </c>
      <c r="AI769" s="5">
        <v>0.216</v>
      </c>
      <c r="AJ769" s="5">
        <v>0.28999999999999998</v>
      </c>
      <c r="AK769" s="5">
        <v>0.35399999999999998</v>
      </c>
      <c r="AL769" s="5">
        <v>0.216</v>
      </c>
      <c r="AM769" s="5">
        <v>0.27600000000000002</v>
      </c>
      <c r="AN769">
        <v>-0.5</v>
      </c>
      <c r="AO769">
        <v>4.7300000000000004</v>
      </c>
      <c r="AP769">
        <v>7</v>
      </c>
      <c r="AQ769">
        <v>-11.52</v>
      </c>
      <c r="AR769">
        <v>-1</v>
      </c>
      <c r="AS769" t="s">
        <v>60</v>
      </c>
      <c r="AT769">
        <v>-0.1</v>
      </c>
      <c r="AU769">
        <v>-0.3</v>
      </c>
      <c r="AV769">
        <v>2</v>
      </c>
      <c r="AW769">
        <v>2</v>
      </c>
      <c r="AX769">
        <v>2</v>
      </c>
      <c r="AY769">
        <v>5</v>
      </c>
      <c r="AZ769" t="s">
        <v>1925</v>
      </c>
      <c r="BA769">
        <v>7</v>
      </c>
      <c r="BB769" t="s">
        <v>36</v>
      </c>
      <c r="BC769" t="s">
        <v>35</v>
      </c>
      <c r="BD769" s="4">
        <f>HYPERLINK("http://mlb.mlb.com/team/player.jsp?player_id=663886",663886)</f>
        <v>663886</v>
      </c>
      <c r="BE769">
        <v>1414</v>
      </c>
      <c r="BF769">
        <v>414</v>
      </c>
      <c r="BG769">
        <v>0</v>
      </c>
      <c r="BH769">
        <v>0</v>
      </c>
    </row>
    <row r="770" spans="1:60" x14ac:dyDescent="0.3">
      <c r="A770" s="4">
        <f>HYPERLINK("http://legacy.baseballprospectus.com/p/107122",107122)</f>
        <v>107122</v>
      </c>
      <c r="B770" t="s">
        <v>1456</v>
      </c>
      <c r="C770" t="s">
        <v>451</v>
      </c>
      <c r="D770" s="10">
        <v>35502</v>
      </c>
      <c r="E770" t="s">
        <v>59</v>
      </c>
      <c r="F770" t="s">
        <v>33</v>
      </c>
      <c r="G770" t="s">
        <v>33</v>
      </c>
      <c r="H770">
        <v>73</v>
      </c>
      <c r="I770">
        <v>195</v>
      </c>
      <c r="J770">
        <v>2018</v>
      </c>
      <c r="K770" s="4" t="str">
        <f>HYPERLINK("http://legacy.baseballprospectus.com/fantasy/dc/index.php?tm=TBA","TBA")</f>
        <v>TBA</v>
      </c>
      <c r="L770" t="s">
        <v>95</v>
      </c>
      <c r="M770" t="s">
        <v>34</v>
      </c>
      <c r="N770">
        <v>21</v>
      </c>
      <c r="O770">
        <v>250</v>
      </c>
      <c r="P770" t="s">
        <v>1680</v>
      </c>
      <c r="Q770">
        <v>221</v>
      </c>
      <c r="R770">
        <v>26</v>
      </c>
      <c r="S770">
        <v>27</v>
      </c>
      <c r="T770">
        <v>8</v>
      </c>
      <c r="U770">
        <v>1</v>
      </c>
      <c r="V770">
        <v>7</v>
      </c>
      <c r="W770">
        <v>43</v>
      </c>
      <c r="X770">
        <v>74</v>
      </c>
      <c r="Y770">
        <v>26</v>
      </c>
      <c r="Z770">
        <v>24</v>
      </c>
      <c r="AA770">
        <v>1</v>
      </c>
      <c r="AB770">
        <v>3</v>
      </c>
      <c r="AC770">
        <v>89</v>
      </c>
      <c r="AD770">
        <v>1</v>
      </c>
      <c r="AE770">
        <v>1</v>
      </c>
      <c r="AF770">
        <v>5</v>
      </c>
      <c r="AG770">
        <v>5</v>
      </c>
      <c r="AH770">
        <v>1</v>
      </c>
      <c r="AI770" s="5">
        <v>0.19400000000000001</v>
      </c>
      <c r="AJ770" s="5">
        <v>0.28000000000000003</v>
      </c>
      <c r="AK770" s="5">
        <v>0.33200000000000002</v>
      </c>
      <c r="AL770" s="5">
        <v>0.219</v>
      </c>
      <c r="AM770" s="5">
        <v>0.28399999999999997</v>
      </c>
      <c r="AN770">
        <v>0.5</v>
      </c>
      <c r="AO770">
        <v>1.33</v>
      </c>
      <c r="AP770">
        <v>7</v>
      </c>
      <c r="AQ770">
        <v>-10.87</v>
      </c>
      <c r="AR770">
        <v>1.4</v>
      </c>
      <c r="AS770" t="s">
        <v>4923</v>
      </c>
      <c r="AT770">
        <v>-0.1</v>
      </c>
      <c r="AU770">
        <v>-2</v>
      </c>
      <c r="AV770">
        <v>1</v>
      </c>
      <c r="AW770">
        <v>2</v>
      </c>
      <c r="AX770">
        <v>0</v>
      </c>
      <c r="AY770">
        <v>4</v>
      </c>
      <c r="AZ770" t="s">
        <v>4485</v>
      </c>
      <c r="BA770">
        <v>6</v>
      </c>
      <c r="BB770" t="s">
        <v>36</v>
      </c>
      <c r="BC770" t="s">
        <v>35</v>
      </c>
      <c r="BD770" s="4">
        <f>HYPERLINK("http://mlb.mlb.com/team/player.jsp?player_id=663605",663605)</f>
        <v>663605</v>
      </c>
      <c r="BE770">
        <v>677</v>
      </c>
      <c r="BF770">
        <v>1677</v>
      </c>
      <c r="BG770">
        <v>0</v>
      </c>
      <c r="BH770">
        <v>0</v>
      </c>
    </row>
    <row r="771" spans="1:60" x14ac:dyDescent="0.3">
      <c r="A771" s="4">
        <f>HYPERLINK("http://legacy.baseballprospectus.com/p/107192",107192)</f>
        <v>107192</v>
      </c>
      <c r="B771" t="s">
        <v>298</v>
      </c>
      <c r="C771" t="s">
        <v>1939</v>
      </c>
      <c r="D771" s="10">
        <v>35345</v>
      </c>
      <c r="E771" t="s">
        <v>57</v>
      </c>
      <c r="F771" t="s">
        <v>33</v>
      </c>
      <c r="G771" t="s">
        <v>33</v>
      </c>
      <c r="H771">
        <v>73</v>
      </c>
      <c r="I771">
        <v>195</v>
      </c>
      <c r="J771">
        <v>2018</v>
      </c>
      <c r="K771" s="4" t="str">
        <f>HYPERLINK("http://legacy.baseballprospectus.com/fantasy/dc/index.php?tm=LAN","LAN")</f>
        <v>LAN</v>
      </c>
      <c r="L771" t="s">
        <v>100</v>
      </c>
      <c r="M771" t="s">
        <v>34</v>
      </c>
      <c r="N771">
        <v>21</v>
      </c>
      <c r="O771">
        <v>250</v>
      </c>
      <c r="P771" t="s">
        <v>1680</v>
      </c>
      <c r="Q771">
        <v>228</v>
      </c>
      <c r="R771">
        <v>26</v>
      </c>
      <c r="S771">
        <v>34</v>
      </c>
      <c r="T771">
        <v>10</v>
      </c>
      <c r="U771">
        <v>1</v>
      </c>
      <c r="V771">
        <v>7</v>
      </c>
      <c r="W771">
        <v>52</v>
      </c>
      <c r="X771">
        <v>85</v>
      </c>
      <c r="Y771">
        <v>29</v>
      </c>
      <c r="Z771">
        <v>19</v>
      </c>
      <c r="AA771">
        <v>1</v>
      </c>
      <c r="AB771">
        <v>1</v>
      </c>
      <c r="AC771">
        <v>66</v>
      </c>
      <c r="AD771">
        <v>1</v>
      </c>
      <c r="AE771">
        <v>2</v>
      </c>
      <c r="AF771">
        <v>7</v>
      </c>
      <c r="AG771">
        <v>3</v>
      </c>
      <c r="AH771">
        <v>3</v>
      </c>
      <c r="AI771" s="5">
        <v>0.23200000000000001</v>
      </c>
      <c r="AJ771" s="5">
        <v>0.29099999999999998</v>
      </c>
      <c r="AK771" s="5">
        <v>0.38300000000000001</v>
      </c>
      <c r="AL771" s="5">
        <v>0.23100000000000001</v>
      </c>
      <c r="AM771" s="5">
        <v>0.28999999999999998</v>
      </c>
      <c r="AN771">
        <v>-0.8</v>
      </c>
      <c r="AO771">
        <v>1</v>
      </c>
      <c r="AP771">
        <v>7</v>
      </c>
      <c r="AQ771">
        <v>-7.58</v>
      </c>
      <c r="AR771">
        <v>-0.9</v>
      </c>
      <c r="AS771" t="s">
        <v>4919</v>
      </c>
      <c r="AT771">
        <v>-0.1</v>
      </c>
      <c r="AU771">
        <v>-0.3</v>
      </c>
      <c r="AV771">
        <v>3</v>
      </c>
      <c r="AW771">
        <v>11</v>
      </c>
      <c r="AX771">
        <v>3</v>
      </c>
      <c r="AY771">
        <v>11</v>
      </c>
      <c r="AZ771" t="s">
        <v>4486</v>
      </c>
      <c r="BA771">
        <v>20</v>
      </c>
      <c r="BB771" t="s">
        <v>36</v>
      </c>
      <c r="BC771" t="s">
        <v>35</v>
      </c>
      <c r="BD771" s="4">
        <f>HYPERLINK("http://mlb.mlb.com/team/player.jsp?player_id=666783",666783)</f>
        <v>666783</v>
      </c>
      <c r="BE771">
        <v>1663</v>
      </c>
      <c r="BF771">
        <v>663</v>
      </c>
      <c r="BG771">
        <v>0</v>
      </c>
      <c r="BH771">
        <v>0</v>
      </c>
    </row>
    <row r="772" spans="1:60" x14ac:dyDescent="0.3">
      <c r="A772" s="4">
        <f>HYPERLINK("http://legacy.baseballprospectus.com/p/108807",108807)</f>
        <v>108807</v>
      </c>
      <c r="B772" t="s">
        <v>989</v>
      </c>
      <c r="C772" t="s">
        <v>4492</v>
      </c>
      <c r="D772" s="10">
        <v>35316</v>
      </c>
      <c r="E772" t="s">
        <v>65</v>
      </c>
      <c r="F772" t="s">
        <v>33</v>
      </c>
      <c r="G772" t="s">
        <v>33</v>
      </c>
      <c r="H772">
        <v>74</v>
      </c>
      <c r="I772">
        <v>170</v>
      </c>
      <c r="J772">
        <v>2018</v>
      </c>
      <c r="K772" s="4" t="str">
        <f>HYPERLINK("http://legacy.baseballprospectus.com/fantasy/dc/index.php?tm=SFN","SFN")</f>
        <v>SFN</v>
      </c>
      <c r="L772" t="s">
        <v>100</v>
      </c>
      <c r="M772" t="s">
        <v>34</v>
      </c>
      <c r="N772">
        <v>21</v>
      </c>
      <c r="O772">
        <v>250</v>
      </c>
      <c r="P772" t="s">
        <v>1680</v>
      </c>
      <c r="Q772">
        <v>227</v>
      </c>
      <c r="R772">
        <v>30</v>
      </c>
      <c r="S772">
        <v>30</v>
      </c>
      <c r="T772">
        <v>9</v>
      </c>
      <c r="U772">
        <v>1</v>
      </c>
      <c r="V772">
        <v>5</v>
      </c>
      <c r="W772">
        <v>45</v>
      </c>
      <c r="X772">
        <v>71</v>
      </c>
      <c r="Y772">
        <v>19</v>
      </c>
      <c r="Z772">
        <v>17</v>
      </c>
      <c r="AA772">
        <v>1</v>
      </c>
      <c r="AB772">
        <v>2</v>
      </c>
      <c r="AC772">
        <v>77</v>
      </c>
      <c r="AD772">
        <v>2</v>
      </c>
      <c r="AE772">
        <v>2</v>
      </c>
      <c r="AF772">
        <v>6</v>
      </c>
      <c r="AG772">
        <v>10</v>
      </c>
      <c r="AH772">
        <v>4</v>
      </c>
      <c r="AI772" s="5">
        <v>0.19900000000000001</v>
      </c>
      <c r="AJ772" s="5">
        <v>0.26</v>
      </c>
      <c r="AK772" s="5">
        <v>0.313</v>
      </c>
      <c r="AL772" s="5">
        <v>0.20200000000000001</v>
      </c>
      <c r="AM772" s="5">
        <v>0.27100000000000002</v>
      </c>
      <c r="AN772">
        <v>0.7</v>
      </c>
      <c r="AO772">
        <v>3.26</v>
      </c>
      <c r="AP772">
        <v>7</v>
      </c>
      <c r="AQ772">
        <v>-15.26</v>
      </c>
      <c r="AR772">
        <v>3.6</v>
      </c>
      <c r="AS772" t="s">
        <v>4493</v>
      </c>
      <c r="AT772">
        <v>-0.1</v>
      </c>
      <c r="AU772">
        <v>-4.3</v>
      </c>
      <c r="AV772">
        <v>1</v>
      </c>
      <c r="AW772">
        <v>1</v>
      </c>
      <c r="AX772">
        <v>0</v>
      </c>
      <c r="AY772">
        <v>1</v>
      </c>
      <c r="AZ772" t="s">
        <v>4494</v>
      </c>
      <c r="BA772">
        <v>1</v>
      </c>
      <c r="BB772" t="s">
        <v>36</v>
      </c>
      <c r="BC772" t="s">
        <v>35</v>
      </c>
      <c r="BD772" s="4">
        <f>HYPERLINK("http://mlb.mlb.com/team/player.jsp?player_id=670419",670419)</f>
        <v>670419</v>
      </c>
      <c r="BE772">
        <v>0</v>
      </c>
      <c r="BF772">
        <v>0</v>
      </c>
      <c r="BG772">
        <v>0</v>
      </c>
      <c r="BH772">
        <v>0</v>
      </c>
    </row>
    <row r="773" spans="1:60" x14ac:dyDescent="0.3">
      <c r="A773" s="4">
        <f>HYPERLINK("http://legacy.baseballprospectus.com/p/109040",109040)</f>
        <v>109040</v>
      </c>
      <c r="B773" t="s">
        <v>599</v>
      </c>
      <c r="C773" t="s">
        <v>126</v>
      </c>
      <c r="D773" s="10">
        <v>34726</v>
      </c>
      <c r="E773" t="s">
        <v>65</v>
      </c>
      <c r="F773" t="s">
        <v>37</v>
      </c>
      <c r="G773" t="s">
        <v>33</v>
      </c>
      <c r="H773">
        <v>75</v>
      </c>
      <c r="I773">
        <v>205</v>
      </c>
      <c r="J773">
        <v>2018</v>
      </c>
      <c r="K773" s="4" t="str">
        <f>HYPERLINK("http://legacy.baseballprospectus.com/fantasy/dc/index.php?tm=PIT","PIT")</f>
        <v>PIT</v>
      </c>
      <c r="L773" t="s">
        <v>100</v>
      </c>
      <c r="M773" t="s">
        <v>34</v>
      </c>
      <c r="N773">
        <v>23</v>
      </c>
      <c r="O773">
        <v>250</v>
      </c>
      <c r="P773" t="s">
        <v>1680</v>
      </c>
      <c r="Q773">
        <v>232</v>
      </c>
      <c r="R773">
        <v>23</v>
      </c>
      <c r="S773">
        <v>38</v>
      </c>
      <c r="T773">
        <v>11</v>
      </c>
      <c r="U773">
        <v>2</v>
      </c>
      <c r="V773">
        <v>6</v>
      </c>
      <c r="W773">
        <v>57</v>
      </c>
      <c r="X773">
        <v>90</v>
      </c>
      <c r="Y773">
        <v>27</v>
      </c>
      <c r="Z773">
        <v>14</v>
      </c>
      <c r="AA773">
        <v>1</v>
      </c>
      <c r="AB773">
        <v>2</v>
      </c>
      <c r="AC773">
        <v>65</v>
      </c>
      <c r="AD773">
        <v>1</v>
      </c>
      <c r="AE773">
        <v>2</v>
      </c>
      <c r="AF773">
        <v>6</v>
      </c>
      <c r="AG773">
        <v>0</v>
      </c>
      <c r="AH773">
        <v>0</v>
      </c>
      <c r="AI773" s="5">
        <v>0.24399999999999999</v>
      </c>
      <c r="AJ773" s="5">
        <v>0.28999999999999998</v>
      </c>
      <c r="AK773" s="5">
        <v>0.379</v>
      </c>
      <c r="AL773" s="5">
        <v>0.23300000000000001</v>
      </c>
      <c r="AM773" s="5">
        <v>0.312</v>
      </c>
      <c r="AN773">
        <v>-0.2</v>
      </c>
      <c r="AO773">
        <v>1.55</v>
      </c>
      <c r="AP773">
        <v>7</v>
      </c>
      <c r="AQ773">
        <v>-7.04</v>
      </c>
      <c r="AR773">
        <v>-2.2000000000000002</v>
      </c>
      <c r="AS773" t="s">
        <v>4495</v>
      </c>
      <c r="AT773">
        <v>-0.1</v>
      </c>
      <c r="AU773">
        <v>1.3</v>
      </c>
      <c r="AV773">
        <v>1</v>
      </c>
      <c r="AW773">
        <v>12</v>
      </c>
      <c r="AX773">
        <v>3</v>
      </c>
      <c r="AY773">
        <v>10</v>
      </c>
      <c r="AZ773" t="s">
        <v>4496</v>
      </c>
      <c r="BA773">
        <v>25</v>
      </c>
      <c r="BB773" t="s">
        <v>36</v>
      </c>
      <c r="BC773" t="s">
        <v>35</v>
      </c>
      <c r="BD773" s="4">
        <f>HYPERLINK("http://mlb.mlb.com/team/player.jsp?player_id=668804",668804)</f>
        <v>668804</v>
      </c>
      <c r="BE773">
        <v>1679</v>
      </c>
      <c r="BF773">
        <v>679</v>
      </c>
      <c r="BG773">
        <v>0</v>
      </c>
      <c r="BH773">
        <v>0</v>
      </c>
    </row>
    <row r="774" spans="1:60" x14ac:dyDescent="0.3">
      <c r="A774" s="4">
        <f>HYPERLINK("http://legacy.baseballprospectus.com/p/109151",109151)</f>
        <v>109151</v>
      </c>
      <c r="B774" t="s">
        <v>4498</v>
      </c>
      <c r="C774" t="s">
        <v>4499</v>
      </c>
      <c r="D774" s="10">
        <v>31986</v>
      </c>
      <c r="E774" t="s">
        <v>51</v>
      </c>
      <c r="F774" t="s">
        <v>33</v>
      </c>
      <c r="G774" t="s">
        <v>33</v>
      </c>
      <c r="H774">
        <v>72</v>
      </c>
      <c r="I774">
        <v>215</v>
      </c>
      <c r="J774">
        <v>2018</v>
      </c>
      <c r="K774" s="4" t="str">
        <f>HYPERLINK("http://legacy.baseballprospectus.com/fantasy/dc/index.php?tm=SFN","SFN")</f>
        <v>SFN</v>
      </c>
      <c r="L774" t="s">
        <v>100</v>
      </c>
      <c r="M774" t="s">
        <v>34</v>
      </c>
      <c r="N774">
        <v>30</v>
      </c>
      <c r="O774">
        <v>250</v>
      </c>
      <c r="P774" t="s">
        <v>1680</v>
      </c>
      <c r="Q774">
        <v>228</v>
      </c>
      <c r="R774">
        <v>25</v>
      </c>
      <c r="S774">
        <v>34</v>
      </c>
      <c r="T774">
        <v>11</v>
      </c>
      <c r="U774">
        <v>1</v>
      </c>
      <c r="V774">
        <v>6</v>
      </c>
      <c r="W774">
        <v>52</v>
      </c>
      <c r="X774">
        <v>83</v>
      </c>
      <c r="Y774">
        <v>28</v>
      </c>
      <c r="Z774">
        <v>18</v>
      </c>
      <c r="AA774">
        <v>1</v>
      </c>
      <c r="AB774">
        <v>1</v>
      </c>
      <c r="AC774">
        <v>66</v>
      </c>
      <c r="AD774">
        <v>0</v>
      </c>
      <c r="AE774">
        <v>2</v>
      </c>
      <c r="AF774">
        <v>5</v>
      </c>
      <c r="AG774">
        <v>2</v>
      </c>
      <c r="AH774">
        <v>1</v>
      </c>
      <c r="AI774" s="5">
        <v>0.23200000000000001</v>
      </c>
      <c r="AJ774" s="5">
        <v>0.28999999999999998</v>
      </c>
      <c r="AK774" s="5">
        <v>0.376</v>
      </c>
      <c r="AL774" s="5">
        <v>0.23200000000000001</v>
      </c>
      <c r="AM774" s="5">
        <v>0.29599999999999999</v>
      </c>
      <c r="AN774">
        <v>0</v>
      </c>
      <c r="AO774">
        <v>0.37</v>
      </c>
      <c r="AP774">
        <v>7</v>
      </c>
      <c r="AQ774">
        <v>-7.38</v>
      </c>
      <c r="AR774">
        <v>-0.5</v>
      </c>
      <c r="AS774" t="s">
        <v>4924</v>
      </c>
      <c r="AT774">
        <v>-0.1</v>
      </c>
      <c r="AU774">
        <v>0</v>
      </c>
      <c r="AV774">
        <v>2</v>
      </c>
      <c r="AW774">
        <v>6</v>
      </c>
      <c r="AX774">
        <v>5</v>
      </c>
      <c r="AY774">
        <v>10</v>
      </c>
      <c r="AZ774" t="s">
        <v>4500</v>
      </c>
      <c r="BA774">
        <v>18</v>
      </c>
      <c r="BB774" t="s">
        <v>36</v>
      </c>
      <c r="BC774" t="s">
        <v>35</v>
      </c>
      <c r="BD774" s="4">
        <f>HYPERLINK("http://mlb.mlb.com/team/player.jsp?player_id=666561",666561)</f>
        <v>666561</v>
      </c>
      <c r="BE774">
        <v>0</v>
      </c>
      <c r="BF774">
        <v>0</v>
      </c>
      <c r="BG774">
        <v>57</v>
      </c>
      <c r="BH774">
        <v>52</v>
      </c>
    </row>
    <row r="775" spans="1:60" x14ac:dyDescent="0.3">
      <c r="A775" s="4">
        <f>HYPERLINK("http://legacy.baseballprospectus.com/p/109519",109519)</f>
        <v>109519</v>
      </c>
      <c r="B775" t="s">
        <v>4501</v>
      </c>
      <c r="C775" t="s">
        <v>344</v>
      </c>
      <c r="D775" s="10">
        <v>35165</v>
      </c>
      <c r="E775" t="s">
        <v>51</v>
      </c>
      <c r="F775" t="s">
        <v>33</v>
      </c>
      <c r="G775" t="s">
        <v>33</v>
      </c>
      <c r="H775">
        <v>74</v>
      </c>
      <c r="I775">
        <v>210</v>
      </c>
      <c r="J775">
        <v>2018</v>
      </c>
      <c r="K775" s="4" t="str">
        <f>HYPERLINK("http://legacy.baseballprospectus.com/fantasy/dc/index.php?tm=CHA","CHA")</f>
        <v>CHA</v>
      </c>
      <c r="L775" t="s">
        <v>95</v>
      </c>
      <c r="M775" t="s">
        <v>34</v>
      </c>
      <c r="N775">
        <v>22</v>
      </c>
      <c r="O775">
        <v>250</v>
      </c>
      <c r="P775" t="s">
        <v>1680</v>
      </c>
      <c r="Q775">
        <v>229</v>
      </c>
      <c r="R775">
        <v>26</v>
      </c>
      <c r="S775">
        <v>34</v>
      </c>
      <c r="T775">
        <v>10</v>
      </c>
      <c r="U775">
        <v>1</v>
      </c>
      <c r="V775">
        <v>8</v>
      </c>
      <c r="W775">
        <v>53</v>
      </c>
      <c r="X775">
        <v>89</v>
      </c>
      <c r="Y775">
        <v>30</v>
      </c>
      <c r="Z775">
        <v>15</v>
      </c>
      <c r="AA775">
        <v>1</v>
      </c>
      <c r="AB775">
        <v>4</v>
      </c>
      <c r="AC775">
        <v>58</v>
      </c>
      <c r="AD775">
        <v>1</v>
      </c>
      <c r="AE775">
        <v>1</v>
      </c>
      <c r="AF775">
        <v>7</v>
      </c>
      <c r="AG775">
        <v>0</v>
      </c>
      <c r="AH775">
        <v>0</v>
      </c>
      <c r="AI775" s="5">
        <v>0.23400000000000001</v>
      </c>
      <c r="AJ775" s="5">
        <v>0.29099999999999998</v>
      </c>
      <c r="AK775" s="5">
        <v>0.39200000000000002</v>
      </c>
      <c r="AL775" s="5">
        <v>0.23</v>
      </c>
      <c r="AM775" s="5">
        <v>0.27600000000000002</v>
      </c>
      <c r="AN775">
        <v>-0.3</v>
      </c>
      <c r="AO775">
        <v>1.49</v>
      </c>
      <c r="AP775">
        <v>7</v>
      </c>
      <c r="AQ775">
        <v>-7.87</v>
      </c>
      <c r="AR775">
        <v>-0.7</v>
      </c>
      <c r="AS775" t="s">
        <v>56</v>
      </c>
      <c r="AT775">
        <v>-0.1</v>
      </c>
      <c r="AU775">
        <v>0.3</v>
      </c>
      <c r="AV775">
        <v>9</v>
      </c>
      <c r="AW775">
        <v>18</v>
      </c>
      <c r="AX775">
        <v>5</v>
      </c>
      <c r="AY775">
        <v>22</v>
      </c>
      <c r="AZ775" t="s">
        <v>4502</v>
      </c>
      <c r="BA775">
        <v>29</v>
      </c>
      <c r="BB775" t="s">
        <v>36</v>
      </c>
      <c r="BC775" t="s">
        <v>35</v>
      </c>
      <c r="BD775" s="4">
        <f>HYPERLINK("http://mlb.mlb.com/team/player.jsp?player_id=669394",669394)</f>
        <v>669394</v>
      </c>
      <c r="BE775">
        <v>488</v>
      </c>
      <c r="BF775">
        <v>1488</v>
      </c>
      <c r="BG775">
        <v>0</v>
      </c>
      <c r="BH775">
        <v>0</v>
      </c>
    </row>
    <row r="776" spans="1:60" x14ac:dyDescent="0.3">
      <c r="A776" s="4">
        <f>HYPERLINK("http://legacy.baseballprospectus.com/p/109649",109649)</f>
        <v>109649</v>
      </c>
      <c r="B776" t="s">
        <v>4503</v>
      </c>
      <c r="C776" t="s">
        <v>272</v>
      </c>
      <c r="D776" s="10">
        <v>35289</v>
      </c>
      <c r="E776" t="s">
        <v>51</v>
      </c>
      <c r="F776" t="s">
        <v>33</v>
      </c>
      <c r="G776" t="s">
        <v>33</v>
      </c>
      <c r="H776">
        <v>71</v>
      </c>
      <c r="I776">
        <v>201</v>
      </c>
      <c r="J776">
        <v>2018</v>
      </c>
      <c r="K776" s="4" t="str">
        <f>HYPERLINK("http://legacy.baseballprospectus.com/fantasy/dc/index.php?tm=BAL","BAL")</f>
        <v>BAL</v>
      </c>
      <c r="L776" t="s">
        <v>95</v>
      </c>
      <c r="M776" t="s">
        <v>34</v>
      </c>
      <c r="N776">
        <v>21</v>
      </c>
      <c r="O776">
        <v>250</v>
      </c>
      <c r="P776" t="s">
        <v>1680</v>
      </c>
      <c r="Q776">
        <v>228</v>
      </c>
      <c r="R776">
        <v>24</v>
      </c>
      <c r="S776">
        <v>32</v>
      </c>
      <c r="T776">
        <v>10</v>
      </c>
      <c r="U776">
        <v>1</v>
      </c>
      <c r="V776">
        <v>7</v>
      </c>
      <c r="W776">
        <v>50</v>
      </c>
      <c r="X776">
        <v>83</v>
      </c>
      <c r="Y776">
        <v>28</v>
      </c>
      <c r="Z776">
        <v>18</v>
      </c>
      <c r="AA776">
        <v>1</v>
      </c>
      <c r="AB776">
        <v>3</v>
      </c>
      <c r="AC776">
        <v>68</v>
      </c>
      <c r="AD776">
        <v>1</v>
      </c>
      <c r="AE776">
        <v>1</v>
      </c>
      <c r="AF776">
        <v>6</v>
      </c>
      <c r="AG776">
        <v>0</v>
      </c>
      <c r="AH776">
        <v>0</v>
      </c>
      <c r="AI776" s="5">
        <v>0.219</v>
      </c>
      <c r="AJ776" s="5">
        <v>0.28100000000000003</v>
      </c>
      <c r="AK776" s="5">
        <v>0.36099999999999999</v>
      </c>
      <c r="AL776" s="5">
        <v>0.215</v>
      </c>
      <c r="AM776" s="5">
        <v>0.27700000000000002</v>
      </c>
      <c r="AN776">
        <v>-0.3</v>
      </c>
      <c r="AO776">
        <v>1.31</v>
      </c>
      <c r="AP776">
        <v>7</v>
      </c>
      <c r="AQ776">
        <v>-11.69</v>
      </c>
      <c r="AR776">
        <v>2.8</v>
      </c>
      <c r="AS776" t="s">
        <v>4504</v>
      </c>
      <c r="AT776">
        <v>-0.1</v>
      </c>
      <c r="AU776">
        <v>-3.7</v>
      </c>
      <c r="AV776">
        <v>0</v>
      </c>
      <c r="AW776">
        <v>1</v>
      </c>
      <c r="AX776">
        <v>0</v>
      </c>
      <c r="AY776">
        <v>4</v>
      </c>
      <c r="AZ776" t="s">
        <v>4505</v>
      </c>
      <c r="BA776">
        <v>4</v>
      </c>
      <c r="BB776" t="s">
        <v>36</v>
      </c>
      <c r="BC776" t="s">
        <v>35</v>
      </c>
      <c r="BD776" s="4">
        <f>HYPERLINK("http://mlb.mlb.com/team/player.jsp?player_id=669051",669051)</f>
        <v>669051</v>
      </c>
      <c r="BE776">
        <v>0</v>
      </c>
      <c r="BF776">
        <v>0</v>
      </c>
      <c r="BG776">
        <v>0</v>
      </c>
      <c r="BH776">
        <v>0</v>
      </c>
    </row>
    <row r="777" spans="1:60" x14ac:dyDescent="0.3">
      <c r="A777" s="4">
        <f>HYPERLINK("http://legacy.baseballprospectus.com/p/109773",109773)</f>
        <v>109773</v>
      </c>
      <c r="B777" t="s">
        <v>318</v>
      </c>
      <c r="C777" t="s">
        <v>210</v>
      </c>
      <c r="D777" s="10">
        <v>35034</v>
      </c>
      <c r="E777" t="s">
        <v>51</v>
      </c>
      <c r="F777" t="s">
        <v>33</v>
      </c>
      <c r="G777" t="s">
        <v>33</v>
      </c>
      <c r="H777">
        <v>75</v>
      </c>
      <c r="I777">
        <v>210</v>
      </c>
      <c r="J777">
        <v>2018</v>
      </c>
      <c r="K777" s="4" t="str">
        <f>HYPERLINK("http://legacy.baseballprospectus.com/fantasy/dc/index.php?tm=ARI","ARI")</f>
        <v>ARI</v>
      </c>
      <c r="L777" t="s">
        <v>100</v>
      </c>
      <c r="M777" t="s">
        <v>34</v>
      </c>
      <c r="N777">
        <v>22</v>
      </c>
      <c r="O777">
        <v>250</v>
      </c>
      <c r="P777" t="s">
        <v>1680</v>
      </c>
      <c r="Q777">
        <v>227</v>
      </c>
      <c r="R777">
        <v>24</v>
      </c>
      <c r="S777">
        <v>29</v>
      </c>
      <c r="T777">
        <v>10</v>
      </c>
      <c r="U777">
        <v>1</v>
      </c>
      <c r="V777">
        <v>8</v>
      </c>
      <c r="W777">
        <v>48</v>
      </c>
      <c r="X777">
        <v>84</v>
      </c>
      <c r="Y777">
        <v>29</v>
      </c>
      <c r="Z777">
        <v>19</v>
      </c>
      <c r="AA777">
        <v>1</v>
      </c>
      <c r="AB777">
        <v>2</v>
      </c>
      <c r="AC777">
        <v>76</v>
      </c>
      <c r="AD777">
        <v>1</v>
      </c>
      <c r="AE777">
        <v>1</v>
      </c>
      <c r="AF777">
        <v>6</v>
      </c>
      <c r="AG777">
        <v>0</v>
      </c>
      <c r="AH777">
        <v>0</v>
      </c>
      <c r="AI777" s="5">
        <v>0.20699999999999999</v>
      </c>
      <c r="AJ777" s="5">
        <v>0.27300000000000002</v>
      </c>
      <c r="AK777" s="5">
        <v>0.36099999999999999</v>
      </c>
      <c r="AL777" s="5">
        <v>0.215</v>
      </c>
      <c r="AM777" s="5">
        <v>0.27100000000000002</v>
      </c>
      <c r="AN777">
        <v>-0.4</v>
      </c>
      <c r="AO777">
        <v>1.45</v>
      </c>
      <c r="AP777">
        <v>7</v>
      </c>
      <c r="AQ777">
        <v>-11.71</v>
      </c>
      <c r="AR777">
        <v>2.4</v>
      </c>
      <c r="AS777" t="s">
        <v>1828</v>
      </c>
      <c r="AT777">
        <v>-0.1</v>
      </c>
      <c r="AU777">
        <v>-3.6</v>
      </c>
      <c r="AV777">
        <v>4</v>
      </c>
      <c r="AW777">
        <v>8</v>
      </c>
      <c r="AX777">
        <v>3</v>
      </c>
      <c r="AY777">
        <v>15</v>
      </c>
      <c r="AZ777" t="s">
        <v>4558</v>
      </c>
      <c r="BA777">
        <v>16</v>
      </c>
      <c r="BB777" t="s">
        <v>36</v>
      </c>
      <c r="BC777" t="s">
        <v>35</v>
      </c>
      <c r="BD777" s="4">
        <f>HYPERLINK("http://mlb.mlb.com/team/player.jsp?player_id=656403",656403)</f>
        <v>656403</v>
      </c>
      <c r="BE777">
        <v>1518</v>
      </c>
      <c r="BF777">
        <v>518</v>
      </c>
      <c r="BG777">
        <v>0</v>
      </c>
      <c r="BH777">
        <v>0</v>
      </c>
    </row>
    <row r="778" spans="1:60" x14ac:dyDescent="0.3">
      <c r="A778" s="4">
        <f>HYPERLINK("http://legacy.baseballprospectus.com/p/69305",69305)</f>
        <v>69305</v>
      </c>
      <c r="B778" t="s">
        <v>466</v>
      </c>
      <c r="C778" t="s">
        <v>332</v>
      </c>
      <c r="D778" s="10">
        <v>32539</v>
      </c>
      <c r="E778" t="s">
        <v>51</v>
      </c>
      <c r="F778" t="s">
        <v>9</v>
      </c>
      <c r="G778" t="s">
        <v>33</v>
      </c>
      <c r="H778">
        <v>71</v>
      </c>
      <c r="I778">
        <v>180</v>
      </c>
      <c r="J778">
        <v>2018</v>
      </c>
      <c r="K778" s="4" t="str">
        <f>HYPERLINK("http://legacy.baseballprospectus.com/fantasy/dc/index.php?tm=CHN","CHN")</f>
        <v>CHN</v>
      </c>
      <c r="L778" t="s">
        <v>100</v>
      </c>
      <c r="M778" t="s">
        <v>34</v>
      </c>
      <c r="N778">
        <v>29</v>
      </c>
      <c r="O778">
        <v>169</v>
      </c>
      <c r="P778">
        <v>77</v>
      </c>
      <c r="Q778">
        <v>149</v>
      </c>
      <c r="R778">
        <v>18</v>
      </c>
      <c r="S778">
        <v>27</v>
      </c>
      <c r="T778">
        <v>8</v>
      </c>
      <c r="U778">
        <v>1</v>
      </c>
      <c r="V778">
        <v>3</v>
      </c>
      <c r="W778">
        <v>39</v>
      </c>
      <c r="X778">
        <v>58</v>
      </c>
      <c r="Y778">
        <v>17</v>
      </c>
      <c r="Z778">
        <v>17</v>
      </c>
      <c r="AA778">
        <v>1</v>
      </c>
      <c r="AB778">
        <v>2</v>
      </c>
      <c r="AC778">
        <v>22</v>
      </c>
      <c r="AD778">
        <v>0</v>
      </c>
      <c r="AE778">
        <v>1</v>
      </c>
      <c r="AF778">
        <v>4</v>
      </c>
      <c r="AG778">
        <v>1</v>
      </c>
      <c r="AH778">
        <v>0</v>
      </c>
      <c r="AI778" s="5">
        <v>0.26200000000000001</v>
      </c>
      <c r="AJ778" s="5">
        <v>0.34300000000000003</v>
      </c>
      <c r="AK778" s="5">
        <v>0.38900000000000001</v>
      </c>
      <c r="AL778" s="5">
        <v>0.249</v>
      </c>
      <c r="AM778" s="5">
        <v>0.28499999999999998</v>
      </c>
      <c r="AN778">
        <v>-0.3</v>
      </c>
      <c r="AO778">
        <v>-0.96</v>
      </c>
      <c r="AP778">
        <v>4.54</v>
      </c>
      <c r="AQ778">
        <v>-1.93</v>
      </c>
      <c r="AR778">
        <v>-2.9</v>
      </c>
      <c r="AS778" t="s">
        <v>4582</v>
      </c>
      <c r="AT778">
        <v>-0.2</v>
      </c>
      <c r="AU778">
        <v>1.3</v>
      </c>
      <c r="AV778">
        <v>5</v>
      </c>
      <c r="AW778">
        <v>36</v>
      </c>
      <c r="AX778">
        <v>15</v>
      </c>
      <c r="AY778">
        <v>23</v>
      </c>
      <c r="AZ778" t="s">
        <v>4330</v>
      </c>
      <c r="BA778">
        <v>94</v>
      </c>
      <c r="BB778" t="s">
        <v>35</v>
      </c>
      <c r="BC778" t="s">
        <v>36</v>
      </c>
      <c r="BD778" s="4">
        <f>HYPERLINK("http://mlb.mlb.com/team/player.jsp?player_id=600303",600303)</f>
        <v>600303</v>
      </c>
      <c r="BE778">
        <v>1468</v>
      </c>
      <c r="BF778">
        <v>468</v>
      </c>
      <c r="BG778">
        <v>151</v>
      </c>
      <c r="BH778">
        <v>125</v>
      </c>
    </row>
    <row r="779" spans="1:60" x14ac:dyDescent="0.3">
      <c r="A779" s="4">
        <f>HYPERLINK("http://legacy.baseballprospectus.com/p/36585",36585)</f>
        <v>36585</v>
      </c>
      <c r="B779" t="s">
        <v>406</v>
      </c>
      <c r="C779" t="s">
        <v>102</v>
      </c>
      <c r="D779" s="10">
        <v>29449</v>
      </c>
      <c r="E779" t="s">
        <v>54</v>
      </c>
      <c r="F779" t="s">
        <v>33</v>
      </c>
      <c r="G779" t="s">
        <v>33</v>
      </c>
      <c r="H779">
        <v>72</v>
      </c>
      <c r="I779">
        <v>225</v>
      </c>
      <c r="J779">
        <v>2018</v>
      </c>
      <c r="K779" s="4" t="str">
        <f>HYPERLINK("http://legacy.baseballprospectus.com/fantasy/dc/index.php?tm=CLE","CLE")</f>
        <v>CLE</v>
      </c>
      <c r="L779" t="s">
        <v>95</v>
      </c>
      <c r="M779" t="s">
        <v>34</v>
      </c>
      <c r="N779">
        <v>37</v>
      </c>
      <c r="O779">
        <v>32</v>
      </c>
      <c r="P779">
        <v>9</v>
      </c>
      <c r="Q779">
        <v>28</v>
      </c>
      <c r="R779">
        <v>3</v>
      </c>
      <c r="S779">
        <v>5</v>
      </c>
      <c r="T779">
        <v>1</v>
      </c>
      <c r="U779">
        <v>0</v>
      </c>
      <c r="V779">
        <v>0</v>
      </c>
      <c r="W779">
        <v>6</v>
      </c>
      <c r="X779">
        <v>7</v>
      </c>
      <c r="Y779">
        <v>2</v>
      </c>
      <c r="Z779">
        <v>3</v>
      </c>
      <c r="AA779">
        <v>0</v>
      </c>
      <c r="AB779">
        <v>0</v>
      </c>
      <c r="AC779">
        <v>6</v>
      </c>
      <c r="AD779">
        <v>0</v>
      </c>
      <c r="AE779">
        <v>0</v>
      </c>
      <c r="AF779">
        <v>1</v>
      </c>
      <c r="AG779">
        <v>0</v>
      </c>
      <c r="AH779">
        <v>0</v>
      </c>
      <c r="AI779" s="5">
        <v>0.214</v>
      </c>
      <c r="AJ779" s="5">
        <v>0.28999999999999998</v>
      </c>
      <c r="AK779" s="5">
        <v>0.25</v>
      </c>
      <c r="AL779" s="5">
        <v>0.222</v>
      </c>
      <c r="AM779" s="5">
        <v>0.26600000000000001</v>
      </c>
      <c r="AN779">
        <v>-0.1</v>
      </c>
      <c r="AO779">
        <v>0.24</v>
      </c>
      <c r="AP779">
        <v>0.86</v>
      </c>
      <c r="AQ779">
        <v>-1.26</v>
      </c>
      <c r="AR779">
        <v>-1.4</v>
      </c>
      <c r="AS779" t="s">
        <v>60</v>
      </c>
      <c r="AT779">
        <v>-0.2</v>
      </c>
      <c r="AU779">
        <v>-0.2</v>
      </c>
      <c r="AV779">
        <v>3</v>
      </c>
      <c r="AW779">
        <v>30</v>
      </c>
      <c r="AX779">
        <v>1</v>
      </c>
      <c r="AY779">
        <v>13</v>
      </c>
      <c r="AZ779" t="s">
        <v>4762</v>
      </c>
      <c r="BA779">
        <v>64</v>
      </c>
      <c r="BB779" t="s">
        <v>35</v>
      </c>
      <c r="BC779" t="s">
        <v>36</v>
      </c>
      <c r="BD779" s="4">
        <f>HYPERLINK("http://mlb.mlb.com/team/player.jsp?player_id=452672",452672)</f>
        <v>452672</v>
      </c>
      <c r="BE779">
        <v>0</v>
      </c>
      <c r="BF779">
        <v>0</v>
      </c>
      <c r="BG779">
        <v>112</v>
      </c>
      <c r="BH779">
        <v>101</v>
      </c>
    </row>
    <row r="780" spans="1:60" x14ac:dyDescent="0.3">
      <c r="A780" s="4">
        <f>HYPERLINK("http://legacy.baseballprospectus.com/p/49890",49890)</f>
        <v>49890</v>
      </c>
      <c r="B780" t="s">
        <v>554</v>
      </c>
      <c r="C780" t="s">
        <v>555</v>
      </c>
      <c r="D780" s="10">
        <v>31903</v>
      </c>
      <c r="E780" t="s">
        <v>59</v>
      </c>
      <c r="F780" t="s">
        <v>9</v>
      </c>
      <c r="G780" t="s">
        <v>9</v>
      </c>
      <c r="H780">
        <v>71</v>
      </c>
      <c r="I780">
        <v>210</v>
      </c>
      <c r="J780">
        <v>2018</v>
      </c>
      <c r="K780" s="4" t="str">
        <f>HYPERLINK("http://legacy.baseballprospectus.com/fantasy/dc/index.php?tm=COL","COL")</f>
        <v>COL</v>
      </c>
      <c r="L780" t="s">
        <v>100</v>
      </c>
      <c r="M780" t="s">
        <v>34</v>
      </c>
      <c r="N780">
        <v>31</v>
      </c>
      <c r="O780">
        <v>271</v>
      </c>
      <c r="P780">
        <v>119</v>
      </c>
      <c r="Q780">
        <v>251</v>
      </c>
      <c r="R780">
        <v>29</v>
      </c>
      <c r="S780">
        <v>46</v>
      </c>
      <c r="T780">
        <v>15</v>
      </c>
      <c r="U780">
        <v>2</v>
      </c>
      <c r="V780">
        <v>5</v>
      </c>
      <c r="W780">
        <v>68</v>
      </c>
      <c r="X780">
        <v>102</v>
      </c>
      <c r="Y780">
        <v>27</v>
      </c>
      <c r="Z780">
        <v>15</v>
      </c>
      <c r="AA780">
        <v>1</v>
      </c>
      <c r="AB780">
        <v>2</v>
      </c>
      <c r="AC780">
        <v>45</v>
      </c>
      <c r="AD780">
        <v>2</v>
      </c>
      <c r="AE780">
        <v>2</v>
      </c>
      <c r="AF780">
        <v>8</v>
      </c>
      <c r="AG780">
        <v>4</v>
      </c>
      <c r="AH780">
        <v>3</v>
      </c>
      <c r="AI780" s="5">
        <v>0.27100000000000002</v>
      </c>
      <c r="AJ780" s="5">
        <v>0.315</v>
      </c>
      <c r="AK780" s="5">
        <v>0.40600000000000003</v>
      </c>
      <c r="AL780" s="5">
        <v>0.23599999999999999</v>
      </c>
      <c r="AM780" s="5">
        <v>0.307</v>
      </c>
      <c r="AN780">
        <v>-0.4</v>
      </c>
      <c r="AO780">
        <v>-1.66</v>
      </c>
      <c r="AP780">
        <v>7.28</v>
      </c>
      <c r="AQ780">
        <v>-6.74</v>
      </c>
      <c r="AR780">
        <v>-0.9</v>
      </c>
      <c r="AS780" t="s">
        <v>1908</v>
      </c>
      <c r="AT780">
        <v>-0.2</v>
      </c>
      <c r="AU780">
        <v>-1.6</v>
      </c>
      <c r="AV780">
        <v>2</v>
      </c>
      <c r="AW780">
        <v>40</v>
      </c>
      <c r="AX780">
        <v>11</v>
      </c>
      <c r="AY780">
        <v>22</v>
      </c>
      <c r="AZ780" t="s">
        <v>4760</v>
      </c>
      <c r="BA780">
        <v>87</v>
      </c>
      <c r="BB780" t="s">
        <v>35</v>
      </c>
      <c r="BC780" t="s">
        <v>36</v>
      </c>
      <c r="BD780" s="4">
        <f>HYPERLINK("http://mlb.mlb.com/team/player.jsp?player_id=467827",467827)</f>
        <v>467827</v>
      </c>
      <c r="BE780">
        <v>1601</v>
      </c>
      <c r="BF780">
        <v>601</v>
      </c>
      <c r="BG780">
        <v>425</v>
      </c>
      <c r="BH780">
        <v>392</v>
      </c>
    </row>
    <row r="781" spans="1:60" x14ac:dyDescent="0.3">
      <c r="A781" s="4">
        <f>HYPERLINK("http://legacy.baseballprospectus.com/p/47625",47625)</f>
        <v>47625</v>
      </c>
      <c r="B781" t="s">
        <v>324</v>
      </c>
      <c r="C781" t="s">
        <v>325</v>
      </c>
      <c r="D781" s="10">
        <v>31762</v>
      </c>
      <c r="E781" t="s">
        <v>53</v>
      </c>
      <c r="F781" t="s">
        <v>33</v>
      </c>
      <c r="G781" t="s">
        <v>33</v>
      </c>
      <c r="H781">
        <v>73</v>
      </c>
      <c r="I781">
        <v>185</v>
      </c>
      <c r="J781">
        <v>2018</v>
      </c>
      <c r="K781" s="4" t="str">
        <f>HYPERLINK("http://legacy.baseballprospectus.com/fantasy/dc/index.php?tm=KCA","KCA")</f>
        <v>KCA</v>
      </c>
      <c r="L781" t="s">
        <v>95</v>
      </c>
      <c r="M781" t="s">
        <v>34</v>
      </c>
      <c r="N781">
        <v>31</v>
      </c>
      <c r="O781">
        <v>668</v>
      </c>
      <c r="P781">
        <v>154</v>
      </c>
      <c r="Q781">
        <v>625</v>
      </c>
      <c r="R781">
        <v>69</v>
      </c>
      <c r="S781">
        <v>121</v>
      </c>
      <c r="T781">
        <v>27</v>
      </c>
      <c r="U781">
        <v>5</v>
      </c>
      <c r="V781">
        <v>4</v>
      </c>
      <c r="W781">
        <v>157</v>
      </c>
      <c r="X781">
        <v>206</v>
      </c>
      <c r="Y781">
        <v>47</v>
      </c>
      <c r="Z781">
        <v>25</v>
      </c>
      <c r="AA781">
        <v>2</v>
      </c>
      <c r="AB781">
        <v>5</v>
      </c>
      <c r="AC781">
        <v>94</v>
      </c>
      <c r="AD781">
        <v>10</v>
      </c>
      <c r="AE781">
        <v>4</v>
      </c>
      <c r="AF781">
        <v>18</v>
      </c>
      <c r="AG781">
        <v>14</v>
      </c>
      <c r="AH781">
        <v>6</v>
      </c>
      <c r="AI781" s="5">
        <v>0.251</v>
      </c>
      <c r="AJ781" s="5">
        <v>0.28399999999999997</v>
      </c>
      <c r="AK781" s="5">
        <v>0.33</v>
      </c>
      <c r="AL781" s="5">
        <v>0.218</v>
      </c>
      <c r="AM781" s="5">
        <v>0.28399999999999997</v>
      </c>
      <c r="AN781">
        <v>0.6</v>
      </c>
      <c r="AO781">
        <v>4.5999999999999996</v>
      </c>
      <c r="AP781">
        <v>17.93</v>
      </c>
      <c r="AQ781">
        <v>-29.49</v>
      </c>
      <c r="AR781">
        <v>4</v>
      </c>
      <c r="AS781" t="s">
        <v>1334</v>
      </c>
      <c r="AT781">
        <v>-0.2</v>
      </c>
      <c r="AU781">
        <v>-6.4</v>
      </c>
      <c r="AV781">
        <v>4</v>
      </c>
      <c r="AW781">
        <v>27</v>
      </c>
      <c r="AX781">
        <v>11</v>
      </c>
      <c r="AY781">
        <v>15</v>
      </c>
      <c r="AZ781" t="s">
        <v>3862</v>
      </c>
      <c r="BA781">
        <v>84</v>
      </c>
      <c r="BB781" t="s">
        <v>35</v>
      </c>
      <c r="BC781" t="s">
        <v>36</v>
      </c>
      <c r="BD781" s="4">
        <f>HYPERLINK("http://mlb.mlb.com/team/player.jsp?player_id=444876",444876)</f>
        <v>444876</v>
      </c>
      <c r="BE781">
        <v>691</v>
      </c>
      <c r="BF781">
        <v>1691</v>
      </c>
      <c r="BG781">
        <v>629</v>
      </c>
      <c r="BH781">
        <v>599</v>
      </c>
    </row>
    <row r="782" spans="1:60" x14ac:dyDescent="0.3">
      <c r="A782" s="4">
        <f>HYPERLINK("http://legacy.baseballprospectus.com/p/59755",59755)</f>
        <v>59755</v>
      </c>
      <c r="B782" t="s">
        <v>98</v>
      </c>
      <c r="C782" t="s">
        <v>99</v>
      </c>
      <c r="D782" s="10">
        <v>33445</v>
      </c>
      <c r="E782" t="s">
        <v>51</v>
      </c>
      <c r="F782" t="s">
        <v>37</v>
      </c>
      <c r="G782" t="s">
        <v>33</v>
      </c>
      <c r="H782">
        <v>72</v>
      </c>
      <c r="I782">
        <v>185</v>
      </c>
      <c r="J782">
        <v>2018</v>
      </c>
      <c r="K782" s="4" t="str">
        <f>HYPERLINK("http://legacy.baseballprospectus.com/fantasy/dc/index.php?tm=MIA","MIA")</f>
        <v>MIA</v>
      </c>
      <c r="L782" t="s">
        <v>100</v>
      </c>
      <c r="M782" t="s">
        <v>34</v>
      </c>
      <c r="N782">
        <v>26</v>
      </c>
      <c r="O782">
        <v>162</v>
      </c>
      <c r="P782">
        <v>69</v>
      </c>
      <c r="Q782">
        <v>146</v>
      </c>
      <c r="R782">
        <v>16</v>
      </c>
      <c r="S782">
        <v>26</v>
      </c>
      <c r="T782">
        <v>5</v>
      </c>
      <c r="U782">
        <v>1</v>
      </c>
      <c r="V782">
        <v>3</v>
      </c>
      <c r="W782">
        <v>35</v>
      </c>
      <c r="X782">
        <v>51</v>
      </c>
      <c r="Y782">
        <v>15</v>
      </c>
      <c r="Z782">
        <v>12</v>
      </c>
      <c r="AA782">
        <v>1</v>
      </c>
      <c r="AB782">
        <v>1</v>
      </c>
      <c r="AC782">
        <v>32</v>
      </c>
      <c r="AD782">
        <v>2</v>
      </c>
      <c r="AE782">
        <v>1</v>
      </c>
      <c r="AF782">
        <v>4</v>
      </c>
      <c r="AG782">
        <v>2</v>
      </c>
      <c r="AH782">
        <v>1</v>
      </c>
      <c r="AI782" s="5">
        <v>0.24</v>
      </c>
      <c r="AJ782" s="5">
        <v>0.3</v>
      </c>
      <c r="AK782" s="5">
        <v>0.34899999999999998</v>
      </c>
      <c r="AL782" s="5">
        <v>0.22800000000000001</v>
      </c>
      <c r="AM782" s="5">
        <v>0.27800000000000002</v>
      </c>
      <c r="AN782">
        <v>-0.3</v>
      </c>
      <c r="AO782">
        <v>0.04</v>
      </c>
      <c r="AP782">
        <v>4.3499999999999996</v>
      </c>
      <c r="AQ782">
        <v>-5.52</v>
      </c>
      <c r="AR782">
        <v>-0.7</v>
      </c>
      <c r="AS782" t="s">
        <v>1722</v>
      </c>
      <c r="AT782">
        <v>-0.2</v>
      </c>
      <c r="AU782">
        <v>-1.4</v>
      </c>
      <c r="AV782">
        <v>4</v>
      </c>
      <c r="AW782">
        <v>27</v>
      </c>
      <c r="AX782">
        <v>5</v>
      </c>
      <c r="AY782">
        <v>19</v>
      </c>
      <c r="AZ782" t="s">
        <v>4520</v>
      </c>
      <c r="BA782">
        <v>43</v>
      </c>
      <c r="BB782" t="s">
        <v>35</v>
      </c>
      <c r="BC782" t="s">
        <v>36</v>
      </c>
      <c r="BD782" s="4">
        <f>HYPERLINK("http://mlb.mlb.com/team/player.jsp?player_id=542436",542436)</f>
        <v>542436</v>
      </c>
      <c r="BE782">
        <v>0</v>
      </c>
      <c r="BF782">
        <v>0</v>
      </c>
      <c r="BG782">
        <v>14</v>
      </c>
      <c r="BH782">
        <v>13</v>
      </c>
    </row>
    <row r="783" spans="1:60" x14ac:dyDescent="0.3">
      <c r="A783" s="4">
        <f>HYPERLINK("http://legacy.baseballprospectus.com/p/51653",51653)</f>
        <v>51653</v>
      </c>
      <c r="B783" t="s">
        <v>324</v>
      </c>
      <c r="C783" t="s">
        <v>327</v>
      </c>
      <c r="D783" s="10">
        <v>32513</v>
      </c>
      <c r="E783" t="s">
        <v>53</v>
      </c>
      <c r="F783" t="s">
        <v>37</v>
      </c>
      <c r="G783" t="s">
        <v>33</v>
      </c>
      <c r="H783">
        <v>70</v>
      </c>
      <c r="I783">
        <v>185</v>
      </c>
      <c r="J783">
        <v>2018</v>
      </c>
      <c r="K783" s="4" t="str">
        <f>HYPERLINK("http://legacy.baseballprospectus.com/fantasy/dc/index.php?tm=MIN","MIN")</f>
        <v>MIN</v>
      </c>
      <c r="L783" t="s">
        <v>95</v>
      </c>
      <c r="M783" t="s">
        <v>34</v>
      </c>
      <c r="N783">
        <v>29</v>
      </c>
      <c r="O783">
        <v>404</v>
      </c>
      <c r="P783">
        <v>112</v>
      </c>
      <c r="Q783">
        <v>371</v>
      </c>
      <c r="R783">
        <v>44</v>
      </c>
      <c r="S783">
        <v>61</v>
      </c>
      <c r="T783">
        <v>21</v>
      </c>
      <c r="U783">
        <v>3</v>
      </c>
      <c r="V783">
        <v>10</v>
      </c>
      <c r="W783">
        <v>95</v>
      </c>
      <c r="X783">
        <v>152</v>
      </c>
      <c r="Y783">
        <v>45</v>
      </c>
      <c r="Z783">
        <v>26</v>
      </c>
      <c r="AA783">
        <v>2</v>
      </c>
      <c r="AB783">
        <v>3</v>
      </c>
      <c r="AC783">
        <v>80</v>
      </c>
      <c r="AD783">
        <v>2</v>
      </c>
      <c r="AE783">
        <v>2</v>
      </c>
      <c r="AF783">
        <v>7</v>
      </c>
      <c r="AG783">
        <v>3</v>
      </c>
      <c r="AH783">
        <v>2</v>
      </c>
      <c r="AI783" s="5">
        <v>0.25600000000000001</v>
      </c>
      <c r="AJ783" s="5">
        <v>0.308</v>
      </c>
      <c r="AK783" s="5">
        <v>0.41</v>
      </c>
      <c r="AL783" s="5">
        <v>0.24099999999999999</v>
      </c>
      <c r="AM783" s="5">
        <v>0.29599999999999999</v>
      </c>
      <c r="AN783">
        <v>-0.5</v>
      </c>
      <c r="AO783">
        <v>1.67</v>
      </c>
      <c r="AP783">
        <v>10.85</v>
      </c>
      <c r="AQ783">
        <v>-8.0399999999999991</v>
      </c>
      <c r="AR783">
        <v>-6.3</v>
      </c>
      <c r="AS783" t="s">
        <v>5011</v>
      </c>
      <c r="AT783">
        <v>-0.2</v>
      </c>
      <c r="AU783">
        <v>4</v>
      </c>
      <c r="AV783">
        <v>3</v>
      </c>
      <c r="AW783">
        <v>50</v>
      </c>
      <c r="AX783">
        <v>7</v>
      </c>
      <c r="AY783">
        <v>13</v>
      </c>
      <c r="AZ783" t="s">
        <v>4716</v>
      </c>
      <c r="BA783">
        <v>90</v>
      </c>
      <c r="BB783" t="s">
        <v>35</v>
      </c>
      <c r="BC783" t="s">
        <v>36</v>
      </c>
      <c r="BD783" s="4">
        <f>HYPERLINK("http://mlb.mlb.com/team/player.jsp?player_id=500871",500871)</f>
        <v>500871</v>
      </c>
      <c r="BE783">
        <v>506</v>
      </c>
      <c r="BF783">
        <v>1506</v>
      </c>
      <c r="BG783">
        <v>499</v>
      </c>
      <c r="BH783">
        <v>457</v>
      </c>
    </row>
    <row r="784" spans="1:60" x14ac:dyDescent="0.3">
      <c r="A784" s="4">
        <f>HYPERLINK("http://legacy.baseballprospectus.com/p/45471",45471)</f>
        <v>45471</v>
      </c>
      <c r="B784" t="s">
        <v>607</v>
      </c>
      <c r="C784" t="s">
        <v>208</v>
      </c>
      <c r="D784" s="10">
        <v>31163</v>
      </c>
      <c r="E784" t="s">
        <v>53</v>
      </c>
      <c r="F784" t="s">
        <v>33</v>
      </c>
      <c r="G784" t="s">
        <v>33</v>
      </c>
      <c r="H784">
        <v>72</v>
      </c>
      <c r="I784">
        <v>200</v>
      </c>
      <c r="J784">
        <v>2018</v>
      </c>
      <c r="K784" s="4" t="str">
        <f>HYPERLINK("http://legacy.baseballprospectus.com/fantasy/dc/index.php?tm=PIT","PIT")</f>
        <v>PIT</v>
      </c>
      <c r="L784" t="s">
        <v>100</v>
      </c>
      <c r="M784" t="s">
        <v>34</v>
      </c>
      <c r="N784">
        <v>33</v>
      </c>
      <c r="O784">
        <v>169</v>
      </c>
      <c r="P784">
        <v>106</v>
      </c>
      <c r="Q784">
        <v>152</v>
      </c>
      <c r="R784">
        <v>19</v>
      </c>
      <c r="S784">
        <v>22</v>
      </c>
      <c r="T784">
        <v>7</v>
      </c>
      <c r="U784">
        <v>1</v>
      </c>
      <c r="V784">
        <v>6</v>
      </c>
      <c r="W784">
        <v>36</v>
      </c>
      <c r="X784">
        <v>63</v>
      </c>
      <c r="Y784">
        <v>20</v>
      </c>
      <c r="Z784">
        <v>11</v>
      </c>
      <c r="AA784">
        <v>0</v>
      </c>
      <c r="AB784">
        <v>3</v>
      </c>
      <c r="AC784">
        <v>48</v>
      </c>
      <c r="AD784">
        <v>2</v>
      </c>
      <c r="AE784">
        <v>1</v>
      </c>
      <c r="AF784">
        <v>4</v>
      </c>
      <c r="AG784">
        <v>1</v>
      </c>
      <c r="AH784">
        <v>1</v>
      </c>
      <c r="AI784" s="5">
        <v>0.23699999999999999</v>
      </c>
      <c r="AJ784" s="5">
        <v>0.29899999999999999</v>
      </c>
      <c r="AK784" s="5">
        <v>0.41399999999999998</v>
      </c>
      <c r="AL784" s="5">
        <v>0.23699999999999999</v>
      </c>
      <c r="AM784" s="5">
        <v>0.28599999999999998</v>
      </c>
      <c r="AN784">
        <v>-0.2</v>
      </c>
      <c r="AO784">
        <v>-0.5</v>
      </c>
      <c r="AP784">
        <v>4.54</v>
      </c>
      <c r="AQ784">
        <v>-4.0599999999999996</v>
      </c>
      <c r="AR784">
        <v>-1.6</v>
      </c>
      <c r="AS784" t="s">
        <v>4349</v>
      </c>
      <c r="AT784">
        <v>-0.2</v>
      </c>
      <c r="AU784">
        <v>-0.2</v>
      </c>
      <c r="AV784">
        <v>5</v>
      </c>
      <c r="AW784">
        <v>37</v>
      </c>
      <c r="AX784">
        <v>11</v>
      </c>
      <c r="AY784">
        <v>18</v>
      </c>
      <c r="AZ784" t="s">
        <v>4350</v>
      </c>
      <c r="BA784">
        <v>85</v>
      </c>
      <c r="BB784" t="s">
        <v>35</v>
      </c>
      <c r="BC784" t="s">
        <v>36</v>
      </c>
      <c r="BD784" s="4">
        <f>HYPERLINK("http://mlb.mlb.com/team/player.jsp?player_id=446481",446481)</f>
        <v>446481</v>
      </c>
      <c r="BE784">
        <v>1467</v>
      </c>
      <c r="BF784">
        <v>467</v>
      </c>
      <c r="BG784">
        <v>153</v>
      </c>
      <c r="BH784">
        <v>132</v>
      </c>
    </row>
    <row r="785" spans="1:60" x14ac:dyDescent="0.3">
      <c r="A785" s="4">
        <f>HYPERLINK("http://legacy.baseballprospectus.com/p/71213",71213)</f>
        <v>71213</v>
      </c>
      <c r="B785" t="s">
        <v>1970</v>
      </c>
      <c r="C785" t="s">
        <v>125</v>
      </c>
      <c r="D785" s="10">
        <v>32864</v>
      </c>
      <c r="E785" t="s">
        <v>54</v>
      </c>
      <c r="F785" t="s">
        <v>33</v>
      </c>
      <c r="G785" t="s">
        <v>33</v>
      </c>
      <c r="H785">
        <v>77</v>
      </c>
      <c r="I785">
        <v>220</v>
      </c>
      <c r="J785">
        <v>2018</v>
      </c>
      <c r="K785" s="4" t="str">
        <f>HYPERLINK("http://legacy.baseballprospectus.com/fantasy/dc/index.php?tm=PIT","PIT")</f>
        <v>PIT</v>
      </c>
      <c r="L785" t="s">
        <v>100</v>
      </c>
      <c r="M785" t="s">
        <v>34</v>
      </c>
      <c r="N785">
        <v>28</v>
      </c>
      <c r="O785">
        <v>62</v>
      </c>
      <c r="P785">
        <v>19</v>
      </c>
      <c r="Q785">
        <v>57</v>
      </c>
      <c r="R785">
        <v>6</v>
      </c>
      <c r="S785">
        <v>9</v>
      </c>
      <c r="T785">
        <v>3</v>
      </c>
      <c r="U785">
        <v>0</v>
      </c>
      <c r="V785">
        <v>1</v>
      </c>
      <c r="W785">
        <v>13</v>
      </c>
      <c r="X785">
        <v>19</v>
      </c>
      <c r="Y785">
        <v>6</v>
      </c>
      <c r="Z785">
        <v>3</v>
      </c>
      <c r="AA785">
        <v>0</v>
      </c>
      <c r="AB785">
        <v>1</v>
      </c>
      <c r="AC785">
        <v>14</v>
      </c>
      <c r="AD785">
        <v>1</v>
      </c>
      <c r="AE785">
        <v>0</v>
      </c>
      <c r="AF785">
        <v>1</v>
      </c>
      <c r="AG785">
        <v>0</v>
      </c>
      <c r="AH785">
        <v>0</v>
      </c>
      <c r="AI785" s="5">
        <v>0.22800000000000001</v>
      </c>
      <c r="AJ785" s="5">
        <v>0.27900000000000003</v>
      </c>
      <c r="AK785" s="5">
        <v>0.33300000000000002</v>
      </c>
      <c r="AL785" s="5">
        <v>0.23300000000000001</v>
      </c>
      <c r="AM785" s="5">
        <v>0.29399999999999998</v>
      </c>
      <c r="AN785">
        <v>-0.1</v>
      </c>
      <c r="AO785">
        <v>0.47</v>
      </c>
      <c r="AP785">
        <v>1.66</v>
      </c>
      <c r="AQ785">
        <v>-1.79</v>
      </c>
      <c r="AR785">
        <v>-2.4</v>
      </c>
      <c r="AS785" t="s">
        <v>1222</v>
      </c>
      <c r="AT785">
        <v>-0.2</v>
      </c>
      <c r="AU785">
        <v>0.2</v>
      </c>
      <c r="AV785">
        <v>3</v>
      </c>
      <c r="AW785">
        <v>10</v>
      </c>
      <c r="AX785">
        <v>10</v>
      </c>
      <c r="AY785">
        <v>27</v>
      </c>
      <c r="AZ785" t="s">
        <v>4524</v>
      </c>
      <c r="BA785">
        <v>44</v>
      </c>
      <c r="BB785" t="s">
        <v>35</v>
      </c>
      <c r="BC785" t="s">
        <v>35</v>
      </c>
      <c r="BD785" s="4">
        <f>HYPERLINK("http://mlb.mlb.com/team/player.jsp?player_id=607732",607732)</f>
        <v>607732</v>
      </c>
      <c r="BE785">
        <v>1404</v>
      </c>
      <c r="BF785">
        <v>404</v>
      </c>
      <c r="BG785">
        <v>16</v>
      </c>
      <c r="BH785">
        <v>14</v>
      </c>
    </row>
    <row r="786" spans="1:60" x14ac:dyDescent="0.3">
      <c r="A786" s="4">
        <f>HYPERLINK("http://legacy.baseballprospectus.com/p/49364",49364)</f>
        <v>49364</v>
      </c>
      <c r="B786" t="s">
        <v>1230</v>
      </c>
      <c r="C786" t="s">
        <v>1231</v>
      </c>
      <c r="D786" s="10">
        <v>30545</v>
      </c>
      <c r="E786" t="s">
        <v>54</v>
      </c>
      <c r="F786" t="s">
        <v>33</v>
      </c>
      <c r="G786" t="s">
        <v>33</v>
      </c>
      <c r="H786">
        <v>71</v>
      </c>
      <c r="I786">
        <v>200</v>
      </c>
      <c r="J786">
        <v>2018</v>
      </c>
      <c r="K786" s="4" t="str">
        <f>HYPERLINK("http://legacy.baseballprospectus.com/fantasy/dc/index.php?tm=SEA","SEA")</f>
        <v>SEA</v>
      </c>
      <c r="L786" t="s">
        <v>95</v>
      </c>
      <c r="M786" t="s">
        <v>34</v>
      </c>
      <c r="N786">
        <v>34</v>
      </c>
      <c r="O786">
        <v>60</v>
      </c>
      <c r="P786">
        <v>18</v>
      </c>
      <c r="Q786">
        <v>55</v>
      </c>
      <c r="R786">
        <v>5</v>
      </c>
      <c r="S786">
        <v>8</v>
      </c>
      <c r="T786">
        <v>3</v>
      </c>
      <c r="U786">
        <v>0</v>
      </c>
      <c r="V786">
        <v>1</v>
      </c>
      <c r="W786">
        <v>12</v>
      </c>
      <c r="X786">
        <v>18</v>
      </c>
      <c r="Y786">
        <v>6</v>
      </c>
      <c r="Z786">
        <v>3</v>
      </c>
      <c r="AA786">
        <v>0</v>
      </c>
      <c r="AB786">
        <v>1</v>
      </c>
      <c r="AC786">
        <v>13</v>
      </c>
      <c r="AD786">
        <v>0</v>
      </c>
      <c r="AE786">
        <v>0</v>
      </c>
      <c r="AF786">
        <v>2</v>
      </c>
      <c r="AG786">
        <v>0</v>
      </c>
      <c r="AH786">
        <v>0</v>
      </c>
      <c r="AI786" s="5">
        <v>0.218</v>
      </c>
      <c r="AJ786" s="5">
        <v>0.27100000000000002</v>
      </c>
      <c r="AK786" s="5">
        <v>0.32700000000000001</v>
      </c>
      <c r="AL786" s="5">
        <v>0.218</v>
      </c>
      <c r="AM786" s="5">
        <v>0.26100000000000001</v>
      </c>
      <c r="AN786">
        <v>-0.1</v>
      </c>
      <c r="AO786">
        <v>0.46</v>
      </c>
      <c r="AP786">
        <v>1.61</v>
      </c>
      <c r="AQ786">
        <v>-2.63</v>
      </c>
      <c r="AR786">
        <v>-1.1000000000000001</v>
      </c>
      <c r="AS786" t="s">
        <v>60</v>
      </c>
      <c r="AT786">
        <v>-0.2</v>
      </c>
      <c r="AU786">
        <v>-0.7</v>
      </c>
      <c r="AV786">
        <v>4</v>
      </c>
      <c r="AW786">
        <v>31</v>
      </c>
      <c r="AX786">
        <v>11</v>
      </c>
      <c r="AY786">
        <v>28</v>
      </c>
      <c r="AZ786" t="s">
        <v>4525</v>
      </c>
      <c r="BA786">
        <v>62</v>
      </c>
      <c r="BB786" t="s">
        <v>35</v>
      </c>
      <c r="BC786" t="s">
        <v>36</v>
      </c>
      <c r="BD786" s="4">
        <f>HYPERLINK("http://mlb.mlb.com/team/player.jsp?player_id=488912",488912)</f>
        <v>488912</v>
      </c>
      <c r="BE786">
        <v>0</v>
      </c>
      <c r="BF786">
        <v>0</v>
      </c>
      <c r="BG786">
        <v>31</v>
      </c>
      <c r="BH786">
        <v>28</v>
      </c>
    </row>
    <row r="787" spans="1:60" x14ac:dyDescent="0.3">
      <c r="A787" s="4">
        <f>HYPERLINK("http://legacy.baseballprospectus.com/p/56734",56734)</f>
        <v>56734</v>
      </c>
      <c r="B787" t="s">
        <v>616</v>
      </c>
      <c r="C787" t="s">
        <v>379</v>
      </c>
      <c r="D787" s="10">
        <v>32829</v>
      </c>
      <c r="E787" t="s">
        <v>54</v>
      </c>
      <c r="F787" t="s">
        <v>37</v>
      </c>
      <c r="G787" t="s">
        <v>33</v>
      </c>
      <c r="H787">
        <v>72</v>
      </c>
      <c r="I787">
        <v>235</v>
      </c>
      <c r="J787">
        <v>2018</v>
      </c>
      <c r="K787" s="4" t="str">
        <f>HYPERLINK("http://legacy.baseballprospectus.com/fantasy/dc/index.php?tm=SFN","SFN")</f>
        <v>SFN</v>
      </c>
      <c r="L787" t="s">
        <v>100</v>
      </c>
      <c r="M787" t="s">
        <v>34</v>
      </c>
      <c r="N787">
        <v>28</v>
      </c>
      <c r="O787">
        <v>31</v>
      </c>
      <c r="P787">
        <v>9</v>
      </c>
      <c r="Q787">
        <v>29</v>
      </c>
      <c r="R787">
        <v>3</v>
      </c>
      <c r="S787">
        <v>4</v>
      </c>
      <c r="T787">
        <v>1</v>
      </c>
      <c r="U787">
        <v>0</v>
      </c>
      <c r="V787">
        <v>1</v>
      </c>
      <c r="W787">
        <v>6</v>
      </c>
      <c r="X787">
        <v>10</v>
      </c>
      <c r="Y787">
        <v>3</v>
      </c>
      <c r="Z787">
        <v>2</v>
      </c>
      <c r="AA787">
        <v>0</v>
      </c>
      <c r="AB787">
        <v>0</v>
      </c>
      <c r="AC787">
        <v>8</v>
      </c>
      <c r="AD787">
        <v>0</v>
      </c>
      <c r="AE787">
        <v>0</v>
      </c>
      <c r="AF787">
        <v>1</v>
      </c>
      <c r="AG787">
        <v>0</v>
      </c>
      <c r="AH787">
        <v>0</v>
      </c>
      <c r="AI787" s="5">
        <v>0.20699999999999999</v>
      </c>
      <c r="AJ787" s="5">
        <v>0.25800000000000001</v>
      </c>
      <c r="AK787" s="5">
        <v>0.34499999999999997</v>
      </c>
      <c r="AL787" s="5">
        <v>0.23899999999999999</v>
      </c>
      <c r="AM787" s="5">
        <v>0.27300000000000002</v>
      </c>
      <c r="AN787">
        <v>-0.1</v>
      </c>
      <c r="AO787">
        <v>0.24</v>
      </c>
      <c r="AP787">
        <v>0.83</v>
      </c>
      <c r="AQ787">
        <v>-0.67</v>
      </c>
      <c r="AR787">
        <v>-1.9</v>
      </c>
      <c r="AS787" t="s">
        <v>1222</v>
      </c>
      <c r="AT787">
        <v>-0.2</v>
      </c>
      <c r="AU787">
        <v>0.3</v>
      </c>
      <c r="AV787">
        <v>8</v>
      </c>
      <c r="AW787">
        <v>36</v>
      </c>
      <c r="AX787">
        <v>10</v>
      </c>
      <c r="AY787">
        <v>33</v>
      </c>
      <c r="AZ787" t="s">
        <v>4741</v>
      </c>
      <c r="BA787">
        <v>83</v>
      </c>
      <c r="BB787" t="s">
        <v>35</v>
      </c>
      <c r="BC787" t="s">
        <v>36</v>
      </c>
      <c r="BD787" s="4">
        <f>HYPERLINK("http://mlb.mlb.com/team/player.jsp?player_id=516949",516949)</f>
        <v>516949</v>
      </c>
      <c r="BE787">
        <v>0</v>
      </c>
      <c r="BF787">
        <v>0</v>
      </c>
      <c r="BG787">
        <v>143</v>
      </c>
      <c r="BH787">
        <v>137</v>
      </c>
    </row>
    <row r="788" spans="1:60" x14ac:dyDescent="0.3">
      <c r="A788" s="4">
        <f>HYPERLINK("http://legacy.baseballprospectus.com/p/48901",48901)</f>
        <v>48901</v>
      </c>
      <c r="B788" t="s">
        <v>617</v>
      </c>
      <c r="C788" t="s">
        <v>618</v>
      </c>
      <c r="D788" s="10">
        <v>31635</v>
      </c>
      <c r="E788" t="s">
        <v>51</v>
      </c>
      <c r="F788" t="s">
        <v>37</v>
      </c>
      <c r="G788" t="s">
        <v>33</v>
      </c>
      <c r="H788">
        <v>71</v>
      </c>
      <c r="I788">
        <v>255</v>
      </c>
      <c r="J788">
        <v>2018</v>
      </c>
      <c r="K788" s="4" t="str">
        <f>HYPERLINK("http://legacy.baseballprospectus.com/fantasy/dc/index.php?tm=SFN","SFN")</f>
        <v>SFN</v>
      </c>
      <c r="L788" t="s">
        <v>100</v>
      </c>
      <c r="M788" t="s">
        <v>34</v>
      </c>
      <c r="N788">
        <v>31</v>
      </c>
      <c r="O788">
        <v>183</v>
      </c>
      <c r="P788">
        <v>109</v>
      </c>
      <c r="Q788">
        <v>169</v>
      </c>
      <c r="R788">
        <v>18</v>
      </c>
      <c r="S788">
        <v>30</v>
      </c>
      <c r="T788">
        <v>8</v>
      </c>
      <c r="U788">
        <v>1</v>
      </c>
      <c r="V788">
        <v>4</v>
      </c>
      <c r="W788">
        <v>43</v>
      </c>
      <c r="X788">
        <v>65</v>
      </c>
      <c r="Y788">
        <v>19</v>
      </c>
      <c r="Z788">
        <v>11</v>
      </c>
      <c r="AA788">
        <v>1</v>
      </c>
      <c r="AB788">
        <v>2</v>
      </c>
      <c r="AC788">
        <v>28</v>
      </c>
      <c r="AD788">
        <v>0</v>
      </c>
      <c r="AE788">
        <v>1</v>
      </c>
      <c r="AF788">
        <v>5</v>
      </c>
      <c r="AG788">
        <v>0</v>
      </c>
      <c r="AH788">
        <v>0</v>
      </c>
      <c r="AI788" s="5">
        <v>0.254</v>
      </c>
      <c r="AJ788" s="5">
        <v>0.30599999999999999</v>
      </c>
      <c r="AK788" s="5">
        <v>0.38500000000000001</v>
      </c>
      <c r="AL788" s="5">
        <v>0.24399999999999999</v>
      </c>
      <c r="AM788" s="5">
        <v>0.27800000000000002</v>
      </c>
      <c r="AN788">
        <v>-0.4</v>
      </c>
      <c r="AO788">
        <v>-1.71</v>
      </c>
      <c r="AP788">
        <v>4.91</v>
      </c>
      <c r="AQ788">
        <v>-3.15</v>
      </c>
      <c r="AR788">
        <v>-1.5</v>
      </c>
      <c r="AS788" t="s">
        <v>1796</v>
      </c>
      <c r="AT788">
        <v>-0.2</v>
      </c>
      <c r="AU788">
        <v>-0.3</v>
      </c>
      <c r="AV788">
        <v>2</v>
      </c>
      <c r="AW788">
        <v>32</v>
      </c>
      <c r="AX788">
        <v>11</v>
      </c>
      <c r="AY788">
        <v>23</v>
      </c>
      <c r="AZ788" t="s">
        <v>4579</v>
      </c>
      <c r="BA788">
        <v>87</v>
      </c>
      <c r="BB788" t="s">
        <v>35</v>
      </c>
      <c r="BC788" t="s">
        <v>36</v>
      </c>
      <c r="BD788" s="4">
        <f>HYPERLINK("http://mlb.mlb.com/team/player.jsp?player_id=467055",467055)</f>
        <v>467055</v>
      </c>
      <c r="BE788">
        <v>1500</v>
      </c>
      <c r="BF788">
        <v>500</v>
      </c>
      <c r="BG788">
        <v>279</v>
      </c>
      <c r="BH788">
        <v>259</v>
      </c>
    </row>
    <row r="789" spans="1:60" x14ac:dyDescent="0.3">
      <c r="A789" s="4">
        <f>HYPERLINK("http://legacy.baseballprospectus.com/p/102355",102355)</f>
        <v>102355</v>
      </c>
      <c r="B789" t="s">
        <v>1397</v>
      </c>
      <c r="C789" t="s">
        <v>1539</v>
      </c>
      <c r="D789" s="10">
        <v>33191</v>
      </c>
      <c r="E789" t="s">
        <v>59</v>
      </c>
      <c r="F789" t="s">
        <v>33</v>
      </c>
      <c r="G789" t="s">
        <v>33</v>
      </c>
      <c r="H789">
        <v>74</v>
      </c>
      <c r="I789">
        <v>250</v>
      </c>
      <c r="J789">
        <v>2018</v>
      </c>
      <c r="K789" s="4" t="str">
        <f>HYPERLINK("http://legacy.baseballprospectus.com/fantasy/dc/index.php?tm=ARI","ARI")</f>
        <v>ARI</v>
      </c>
      <c r="L789" t="s">
        <v>100</v>
      </c>
      <c r="M789" t="s">
        <v>34</v>
      </c>
      <c r="N789">
        <v>27</v>
      </c>
      <c r="O789">
        <v>170</v>
      </c>
      <c r="P789">
        <v>95</v>
      </c>
      <c r="Q789">
        <v>160</v>
      </c>
      <c r="R789">
        <v>20</v>
      </c>
      <c r="S789">
        <v>25</v>
      </c>
      <c r="T789">
        <v>9</v>
      </c>
      <c r="U789">
        <v>1</v>
      </c>
      <c r="V789">
        <v>7</v>
      </c>
      <c r="W789">
        <v>42</v>
      </c>
      <c r="X789">
        <v>74</v>
      </c>
      <c r="Y789">
        <v>23</v>
      </c>
      <c r="Z789">
        <v>9</v>
      </c>
      <c r="AA789">
        <v>1</v>
      </c>
      <c r="AB789">
        <v>1</v>
      </c>
      <c r="AC789">
        <v>43</v>
      </c>
      <c r="AD789">
        <v>0</v>
      </c>
      <c r="AE789">
        <v>1</v>
      </c>
      <c r="AF789">
        <v>5</v>
      </c>
      <c r="AG789">
        <v>1</v>
      </c>
      <c r="AH789">
        <v>1</v>
      </c>
      <c r="AI789" s="5">
        <v>0.26200000000000001</v>
      </c>
      <c r="AJ789" s="5">
        <v>0.30399999999999999</v>
      </c>
      <c r="AK789" s="5">
        <v>0.46200000000000002</v>
      </c>
      <c r="AL789" s="5">
        <v>0.255</v>
      </c>
      <c r="AM789" s="5">
        <v>0.308</v>
      </c>
      <c r="AN789">
        <v>-0.3</v>
      </c>
      <c r="AO789">
        <v>-1.32</v>
      </c>
      <c r="AP789">
        <v>4.5599999999999996</v>
      </c>
      <c r="AQ789">
        <v>-0.86</v>
      </c>
      <c r="AR789">
        <v>-3.8</v>
      </c>
      <c r="AS789" t="s">
        <v>4969</v>
      </c>
      <c r="AT789">
        <v>-0.2</v>
      </c>
      <c r="AU789">
        <v>2.1</v>
      </c>
      <c r="AV789">
        <v>3</v>
      </c>
      <c r="AW789">
        <v>59</v>
      </c>
      <c r="AX789">
        <v>2</v>
      </c>
      <c r="AY789">
        <v>9</v>
      </c>
      <c r="AZ789" t="s">
        <v>4761</v>
      </c>
      <c r="BA789">
        <v>94</v>
      </c>
      <c r="BB789" t="s">
        <v>35</v>
      </c>
      <c r="BC789" t="s">
        <v>36</v>
      </c>
      <c r="BD789" s="4">
        <f>HYPERLINK("http://mlb.mlb.com/team/player.jsp?player_id=630111",630111)</f>
        <v>630111</v>
      </c>
      <c r="BE789">
        <v>1620</v>
      </c>
      <c r="BF789">
        <v>620</v>
      </c>
      <c r="BG789">
        <v>180</v>
      </c>
      <c r="BH789">
        <v>166</v>
      </c>
    </row>
    <row r="790" spans="1:60" x14ac:dyDescent="0.3">
      <c r="A790" s="4">
        <f>HYPERLINK("http://legacy.baseballprospectus.com/p/101077",101077)</f>
        <v>101077</v>
      </c>
      <c r="B790" t="s">
        <v>1937</v>
      </c>
      <c r="C790" t="s">
        <v>939</v>
      </c>
      <c r="D790" s="10">
        <v>34316</v>
      </c>
      <c r="E790" t="s">
        <v>51</v>
      </c>
      <c r="F790" t="s">
        <v>37</v>
      </c>
      <c r="G790" t="s">
        <v>33</v>
      </c>
      <c r="H790">
        <v>72</v>
      </c>
      <c r="I790">
        <v>160</v>
      </c>
      <c r="J790">
        <v>2018</v>
      </c>
      <c r="K790" s="4" t="str">
        <f>HYPERLINK("http://legacy.baseballprospectus.com/fantasy/dc/index.php?tm=ATL","ATL")</f>
        <v>ATL</v>
      </c>
      <c r="L790" t="s">
        <v>100</v>
      </c>
      <c r="M790" t="s">
        <v>34</v>
      </c>
      <c r="N790">
        <v>24</v>
      </c>
      <c r="O790">
        <v>488</v>
      </c>
      <c r="P790">
        <v>144</v>
      </c>
      <c r="Q790">
        <v>450</v>
      </c>
      <c r="R790">
        <v>47</v>
      </c>
      <c r="S790">
        <v>77</v>
      </c>
      <c r="T790">
        <v>26</v>
      </c>
      <c r="U790">
        <v>3</v>
      </c>
      <c r="V790">
        <v>10</v>
      </c>
      <c r="W790">
        <v>116</v>
      </c>
      <c r="X790">
        <v>178</v>
      </c>
      <c r="Y790">
        <v>51</v>
      </c>
      <c r="Z790">
        <v>23</v>
      </c>
      <c r="AA790">
        <v>2</v>
      </c>
      <c r="AB790">
        <v>3</v>
      </c>
      <c r="AC790">
        <v>95</v>
      </c>
      <c r="AD790">
        <v>10</v>
      </c>
      <c r="AE790">
        <v>2</v>
      </c>
      <c r="AF790">
        <v>11</v>
      </c>
      <c r="AG790">
        <v>0</v>
      </c>
      <c r="AH790">
        <v>0</v>
      </c>
      <c r="AI790" s="5">
        <v>0.25800000000000001</v>
      </c>
      <c r="AJ790" s="5">
        <v>0.29699999999999999</v>
      </c>
      <c r="AK790" s="5">
        <v>0.39600000000000002</v>
      </c>
      <c r="AL790" s="5">
        <v>0.23400000000000001</v>
      </c>
      <c r="AM790" s="5">
        <v>0.29599999999999999</v>
      </c>
      <c r="AN790">
        <v>-0.7</v>
      </c>
      <c r="AO790">
        <v>0.61</v>
      </c>
      <c r="AP790">
        <v>13.1</v>
      </c>
      <c r="AQ790">
        <v>-13.22</v>
      </c>
      <c r="AR790">
        <v>-1.7</v>
      </c>
      <c r="AS790" t="s">
        <v>4983</v>
      </c>
      <c r="AT790">
        <v>-0.2</v>
      </c>
      <c r="AU790">
        <v>-0.3</v>
      </c>
      <c r="AV790">
        <v>5</v>
      </c>
      <c r="AW790">
        <v>24</v>
      </c>
      <c r="AX790">
        <v>10</v>
      </c>
      <c r="AY790">
        <v>29</v>
      </c>
      <c r="AZ790" t="s">
        <v>4605</v>
      </c>
      <c r="BA790">
        <v>60</v>
      </c>
      <c r="BB790" t="s">
        <v>35</v>
      </c>
      <c r="BC790" t="s">
        <v>36</v>
      </c>
      <c r="BD790" s="4">
        <f>HYPERLINK("http://mlb.mlb.com/team/player.jsp?player_id=622666",622666)</f>
        <v>622666</v>
      </c>
      <c r="BE790">
        <v>1537</v>
      </c>
      <c r="BF790">
        <v>537</v>
      </c>
      <c r="BG790">
        <v>256</v>
      </c>
      <c r="BH790">
        <v>241</v>
      </c>
    </row>
    <row r="791" spans="1:60" x14ac:dyDescent="0.3">
      <c r="A791" s="4">
        <f>HYPERLINK("http://legacy.baseballprospectus.com/p/102064",102064)</f>
        <v>102064</v>
      </c>
      <c r="B791" t="s">
        <v>1920</v>
      </c>
      <c r="C791" t="s">
        <v>502</v>
      </c>
      <c r="D791" s="10">
        <v>34198</v>
      </c>
      <c r="E791" t="s">
        <v>54</v>
      </c>
      <c r="F791" t="s">
        <v>37</v>
      </c>
      <c r="G791" t="s">
        <v>33</v>
      </c>
      <c r="H791">
        <v>73</v>
      </c>
      <c r="I791">
        <v>215</v>
      </c>
      <c r="J791">
        <v>2018</v>
      </c>
      <c r="K791" s="4" t="str">
        <f>HYPERLINK("http://legacy.baseballprospectus.com/fantasy/dc/index.php?tm=CHN","CHN")</f>
        <v>CHN</v>
      </c>
      <c r="L791" t="s">
        <v>100</v>
      </c>
      <c r="M791" t="s">
        <v>34</v>
      </c>
      <c r="N791">
        <v>24</v>
      </c>
      <c r="O791">
        <v>126</v>
      </c>
      <c r="P791">
        <v>39</v>
      </c>
      <c r="Q791">
        <v>112</v>
      </c>
      <c r="R791">
        <v>14</v>
      </c>
      <c r="S791">
        <v>19</v>
      </c>
      <c r="T791">
        <v>7</v>
      </c>
      <c r="U791">
        <v>0</v>
      </c>
      <c r="V791">
        <v>3</v>
      </c>
      <c r="W791">
        <v>29</v>
      </c>
      <c r="X791">
        <v>45</v>
      </c>
      <c r="Y791">
        <v>14</v>
      </c>
      <c r="Z791">
        <v>11</v>
      </c>
      <c r="AA791">
        <v>1</v>
      </c>
      <c r="AB791">
        <v>1</v>
      </c>
      <c r="AC791">
        <v>26</v>
      </c>
      <c r="AD791">
        <v>0</v>
      </c>
      <c r="AE791">
        <v>1</v>
      </c>
      <c r="AF791">
        <v>4</v>
      </c>
      <c r="AG791">
        <v>0</v>
      </c>
      <c r="AH791">
        <v>0</v>
      </c>
      <c r="AI791" s="5">
        <v>0.25900000000000001</v>
      </c>
      <c r="AJ791" s="5">
        <v>0.32800000000000001</v>
      </c>
      <c r="AK791" s="5">
        <v>0.40200000000000002</v>
      </c>
      <c r="AL791" s="5">
        <v>0.25600000000000001</v>
      </c>
      <c r="AM791" s="5">
        <v>0.311</v>
      </c>
      <c r="AN791">
        <v>-0.2</v>
      </c>
      <c r="AO791">
        <v>0.96</v>
      </c>
      <c r="AP791">
        <v>3.38</v>
      </c>
      <c r="AQ791">
        <v>-0.59</v>
      </c>
      <c r="AR791">
        <v>-5</v>
      </c>
      <c r="AS791" t="s">
        <v>1687</v>
      </c>
      <c r="AT791">
        <v>-0.2</v>
      </c>
      <c r="AU791">
        <v>3.5</v>
      </c>
      <c r="AV791">
        <v>6</v>
      </c>
      <c r="AW791">
        <v>20</v>
      </c>
      <c r="AX791">
        <v>18</v>
      </c>
      <c r="AY791">
        <v>29</v>
      </c>
      <c r="AZ791" t="s">
        <v>4527</v>
      </c>
      <c r="BA791">
        <v>60</v>
      </c>
      <c r="BB791" t="s">
        <v>35</v>
      </c>
      <c r="BC791" t="s">
        <v>35</v>
      </c>
      <c r="BD791" s="4">
        <f>HYPERLINK("http://mlb.mlb.com/team/player.jsp?player_id=605170",605170)</f>
        <v>605170</v>
      </c>
      <c r="BE791">
        <v>1400</v>
      </c>
      <c r="BF791">
        <v>400</v>
      </c>
      <c r="BG791">
        <v>66</v>
      </c>
      <c r="BH791">
        <v>59</v>
      </c>
    </row>
    <row r="792" spans="1:60" x14ac:dyDescent="0.3">
      <c r="A792" s="4">
        <f>HYPERLINK("http://legacy.baseballprospectus.com/p/102940",102940)</f>
        <v>102940</v>
      </c>
      <c r="B792" t="s">
        <v>632</v>
      </c>
      <c r="C792" t="s">
        <v>1780</v>
      </c>
      <c r="D792" s="10">
        <v>35162</v>
      </c>
      <c r="E792" t="s">
        <v>57</v>
      </c>
      <c r="F792" t="s">
        <v>9</v>
      </c>
      <c r="G792" t="s">
        <v>9</v>
      </c>
      <c r="H792">
        <v>71</v>
      </c>
      <c r="I792">
        <v>160</v>
      </c>
      <c r="J792">
        <v>2018</v>
      </c>
      <c r="K792" s="4" t="str">
        <f>HYPERLINK("http://legacy.baseballprospectus.com/fantasy/dc/index.php?tm=MIA","MIA")</f>
        <v>MIA</v>
      </c>
      <c r="L792" t="s">
        <v>100</v>
      </c>
      <c r="M792" t="s">
        <v>34</v>
      </c>
      <c r="N792">
        <v>22</v>
      </c>
      <c r="O792">
        <v>197</v>
      </c>
      <c r="P792">
        <v>61</v>
      </c>
      <c r="Q792">
        <v>185</v>
      </c>
      <c r="R792">
        <v>19</v>
      </c>
      <c r="S792">
        <v>34</v>
      </c>
      <c r="T792">
        <v>7</v>
      </c>
      <c r="U792">
        <v>1</v>
      </c>
      <c r="V792">
        <v>3</v>
      </c>
      <c r="W792">
        <v>45</v>
      </c>
      <c r="X792">
        <v>63</v>
      </c>
      <c r="Y792">
        <v>17</v>
      </c>
      <c r="Z792">
        <v>9</v>
      </c>
      <c r="AA792">
        <v>0</v>
      </c>
      <c r="AB792">
        <v>1</v>
      </c>
      <c r="AC792">
        <v>47</v>
      </c>
      <c r="AD792">
        <v>2</v>
      </c>
      <c r="AE792">
        <v>1</v>
      </c>
      <c r="AF792">
        <v>3</v>
      </c>
      <c r="AG792">
        <v>6</v>
      </c>
      <c r="AH792">
        <v>3</v>
      </c>
      <c r="AI792" s="5">
        <v>0.24299999999999999</v>
      </c>
      <c r="AJ792" s="5">
        <v>0.28100000000000003</v>
      </c>
      <c r="AK792" s="5">
        <v>0.34100000000000003</v>
      </c>
      <c r="AL792" s="5">
        <v>0.214</v>
      </c>
      <c r="AM792" s="5">
        <v>0.30299999999999999</v>
      </c>
      <c r="AN792">
        <v>0.1</v>
      </c>
      <c r="AO792">
        <v>-0.54</v>
      </c>
      <c r="AP792">
        <v>5.29</v>
      </c>
      <c r="AQ792">
        <v>-9.5500000000000007</v>
      </c>
      <c r="AR792">
        <v>2.2000000000000002</v>
      </c>
      <c r="AS792" t="s">
        <v>4905</v>
      </c>
      <c r="AT792">
        <v>-0.2</v>
      </c>
      <c r="AU792">
        <v>-4.7</v>
      </c>
      <c r="AV792">
        <v>2</v>
      </c>
      <c r="AW792">
        <v>8</v>
      </c>
      <c r="AX792">
        <v>6</v>
      </c>
      <c r="AY792">
        <v>14</v>
      </c>
      <c r="AZ792" t="s">
        <v>4665</v>
      </c>
      <c r="BA792">
        <v>18</v>
      </c>
      <c r="BB792" t="s">
        <v>35</v>
      </c>
      <c r="BC792" t="s">
        <v>35</v>
      </c>
      <c r="BD792" s="4">
        <f>HYPERLINK("http://mlb.mlb.com/team/player.jsp?player_id=642423",642423)</f>
        <v>642423</v>
      </c>
      <c r="BE792">
        <v>1635</v>
      </c>
      <c r="BF792">
        <v>635</v>
      </c>
      <c r="BG792">
        <v>64</v>
      </c>
      <c r="BH792">
        <v>60</v>
      </c>
    </row>
    <row r="793" spans="1:60" x14ac:dyDescent="0.3">
      <c r="A793" s="4">
        <f>HYPERLINK("http://legacy.baseballprospectus.com/p/101626",101626)</f>
        <v>101626</v>
      </c>
      <c r="B793" t="s">
        <v>450</v>
      </c>
      <c r="C793" t="s">
        <v>4572</v>
      </c>
      <c r="D793" s="10">
        <v>34492</v>
      </c>
      <c r="E793" t="s">
        <v>51</v>
      </c>
      <c r="F793" t="s">
        <v>9</v>
      </c>
      <c r="G793" t="s">
        <v>33</v>
      </c>
      <c r="H793">
        <v>75</v>
      </c>
      <c r="I793">
        <v>215</v>
      </c>
      <c r="J793">
        <v>2018</v>
      </c>
      <c r="K793" s="4" t="str">
        <f>HYPERLINK("http://legacy.baseballprospectus.com/fantasy/dc/index.php?tm=SFN","SFN")</f>
        <v>SFN</v>
      </c>
      <c r="L793" t="s">
        <v>100</v>
      </c>
      <c r="M793" t="s">
        <v>34</v>
      </c>
      <c r="N793">
        <v>24</v>
      </c>
      <c r="O793">
        <v>99</v>
      </c>
      <c r="P793">
        <v>30</v>
      </c>
      <c r="Q793">
        <v>92</v>
      </c>
      <c r="R793">
        <v>10</v>
      </c>
      <c r="S793">
        <v>14</v>
      </c>
      <c r="T793">
        <v>5</v>
      </c>
      <c r="U793">
        <v>0</v>
      </c>
      <c r="V793">
        <v>3</v>
      </c>
      <c r="W793">
        <v>22</v>
      </c>
      <c r="X793">
        <v>36</v>
      </c>
      <c r="Y793">
        <v>11</v>
      </c>
      <c r="Z793">
        <v>5</v>
      </c>
      <c r="AA793">
        <v>1</v>
      </c>
      <c r="AB793">
        <v>1</v>
      </c>
      <c r="AC793">
        <v>23</v>
      </c>
      <c r="AD793">
        <v>0</v>
      </c>
      <c r="AE793">
        <v>1</v>
      </c>
      <c r="AF793">
        <v>2</v>
      </c>
      <c r="AG793">
        <v>1</v>
      </c>
      <c r="AH793">
        <v>0</v>
      </c>
      <c r="AI793" s="5">
        <v>0.23899999999999999</v>
      </c>
      <c r="AJ793" s="5">
        <v>0.28299999999999997</v>
      </c>
      <c r="AK793" s="5">
        <v>0.39100000000000001</v>
      </c>
      <c r="AL793" s="5">
        <v>0.23799999999999999</v>
      </c>
      <c r="AM793" s="5">
        <v>0.28100000000000003</v>
      </c>
      <c r="AN793">
        <v>-0.1</v>
      </c>
      <c r="AO793">
        <v>-0.33</v>
      </c>
      <c r="AP793">
        <v>2.66</v>
      </c>
      <c r="AQ793">
        <v>-2.29</v>
      </c>
      <c r="AR793">
        <v>-1.5</v>
      </c>
      <c r="AS793" t="s">
        <v>1796</v>
      </c>
      <c r="AT793">
        <v>-0.2</v>
      </c>
      <c r="AU793">
        <v>-0.1</v>
      </c>
      <c r="AV793">
        <v>5</v>
      </c>
      <c r="AW793">
        <v>20</v>
      </c>
      <c r="AX793">
        <v>9</v>
      </c>
      <c r="AY793">
        <v>20</v>
      </c>
      <c r="AZ793" t="s">
        <v>4573</v>
      </c>
      <c r="BA793">
        <v>36</v>
      </c>
      <c r="BB793" t="s">
        <v>35</v>
      </c>
      <c r="BC793" t="s">
        <v>36</v>
      </c>
      <c r="BD793" s="4">
        <f>HYPERLINK("http://mlb.mlb.com/team/player.jsp?player_id=624507",624507)</f>
        <v>624507</v>
      </c>
      <c r="BE793">
        <v>1438</v>
      </c>
      <c r="BF793">
        <v>438</v>
      </c>
      <c r="BG793">
        <v>164</v>
      </c>
      <c r="BH793">
        <v>150</v>
      </c>
    </row>
    <row r="794" spans="1:60" x14ac:dyDescent="0.3">
      <c r="A794" s="4">
        <f>HYPERLINK("http://legacy.baseballprospectus.com/p/1424",1424)</f>
        <v>1424</v>
      </c>
      <c r="B794" t="s">
        <v>3323</v>
      </c>
      <c r="C794" t="s">
        <v>438</v>
      </c>
      <c r="D794" s="10">
        <v>29946</v>
      </c>
      <c r="E794" t="s">
        <v>58</v>
      </c>
      <c r="F794" t="s">
        <v>33</v>
      </c>
      <c r="G794" t="s">
        <v>33</v>
      </c>
      <c r="H794">
        <v>71</v>
      </c>
      <c r="I794">
        <v>195</v>
      </c>
      <c r="J794">
        <v>2018</v>
      </c>
      <c r="K794" s="4" t="str">
        <f>HYPERLINK("http://legacy.baseballprospectus.com/fantasy/dc/index.php?tm=DET","DET")</f>
        <v>DET</v>
      </c>
      <c r="L794" t="s">
        <v>95</v>
      </c>
      <c r="M794" t="s">
        <v>34</v>
      </c>
      <c r="N794">
        <v>36</v>
      </c>
      <c r="O794">
        <v>250</v>
      </c>
      <c r="P794" t="s">
        <v>1680</v>
      </c>
      <c r="Q794">
        <v>234</v>
      </c>
      <c r="R794">
        <v>23</v>
      </c>
      <c r="S794">
        <v>42</v>
      </c>
      <c r="T794">
        <v>12</v>
      </c>
      <c r="U794">
        <v>2</v>
      </c>
      <c r="V794">
        <v>4</v>
      </c>
      <c r="W794">
        <v>60</v>
      </c>
      <c r="X794">
        <v>88</v>
      </c>
      <c r="Y794">
        <v>24</v>
      </c>
      <c r="Z794">
        <v>12</v>
      </c>
      <c r="AA794">
        <v>1</v>
      </c>
      <c r="AB794">
        <v>1</v>
      </c>
      <c r="AC794">
        <v>34</v>
      </c>
      <c r="AD794">
        <v>1</v>
      </c>
      <c r="AE794">
        <v>2</v>
      </c>
      <c r="AF794">
        <v>5</v>
      </c>
      <c r="AG794">
        <v>1</v>
      </c>
      <c r="AH794">
        <v>1</v>
      </c>
      <c r="AI794" s="5">
        <v>0.25700000000000001</v>
      </c>
      <c r="AJ794" s="5">
        <v>0.29199999999999998</v>
      </c>
      <c r="AK794" s="5">
        <v>0.373</v>
      </c>
      <c r="AL794" s="5">
        <v>0.216</v>
      </c>
      <c r="AM794" s="5">
        <v>0.28100000000000003</v>
      </c>
      <c r="AN794">
        <v>0.3</v>
      </c>
      <c r="AO794">
        <v>3.36</v>
      </c>
      <c r="AP794">
        <v>7</v>
      </c>
      <c r="AQ794">
        <v>-11.54</v>
      </c>
      <c r="AR794">
        <v>-1</v>
      </c>
      <c r="AS794" t="s">
        <v>1875</v>
      </c>
      <c r="AT794">
        <v>-0.2</v>
      </c>
      <c r="AU794">
        <v>-0.9</v>
      </c>
      <c r="AV794">
        <v>4</v>
      </c>
      <c r="AW794">
        <v>36</v>
      </c>
      <c r="AX794">
        <v>11</v>
      </c>
      <c r="AY794">
        <v>21</v>
      </c>
      <c r="AZ794" t="s">
        <v>4529</v>
      </c>
      <c r="BA794">
        <v>76</v>
      </c>
      <c r="BB794" t="s">
        <v>36</v>
      </c>
      <c r="BC794" t="s">
        <v>36</v>
      </c>
      <c r="BD794" s="4">
        <f>HYPERLINK("http://mlb.mlb.com/team/player.jsp?player_id=408299",408299)</f>
        <v>408299</v>
      </c>
      <c r="BE794">
        <v>0</v>
      </c>
      <c r="BF794">
        <v>0</v>
      </c>
      <c r="BG794">
        <v>0</v>
      </c>
      <c r="BH794">
        <v>0</v>
      </c>
    </row>
    <row r="795" spans="1:60" x14ac:dyDescent="0.3">
      <c r="A795" s="4">
        <f>HYPERLINK("http://legacy.baseballprospectus.com/p/45395",45395)</f>
        <v>45395</v>
      </c>
      <c r="B795" t="s">
        <v>4449</v>
      </c>
      <c r="C795" t="s">
        <v>4450</v>
      </c>
      <c r="D795" s="10">
        <v>31428</v>
      </c>
      <c r="E795" t="s">
        <v>53</v>
      </c>
      <c r="F795" t="s">
        <v>9</v>
      </c>
      <c r="G795" t="s">
        <v>33</v>
      </c>
      <c r="H795">
        <v>75</v>
      </c>
      <c r="I795">
        <v>210</v>
      </c>
      <c r="J795">
        <v>2018</v>
      </c>
      <c r="K795" s="4" t="str">
        <f>HYPERLINK("http://legacy.baseballprospectus.com/fantasy/dc/index.php?tm=WAS","WAS")</f>
        <v>WAS</v>
      </c>
      <c r="L795" t="s">
        <v>100</v>
      </c>
      <c r="M795" t="s">
        <v>34</v>
      </c>
      <c r="N795">
        <v>32</v>
      </c>
      <c r="O795">
        <v>250</v>
      </c>
      <c r="P795" t="s">
        <v>1680</v>
      </c>
      <c r="Q795">
        <v>220</v>
      </c>
      <c r="R795">
        <v>29</v>
      </c>
      <c r="S795">
        <v>33</v>
      </c>
      <c r="T795">
        <v>10</v>
      </c>
      <c r="U795">
        <v>1</v>
      </c>
      <c r="V795">
        <v>6</v>
      </c>
      <c r="W795">
        <v>50</v>
      </c>
      <c r="X795">
        <v>80</v>
      </c>
      <c r="Y795">
        <v>23</v>
      </c>
      <c r="Z795">
        <v>24</v>
      </c>
      <c r="AA795">
        <v>1</v>
      </c>
      <c r="AB795">
        <v>2</v>
      </c>
      <c r="AC795">
        <v>67</v>
      </c>
      <c r="AD795">
        <v>2</v>
      </c>
      <c r="AE795">
        <v>1</v>
      </c>
      <c r="AF795">
        <v>5</v>
      </c>
      <c r="AG795">
        <v>1</v>
      </c>
      <c r="AH795">
        <v>1</v>
      </c>
      <c r="AI795" s="5">
        <v>0.224</v>
      </c>
      <c r="AJ795" s="5">
        <v>0.30499999999999999</v>
      </c>
      <c r="AK795" s="5">
        <v>0.35499999999999998</v>
      </c>
      <c r="AL795" s="5">
        <v>0.22500000000000001</v>
      </c>
      <c r="AM795" s="5">
        <v>0.28799999999999998</v>
      </c>
      <c r="AN795">
        <v>-0.3</v>
      </c>
      <c r="AO795">
        <v>4.21</v>
      </c>
      <c r="AP795">
        <v>7</v>
      </c>
      <c r="AQ795">
        <v>-9.24</v>
      </c>
      <c r="AR795">
        <v>-3.1</v>
      </c>
      <c r="AS795" t="s">
        <v>1745</v>
      </c>
      <c r="AT795">
        <v>-0.2</v>
      </c>
      <c r="AU795">
        <v>1.6</v>
      </c>
      <c r="AV795">
        <v>5</v>
      </c>
      <c r="AW795">
        <v>14</v>
      </c>
      <c r="AX795">
        <v>11</v>
      </c>
      <c r="AY795">
        <v>31</v>
      </c>
      <c r="AZ795" t="s">
        <v>4451</v>
      </c>
      <c r="BA795">
        <v>39</v>
      </c>
      <c r="BB795" t="s">
        <v>36</v>
      </c>
      <c r="BC795" t="s">
        <v>36</v>
      </c>
      <c r="BD795" s="4">
        <f>HYPERLINK("http://mlb.mlb.com/team/player.jsp?player_id=458582",458582)</f>
        <v>458582</v>
      </c>
      <c r="BE795">
        <v>0</v>
      </c>
      <c r="BF795">
        <v>0</v>
      </c>
      <c r="BG795">
        <v>0</v>
      </c>
      <c r="BH795">
        <v>0</v>
      </c>
    </row>
    <row r="796" spans="1:60" x14ac:dyDescent="0.3">
      <c r="A796" s="4">
        <f>HYPERLINK("http://legacy.baseballprospectus.com/p/49251",49251)</f>
        <v>49251</v>
      </c>
      <c r="B796" t="s">
        <v>709</v>
      </c>
      <c r="C796" t="s">
        <v>113</v>
      </c>
      <c r="D796" s="10">
        <v>31547</v>
      </c>
      <c r="E796" t="s">
        <v>65</v>
      </c>
      <c r="F796" t="s">
        <v>33</v>
      </c>
      <c r="G796" t="s">
        <v>33</v>
      </c>
      <c r="H796">
        <v>74</v>
      </c>
      <c r="I796">
        <v>210</v>
      </c>
      <c r="J796">
        <v>2018</v>
      </c>
      <c r="K796" s="4" t="str">
        <f>HYPERLINK("http://legacy.baseballprospectus.com/fantasy/dc/index.php?tm=MIA","MIA")</f>
        <v>MIA</v>
      </c>
      <c r="L796" t="s">
        <v>95</v>
      </c>
      <c r="M796" t="s">
        <v>34</v>
      </c>
      <c r="N796">
        <v>32</v>
      </c>
      <c r="O796">
        <v>250</v>
      </c>
      <c r="P796" t="s">
        <v>1680</v>
      </c>
      <c r="Q796">
        <v>229</v>
      </c>
      <c r="R796">
        <v>25</v>
      </c>
      <c r="S796">
        <v>35</v>
      </c>
      <c r="T796">
        <v>11</v>
      </c>
      <c r="U796">
        <v>1</v>
      </c>
      <c r="V796">
        <v>5</v>
      </c>
      <c r="W796">
        <v>52</v>
      </c>
      <c r="X796">
        <v>80</v>
      </c>
      <c r="Y796">
        <v>25</v>
      </c>
      <c r="Z796">
        <v>15</v>
      </c>
      <c r="AA796">
        <v>1</v>
      </c>
      <c r="AB796">
        <v>2</v>
      </c>
      <c r="AC796">
        <v>74</v>
      </c>
      <c r="AD796">
        <v>2</v>
      </c>
      <c r="AE796">
        <v>1</v>
      </c>
      <c r="AF796">
        <v>6</v>
      </c>
      <c r="AG796">
        <v>6</v>
      </c>
      <c r="AH796">
        <v>3</v>
      </c>
      <c r="AI796" s="5">
        <v>0.22900000000000001</v>
      </c>
      <c r="AJ796" s="5">
        <v>0.28199999999999997</v>
      </c>
      <c r="AK796" s="5">
        <v>0.35599999999999998</v>
      </c>
      <c r="AL796" s="5">
        <v>0.216</v>
      </c>
      <c r="AM796" s="5">
        <v>0.307</v>
      </c>
      <c r="AN796">
        <v>1.2</v>
      </c>
      <c r="AO796">
        <v>2.2400000000000002</v>
      </c>
      <c r="AP796">
        <v>7</v>
      </c>
      <c r="AQ796">
        <v>-11.56</v>
      </c>
      <c r="AR796">
        <v>-1</v>
      </c>
      <c r="AS796" t="s">
        <v>4530</v>
      </c>
      <c r="AT796">
        <v>-0.2</v>
      </c>
      <c r="AU796">
        <v>-1.2</v>
      </c>
      <c r="AV796">
        <v>0</v>
      </c>
      <c r="AW796">
        <v>29</v>
      </c>
      <c r="AX796">
        <v>15</v>
      </c>
      <c r="AY796">
        <v>33</v>
      </c>
      <c r="AZ796" t="s">
        <v>4531</v>
      </c>
      <c r="BA796">
        <v>74</v>
      </c>
      <c r="BB796" t="s">
        <v>36</v>
      </c>
      <c r="BC796" t="s">
        <v>36</v>
      </c>
      <c r="BD796" s="4">
        <f>HYPERLINK("http://mlb.mlb.com/team/player.jsp?player_id=488681",488681)</f>
        <v>488681</v>
      </c>
      <c r="BE796">
        <v>0</v>
      </c>
      <c r="BF796">
        <v>0</v>
      </c>
      <c r="BG796">
        <v>0</v>
      </c>
      <c r="BH796">
        <v>0</v>
      </c>
    </row>
    <row r="797" spans="1:60" x14ac:dyDescent="0.3">
      <c r="A797" s="4">
        <f>HYPERLINK("http://legacy.baseballprospectus.com/p/49341",49341)</f>
        <v>49341</v>
      </c>
      <c r="B797" t="s">
        <v>324</v>
      </c>
      <c r="C797" t="s">
        <v>326</v>
      </c>
      <c r="D797" s="10">
        <v>30257</v>
      </c>
      <c r="E797" t="s">
        <v>51</v>
      </c>
      <c r="F797" t="s">
        <v>33</v>
      </c>
      <c r="G797" t="s">
        <v>33</v>
      </c>
      <c r="H797">
        <v>74</v>
      </c>
      <c r="I797">
        <v>215</v>
      </c>
      <c r="J797">
        <v>2018</v>
      </c>
      <c r="K797" s="4" t="str">
        <f>HYPERLINK("http://legacy.baseballprospectus.com/fantasy/dc/index.php?tm=ANA","ANA")</f>
        <v>ANA</v>
      </c>
      <c r="L797" t="s">
        <v>95</v>
      </c>
      <c r="M797" t="s">
        <v>34</v>
      </c>
      <c r="N797">
        <v>35</v>
      </c>
      <c r="O797">
        <v>396</v>
      </c>
      <c r="P797" t="s">
        <v>1680</v>
      </c>
      <c r="Q797">
        <v>357</v>
      </c>
      <c r="R797">
        <v>45</v>
      </c>
      <c r="S797">
        <v>73</v>
      </c>
      <c r="T797">
        <v>18</v>
      </c>
      <c r="U797">
        <v>0</v>
      </c>
      <c r="V797">
        <v>7</v>
      </c>
      <c r="W797">
        <v>98</v>
      </c>
      <c r="X797">
        <v>137</v>
      </c>
      <c r="Y797">
        <v>36</v>
      </c>
      <c r="Z797">
        <v>32</v>
      </c>
      <c r="AA797">
        <v>1</v>
      </c>
      <c r="AB797">
        <v>3</v>
      </c>
      <c r="AC797">
        <v>52</v>
      </c>
      <c r="AD797">
        <v>2</v>
      </c>
      <c r="AE797">
        <v>2</v>
      </c>
      <c r="AF797">
        <v>16</v>
      </c>
      <c r="AG797">
        <v>1</v>
      </c>
      <c r="AH797">
        <v>2</v>
      </c>
      <c r="AI797" s="5">
        <v>0.27300000000000002</v>
      </c>
      <c r="AJ797" s="5">
        <v>0.33700000000000002</v>
      </c>
      <c r="AK797" s="5">
        <v>0.38300000000000001</v>
      </c>
      <c r="AL797" s="5">
        <v>0.249</v>
      </c>
      <c r="AM797" s="5">
        <v>0.30099999999999999</v>
      </c>
      <c r="AN797">
        <v>-0.2</v>
      </c>
      <c r="AO797">
        <v>2.4900000000000002</v>
      </c>
      <c r="AP797">
        <v>11.09</v>
      </c>
      <c r="AQ797">
        <v>-4.6500000000000004</v>
      </c>
      <c r="AR797">
        <v>-10.199999999999999</v>
      </c>
      <c r="AS797" t="s">
        <v>4925</v>
      </c>
      <c r="AT797">
        <v>-0.2</v>
      </c>
      <c r="AU797">
        <v>8.6999999999999993</v>
      </c>
      <c r="AV797">
        <v>2</v>
      </c>
      <c r="AW797">
        <v>26</v>
      </c>
      <c r="AX797">
        <v>11</v>
      </c>
      <c r="AY797">
        <v>28</v>
      </c>
      <c r="AZ797" t="s">
        <v>4532</v>
      </c>
      <c r="BA797">
        <v>85</v>
      </c>
      <c r="BB797" t="s">
        <v>36</v>
      </c>
      <c r="BC797" t="s">
        <v>36</v>
      </c>
      <c r="BD797" s="4">
        <f>HYPERLINK("http://mlb.mlb.com/team/player.jsp?player_id=488862",488862)</f>
        <v>488862</v>
      </c>
      <c r="BE797">
        <v>0</v>
      </c>
      <c r="BF797">
        <v>0</v>
      </c>
      <c r="BG797">
        <v>381</v>
      </c>
      <c r="BH797">
        <v>350</v>
      </c>
    </row>
    <row r="798" spans="1:60" x14ac:dyDescent="0.3">
      <c r="A798" s="4">
        <f>HYPERLINK("http://legacy.baseballprospectus.com/p/57748",57748)</f>
        <v>57748</v>
      </c>
      <c r="B798" t="s">
        <v>369</v>
      </c>
      <c r="C798" t="s">
        <v>370</v>
      </c>
      <c r="D798" s="10">
        <v>31976</v>
      </c>
      <c r="E798" t="s">
        <v>51</v>
      </c>
      <c r="F798" t="s">
        <v>9</v>
      </c>
      <c r="G798" t="s">
        <v>33</v>
      </c>
      <c r="H798">
        <v>73</v>
      </c>
      <c r="I798">
        <v>195</v>
      </c>
      <c r="J798">
        <v>2018</v>
      </c>
      <c r="K798" s="4" t="str">
        <f>HYPERLINK("http://legacy.baseballprospectus.com/fantasy/dc/index.php?tm=SFN","SFN")</f>
        <v>SFN</v>
      </c>
      <c r="L798" t="s">
        <v>100</v>
      </c>
      <c r="M798" t="s">
        <v>34</v>
      </c>
      <c r="N798">
        <v>30</v>
      </c>
      <c r="O798">
        <v>250</v>
      </c>
      <c r="P798" t="s">
        <v>1680</v>
      </c>
      <c r="Q798">
        <v>230</v>
      </c>
      <c r="R798">
        <v>24</v>
      </c>
      <c r="S798">
        <v>38</v>
      </c>
      <c r="T798">
        <v>13</v>
      </c>
      <c r="U798">
        <v>2</v>
      </c>
      <c r="V798">
        <v>5</v>
      </c>
      <c r="W798">
        <v>58</v>
      </c>
      <c r="X798">
        <v>90</v>
      </c>
      <c r="Y798">
        <v>27</v>
      </c>
      <c r="Z798">
        <v>17</v>
      </c>
      <c r="AA798">
        <v>2</v>
      </c>
      <c r="AB798">
        <v>1</v>
      </c>
      <c r="AC798">
        <v>42</v>
      </c>
      <c r="AD798">
        <v>0</v>
      </c>
      <c r="AE798">
        <v>2</v>
      </c>
      <c r="AF798">
        <v>6</v>
      </c>
      <c r="AG798">
        <v>2</v>
      </c>
      <c r="AH798">
        <v>1</v>
      </c>
      <c r="AI798" s="5">
        <v>0.251</v>
      </c>
      <c r="AJ798" s="5">
        <v>0.30299999999999999</v>
      </c>
      <c r="AK798" s="5">
        <v>0.38800000000000001</v>
      </c>
      <c r="AL798" s="5">
        <v>0.23799999999999999</v>
      </c>
      <c r="AM798" s="5">
        <v>0.28399999999999997</v>
      </c>
      <c r="AN798">
        <v>-0.9</v>
      </c>
      <c r="AO798">
        <v>7.0000000000000007E-2</v>
      </c>
      <c r="AP798">
        <v>7</v>
      </c>
      <c r="AQ798">
        <v>-5.68</v>
      </c>
      <c r="AR798">
        <v>-2.7</v>
      </c>
      <c r="AS798" t="s">
        <v>4582</v>
      </c>
      <c r="AT798">
        <v>-0.2</v>
      </c>
      <c r="AU798">
        <v>0.5</v>
      </c>
      <c r="AV798">
        <v>4</v>
      </c>
      <c r="AW798">
        <v>38</v>
      </c>
      <c r="AX798">
        <v>13</v>
      </c>
      <c r="AY798">
        <v>18</v>
      </c>
      <c r="AZ798" t="s">
        <v>4583</v>
      </c>
      <c r="BA798">
        <v>91</v>
      </c>
      <c r="BB798" t="s">
        <v>36</v>
      </c>
      <c r="BC798" t="s">
        <v>36</v>
      </c>
      <c r="BD798" s="4">
        <f>HYPERLINK("http://mlb.mlb.com/team/player.jsp?player_id=543216",543216)</f>
        <v>543216</v>
      </c>
      <c r="BE798">
        <v>0</v>
      </c>
      <c r="BF798">
        <v>0</v>
      </c>
      <c r="BG798">
        <v>87</v>
      </c>
      <c r="BH798">
        <v>80</v>
      </c>
    </row>
    <row r="799" spans="1:60" x14ac:dyDescent="0.3">
      <c r="A799" s="4">
        <f>HYPERLINK("http://legacy.baseballprospectus.com/p/57819",57819)</f>
        <v>57819</v>
      </c>
      <c r="B799" t="s">
        <v>1076</v>
      </c>
      <c r="C799" t="s">
        <v>344</v>
      </c>
      <c r="D799" s="10">
        <v>31943</v>
      </c>
      <c r="E799" t="s">
        <v>59</v>
      </c>
      <c r="F799" t="s">
        <v>33</v>
      </c>
      <c r="G799" t="s">
        <v>33</v>
      </c>
      <c r="H799">
        <v>70</v>
      </c>
      <c r="I799">
        <v>180</v>
      </c>
      <c r="J799">
        <v>2018</v>
      </c>
      <c r="K799" s="4" t="str">
        <f>HYPERLINK("http://legacy.baseballprospectus.com/fantasy/dc/index.php?tm=CHA","CHA")</f>
        <v>CHA</v>
      </c>
      <c r="L799" t="s">
        <v>100</v>
      </c>
      <c r="M799" t="s">
        <v>34</v>
      </c>
      <c r="N799">
        <v>31</v>
      </c>
      <c r="O799">
        <v>250</v>
      </c>
      <c r="P799" t="s">
        <v>1680</v>
      </c>
      <c r="Q799">
        <v>215</v>
      </c>
      <c r="R799">
        <v>28</v>
      </c>
      <c r="S799">
        <v>40</v>
      </c>
      <c r="T799">
        <v>7</v>
      </c>
      <c r="U799">
        <v>1</v>
      </c>
      <c r="V799">
        <v>3</v>
      </c>
      <c r="W799">
        <v>51</v>
      </c>
      <c r="X799">
        <v>69</v>
      </c>
      <c r="Y799">
        <v>21</v>
      </c>
      <c r="Z799">
        <v>29</v>
      </c>
      <c r="AA799">
        <v>1</v>
      </c>
      <c r="AB799">
        <v>3</v>
      </c>
      <c r="AC799">
        <v>42</v>
      </c>
      <c r="AD799">
        <v>2</v>
      </c>
      <c r="AE799">
        <v>2</v>
      </c>
      <c r="AF799">
        <v>7</v>
      </c>
      <c r="AG799">
        <v>6</v>
      </c>
      <c r="AH799">
        <v>4</v>
      </c>
      <c r="AI799" s="5">
        <v>0.24099999999999999</v>
      </c>
      <c r="AJ799" s="5">
        <v>0.33600000000000002</v>
      </c>
      <c r="AK799" s="5">
        <v>0.32900000000000001</v>
      </c>
      <c r="AL799" s="5">
        <v>0.23400000000000001</v>
      </c>
      <c r="AM799" s="5">
        <v>0.27900000000000003</v>
      </c>
      <c r="AN799">
        <v>-0.3</v>
      </c>
      <c r="AO799">
        <v>1.92</v>
      </c>
      <c r="AP799">
        <v>7</v>
      </c>
      <c r="AQ799">
        <v>-6.91</v>
      </c>
      <c r="AR799">
        <v>-3.2</v>
      </c>
      <c r="AS799" t="s">
        <v>4159</v>
      </c>
      <c r="AT799">
        <v>-0.2</v>
      </c>
      <c r="AU799">
        <v>1.7</v>
      </c>
      <c r="AV799">
        <v>1</v>
      </c>
      <c r="AW799">
        <v>12</v>
      </c>
      <c r="AX799">
        <v>19</v>
      </c>
      <c r="AY799">
        <v>31</v>
      </c>
      <c r="AZ799" t="s">
        <v>4535</v>
      </c>
      <c r="BA799">
        <v>51</v>
      </c>
      <c r="BB799" t="s">
        <v>36</v>
      </c>
      <c r="BC799" t="s">
        <v>36</v>
      </c>
      <c r="BD799" s="4">
        <f>HYPERLINK("http://mlb.mlb.com/team/player.jsp?player_id=518653",518653)</f>
        <v>518653</v>
      </c>
      <c r="BE799">
        <v>0</v>
      </c>
      <c r="BF799">
        <v>0</v>
      </c>
      <c r="BG799">
        <v>0</v>
      </c>
      <c r="BH799">
        <v>0</v>
      </c>
    </row>
    <row r="800" spans="1:60" x14ac:dyDescent="0.3">
      <c r="A800" s="4">
        <f>HYPERLINK("http://legacy.baseballprospectus.com/p/58259",58259)</f>
        <v>58259</v>
      </c>
      <c r="B800" t="s">
        <v>514</v>
      </c>
      <c r="C800" t="s">
        <v>515</v>
      </c>
      <c r="D800" s="10">
        <v>32395</v>
      </c>
      <c r="E800" t="s">
        <v>51</v>
      </c>
      <c r="F800" t="s">
        <v>33</v>
      </c>
      <c r="G800" t="s">
        <v>33</v>
      </c>
      <c r="H800">
        <v>75</v>
      </c>
      <c r="I800">
        <v>220</v>
      </c>
      <c r="J800">
        <v>2018</v>
      </c>
      <c r="K800" s="4" t="str">
        <f>HYPERLINK("http://legacy.baseballprospectus.com/fantasy/dc/index.php?tm=PHI","PHI")</f>
        <v>PHI</v>
      </c>
      <c r="L800" t="s">
        <v>100</v>
      </c>
      <c r="M800" t="s">
        <v>34</v>
      </c>
      <c r="N800">
        <v>29</v>
      </c>
      <c r="O800">
        <v>250</v>
      </c>
      <c r="P800" t="s">
        <v>1680</v>
      </c>
      <c r="Q800">
        <v>231</v>
      </c>
      <c r="R800">
        <v>27</v>
      </c>
      <c r="S800">
        <v>30</v>
      </c>
      <c r="T800">
        <v>9</v>
      </c>
      <c r="U800">
        <v>1</v>
      </c>
      <c r="V800">
        <v>11</v>
      </c>
      <c r="W800">
        <v>51</v>
      </c>
      <c r="X800">
        <v>95</v>
      </c>
      <c r="Y800">
        <v>34</v>
      </c>
      <c r="Z800">
        <v>15</v>
      </c>
      <c r="AA800">
        <v>1</v>
      </c>
      <c r="AB800">
        <v>2</v>
      </c>
      <c r="AC800">
        <v>70</v>
      </c>
      <c r="AD800">
        <v>0</v>
      </c>
      <c r="AE800">
        <v>2</v>
      </c>
      <c r="AF800">
        <v>7</v>
      </c>
      <c r="AG800">
        <v>1</v>
      </c>
      <c r="AH800">
        <v>1</v>
      </c>
      <c r="AI800" s="5">
        <v>0.223</v>
      </c>
      <c r="AJ800" s="5">
        <v>0.27300000000000002</v>
      </c>
      <c r="AK800" s="5">
        <v>0.41299999999999998</v>
      </c>
      <c r="AL800" s="5">
        <v>0.22600000000000001</v>
      </c>
      <c r="AM800" s="5">
        <v>0.26600000000000001</v>
      </c>
      <c r="AN800">
        <v>0.4</v>
      </c>
      <c r="AO800">
        <v>1.27</v>
      </c>
      <c r="AP800">
        <v>7</v>
      </c>
      <c r="AQ800">
        <v>-8.9600000000000009</v>
      </c>
      <c r="AR800">
        <v>-1.1000000000000001</v>
      </c>
      <c r="AS800" t="s">
        <v>1691</v>
      </c>
      <c r="AT800">
        <v>-0.2</v>
      </c>
      <c r="AU800">
        <v>-0.3</v>
      </c>
      <c r="AV800">
        <v>2</v>
      </c>
      <c r="AW800">
        <v>18</v>
      </c>
      <c r="AX800">
        <v>9</v>
      </c>
      <c r="AY800">
        <v>17</v>
      </c>
      <c r="AZ800" t="s">
        <v>4536</v>
      </c>
      <c r="BA800">
        <v>55</v>
      </c>
      <c r="BB800" t="s">
        <v>36</v>
      </c>
      <c r="BC800" t="s">
        <v>36</v>
      </c>
      <c r="BD800" s="4">
        <f>HYPERLINK("http://mlb.mlb.com/team/player.jsp?player_id=519025",519025)</f>
        <v>519025</v>
      </c>
      <c r="BE800">
        <v>1505</v>
      </c>
      <c r="BF800">
        <v>505</v>
      </c>
      <c r="BG800">
        <v>39</v>
      </c>
      <c r="BH800">
        <v>38</v>
      </c>
    </row>
    <row r="801" spans="1:60" x14ac:dyDescent="0.3">
      <c r="A801" s="4">
        <f>HYPERLINK("http://legacy.baseballprospectus.com/p/67344",67344)</f>
        <v>67344</v>
      </c>
      <c r="B801" t="s">
        <v>1092</v>
      </c>
      <c r="C801" t="s">
        <v>215</v>
      </c>
      <c r="D801" s="10">
        <v>33637</v>
      </c>
      <c r="E801" t="s">
        <v>53</v>
      </c>
      <c r="F801" t="s">
        <v>33</v>
      </c>
      <c r="G801" t="s">
        <v>33</v>
      </c>
      <c r="H801">
        <v>71</v>
      </c>
      <c r="I801">
        <v>180</v>
      </c>
      <c r="J801">
        <v>2018</v>
      </c>
      <c r="K801" s="4" t="str">
        <f>HYPERLINK("http://legacy.baseballprospectus.com/fantasy/dc/index.php?tm=SFN","SFN")</f>
        <v>SFN</v>
      </c>
      <c r="L801" t="s">
        <v>100</v>
      </c>
      <c r="M801" t="s">
        <v>34</v>
      </c>
      <c r="N801">
        <v>26</v>
      </c>
      <c r="O801">
        <v>250</v>
      </c>
      <c r="P801" t="s">
        <v>1680</v>
      </c>
      <c r="Q801">
        <v>229</v>
      </c>
      <c r="R801">
        <v>31</v>
      </c>
      <c r="S801">
        <v>34</v>
      </c>
      <c r="T801">
        <v>10</v>
      </c>
      <c r="U801">
        <v>2</v>
      </c>
      <c r="V801">
        <v>7</v>
      </c>
      <c r="W801">
        <v>53</v>
      </c>
      <c r="X801">
        <v>88</v>
      </c>
      <c r="Y801">
        <v>23</v>
      </c>
      <c r="Z801">
        <v>15</v>
      </c>
      <c r="AA801">
        <v>1</v>
      </c>
      <c r="AB801">
        <v>1</v>
      </c>
      <c r="AC801">
        <v>61</v>
      </c>
      <c r="AD801">
        <v>3</v>
      </c>
      <c r="AE801">
        <v>1</v>
      </c>
      <c r="AF801">
        <v>5</v>
      </c>
      <c r="AG801">
        <v>8</v>
      </c>
      <c r="AH801">
        <v>2</v>
      </c>
      <c r="AI801" s="5">
        <v>0.22900000000000001</v>
      </c>
      <c r="AJ801" s="5">
        <v>0.27800000000000002</v>
      </c>
      <c r="AK801" s="5">
        <v>0.372</v>
      </c>
      <c r="AL801" s="5">
        <v>0.22600000000000001</v>
      </c>
      <c r="AM801" s="5">
        <v>0.27700000000000002</v>
      </c>
      <c r="AN801">
        <v>0.9</v>
      </c>
      <c r="AO801">
        <v>2.77</v>
      </c>
      <c r="AP801">
        <v>7</v>
      </c>
      <c r="AQ801">
        <v>-8.81</v>
      </c>
      <c r="AR801">
        <v>-3.2</v>
      </c>
      <c r="AS801" t="s">
        <v>4459</v>
      </c>
      <c r="AT801">
        <v>-0.2</v>
      </c>
      <c r="AU801">
        <v>1.8</v>
      </c>
      <c r="AV801">
        <v>4</v>
      </c>
      <c r="AW801">
        <v>19</v>
      </c>
      <c r="AX801">
        <v>7</v>
      </c>
      <c r="AY801">
        <v>16</v>
      </c>
      <c r="AZ801" t="s">
        <v>4460</v>
      </c>
      <c r="BA801">
        <v>37</v>
      </c>
      <c r="BB801" t="s">
        <v>36</v>
      </c>
      <c r="BC801" t="s">
        <v>35</v>
      </c>
      <c r="BD801" s="4">
        <f>HYPERLINK("http://mlb.mlb.com/team/player.jsp?player_id=593525",593525)</f>
        <v>593525</v>
      </c>
      <c r="BE801">
        <v>0</v>
      </c>
      <c r="BF801">
        <v>0</v>
      </c>
      <c r="BG801">
        <v>55</v>
      </c>
      <c r="BH801">
        <v>49</v>
      </c>
    </row>
    <row r="802" spans="1:60" x14ac:dyDescent="0.3">
      <c r="A802" s="4">
        <f>HYPERLINK("http://legacy.baseballprospectus.com/p/68653",68653)</f>
        <v>68653</v>
      </c>
      <c r="B802" t="s">
        <v>1078</v>
      </c>
      <c r="C802" t="s">
        <v>745</v>
      </c>
      <c r="D802" s="10">
        <v>33603</v>
      </c>
      <c r="E802" t="s">
        <v>51</v>
      </c>
      <c r="F802" t="s">
        <v>33</v>
      </c>
      <c r="G802" t="s">
        <v>33</v>
      </c>
      <c r="H802">
        <v>73</v>
      </c>
      <c r="I802">
        <v>210</v>
      </c>
      <c r="J802">
        <v>2018</v>
      </c>
      <c r="K802" s="4" t="str">
        <f>HYPERLINK("http://legacy.baseballprospectus.com/fantasy/dc/index.php?tm=CIN","CIN")</f>
        <v>CIN</v>
      </c>
      <c r="L802" t="s">
        <v>100</v>
      </c>
      <c r="M802" t="s">
        <v>34</v>
      </c>
      <c r="N802">
        <v>26</v>
      </c>
      <c r="O802">
        <v>250</v>
      </c>
      <c r="P802" t="s">
        <v>1680</v>
      </c>
      <c r="Q802">
        <v>227</v>
      </c>
      <c r="R802">
        <v>28</v>
      </c>
      <c r="S802">
        <v>31</v>
      </c>
      <c r="T802">
        <v>11</v>
      </c>
      <c r="U802">
        <v>1</v>
      </c>
      <c r="V802">
        <v>10</v>
      </c>
      <c r="W802">
        <v>53</v>
      </c>
      <c r="X802">
        <v>96</v>
      </c>
      <c r="Y802">
        <v>33</v>
      </c>
      <c r="Z802">
        <v>19</v>
      </c>
      <c r="AA802">
        <v>1</v>
      </c>
      <c r="AB802">
        <v>3</v>
      </c>
      <c r="AC802">
        <v>65</v>
      </c>
      <c r="AD802">
        <v>0</v>
      </c>
      <c r="AE802">
        <v>1</v>
      </c>
      <c r="AF802">
        <v>8</v>
      </c>
      <c r="AG802">
        <v>1</v>
      </c>
      <c r="AH802">
        <v>0</v>
      </c>
      <c r="AI802" s="5">
        <v>0.23200000000000001</v>
      </c>
      <c r="AJ802" s="5">
        <v>0.29699999999999999</v>
      </c>
      <c r="AK802" s="5">
        <v>0.41699999999999998</v>
      </c>
      <c r="AL802" s="5">
        <v>0.23599999999999999</v>
      </c>
      <c r="AM802" s="5">
        <v>0.27700000000000002</v>
      </c>
      <c r="AN802">
        <v>-0.4</v>
      </c>
      <c r="AO802">
        <v>-0.22</v>
      </c>
      <c r="AP802">
        <v>7</v>
      </c>
      <c r="AQ802">
        <v>-6.23</v>
      </c>
      <c r="AR802">
        <v>-1.6</v>
      </c>
      <c r="AS802" t="s">
        <v>4329</v>
      </c>
      <c r="AT802">
        <v>-0.2</v>
      </c>
      <c r="AU802">
        <v>0.2</v>
      </c>
      <c r="AV802">
        <v>6</v>
      </c>
      <c r="AW802">
        <v>11</v>
      </c>
      <c r="AX802">
        <v>8</v>
      </c>
      <c r="AY802">
        <v>19</v>
      </c>
      <c r="AZ802" t="s">
        <v>4541</v>
      </c>
      <c r="BA802">
        <v>26</v>
      </c>
      <c r="BB802" t="s">
        <v>36</v>
      </c>
      <c r="BC802" t="s">
        <v>35</v>
      </c>
      <c r="BD802" s="4">
        <f>HYPERLINK("http://mlb.mlb.com/team/player.jsp?player_id=592637",592637)</f>
        <v>592637</v>
      </c>
      <c r="BE802">
        <v>1747</v>
      </c>
      <c r="BF802">
        <v>747</v>
      </c>
      <c r="BG802">
        <v>0</v>
      </c>
      <c r="BH802">
        <v>0</v>
      </c>
    </row>
    <row r="803" spans="1:60" x14ac:dyDescent="0.3">
      <c r="A803" s="4">
        <f>HYPERLINK("http://legacy.baseballprospectus.com/p/69440",69440)</f>
        <v>69440</v>
      </c>
      <c r="B803" t="s">
        <v>4542</v>
      </c>
      <c r="C803" t="s">
        <v>4543</v>
      </c>
      <c r="D803" s="10">
        <v>34393</v>
      </c>
      <c r="E803" t="s">
        <v>65</v>
      </c>
      <c r="F803" t="s">
        <v>33</v>
      </c>
      <c r="G803" t="s">
        <v>33</v>
      </c>
      <c r="H803">
        <v>74</v>
      </c>
      <c r="I803">
        <v>190</v>
      </c>
      <c r="J803">
        <v>2018</v>
      </c>
      <c r="K803" s="4" t="str">
        <f>HYPERLINK("http://legacy.baseballprospectus.com/fantasy/dc/index.php?tm=COL","COL")</f>
        <v>COL</v>
      </c>
      <c r="L803" t="s">
        <v>100</v>
      </c>
      <c r="M803" t="s">
        <v>34</v>
      </c>
      <c r="N803">
        <v>24</v>
      </c>
      <c r="O803">
        <v>250</v>
      </c>
      <c r="P803" t="s">
        <v>1680</v>
      </c>
      <c r="Q803">
        <v>234</v>
      </c>
      <c r="R803">
        <v>23</v>
      </c>
      <c r="S803">
        <v>42</v>
      </c>
      <c r="T803">
        <v>12</v>
      </c>
      <c r="U803">
        <v>2</v>
      </c>
      <c r="V803">
        <v>4</v>
      </c>
      <c r="W803">
        <v>60</v>
      </c>
      <c r="X803">
        <v>88</v>
      </c>
      <c r="Y803">
        <v>25</v>
      </c>
      <c r="Z803">
        <v>9</v>
      </c>
      <c r="AA803">
        <v>1</v>
      </c>
      <c r="AB803">
        <v>2</v>
      </c>
      <c r="AC803">
        <v>54</v>
      </c>
      <c r="AD803">
        <v>3</v>
      </c>
      <c r="AE803">
        <v>1</v>
      </c>
      <c r="AF803">
        <v>6</v>
      </c>
      <c r="AG803">
        <v>4</v>
      </c>
      <c r="AH803">
        <v>2</v>
      </c>
      <c r="AI803" s="5">
        <v>0.25900000000000001</v>
      </c>
      <c r="AJ803" s="5">
        <v>0.29099999999999998</v>
      </c>
      <c r="AK803" s="5">
        <v>0.378</v>
      </c>
      <c r="AL803" s="5">
        <v>0.21199999999999999</v>
      </c>
      <c r="AM803" s="5">
        <v>0.314</v>
      </c>
      <c r="AN803">
        <v>0</v>
      </c>
      <c r="AO803">
        <v>1.76</v>
      </c>
      <c r="AP803">
        <v>7</v>
      </c>
      <c r="AQ803">
        <v>-12.64</v>
      </c>
      <c r="AR803">
        <v>2.2000000000000002</v>
      </c>
      <c r="AS803" t="s">
        <v>1850</v>
      </c>
      <c r="AT803">
        <v>-0.2</v>
      </c>
      <c r="AU803">
        <v>-3.9</v>
      </c>
      <c r="AV803">
        <v>2</v>
      </c>
      <c r="AW803">
        <v>5</v>
      </c>
      <c r="AX803">
        <v>5</v>
      </c>
      <c r="AY803">
        <v>7</v>
      </c>
      <c r="AZ803" t="s">
        <v>4544</v>
      </c>
      <c r="BA803">
        <v>10</v>
      </c>
      <c r="BB803" t="s">
        <v>36</v>
      </c>
      <c r="BC803" t="s">
        <v>35</v>
      </c>
      <c r="BD803" s="4">
        <f>HYPERLINK("http://mlb.mlb.com/team/player.jsp?player_id=602074",602074)</f>
        <v>602074</v>
      </c>
      <c r="BE803">
        <v>0</v>
      </c>
      <c r="BF803">
        <v>0</v>
      </c>
      <c r="BG803">
        <v>0</v>
      </c>
      <c r="BH803">
        <v>0</v>
      </c>
    </row>
    <row r="804" spans="1:60" x14ac:dyDescent="0.3">
      <c r="A804" s="4">
        <f>HYPERLINK("http://legacy.baseballprospectus.com/p/70926",70926)</f>
        <v>70926</v>
      </c>
      <c r="B804" t="s">
        <v>359</v>
      </c>
      <c r="C804" t="s">
        <v>589</v>
      </c>
      <c r="D804" s="10">
        <v>33981</v>
      </c>
      <c r="E804" t="s">
        <v>54</v>
      </c>
      <c r="F804" t="s">
        <v>33</v>
      </c>
      <c r="G804" t="s">
        <v>33</v>
      </c>
      <c r="H804">
        <v>74</v>
      </c>
      <c r="I804">
        <v>220</v>
      </c>
      <c r="J804">
        <v>2018</v>
      </c>
      <c r="K804" s="4" t="str">
        <f>HYPERLINK("http://legacy.baseballprospectus.com/fantasy/dc/index.php?tm=SFN","SFN")</f>
        <v>SFN</v>
      </c>
      <c r="L804" t="s">
        <v>100</v>
      </c>
      <c r="M804" t="s">
        <v>34</v>
      </c>
      <c r="N804">
        <v>25</v>
      </c>
      <c r="O804">
        <v>250</v>
      </c>
      <c r="P804" t="s">
        <v>1680</v>
      </c>
      <c r="Q804">
        <v>229</v>
      </c>
      <c r="R804">
        <v>25</v>
      </c>
      <c r="S804">
        <v>32</v>
      </c>
      <c r="T804">
        <v>11</v>
      </c>
      <c r="U804">
        <v>1</v>
      </c>
      <c r="V804">
        <v>8</v>
      </c>
      <c r="W804">
        <v>52</v>
      </c>
      <c r="X804">
        <v>89</v>
      </c>
      <c r="Y804">
        <v>30</v>
      </c>
      <c r="Z804">
        <v>17</v>
      </c>
      <c r="AA804">
        <v>1</v>
      </c>
      <c r="AB804">
        <v>2</v>
      </c>
      <c r="AC804">
        <v>70</v>
      </c>
      <c r="AD804">
        <v>1</v>
      </c>
      <c r="AE804">
        <v>2</v>
      </c>
      <c r="AF804">
        <v>7</v>
      </c>
      <c r="AG804">
        <v>0</v>
      </c>
      <c r="AH804">
        <v>0</v>
      </c>
      <c r="AI804" s="5">
        <v>0.22500000000000001</v>
      </c>
      <c r="AJ804" s="5">
        <v>0.28199999999999997</v>
      </c>
      <c r="AK804" s="5">
        <v>0.38600000000000001</v>
      </c>
      <c r="AL804" s="5">
        <v>0.23100000000000001</v>
      </c>
      <c r="AM804" s="5">
        <v>0.28499999999999998</v>
      </c>
      <c r="AN804">
        <v>-0.4</v>
      </c>
      <c r="AO804">
        <v>3.7</v>
      </c>
      <c r="AP804">
        <v>7</v>
      </c>
      <c r="AQ804">
        <v>-7.69</v>
      </c>
      <c r="AR804">
        <v>-4.5999999999999996</v>
      </c>
      <c r="AS804" t="s">
        <v>1734</v>
      </c>
      <c r="AT804">
        <v>-0.2</v>
      </c>
      <c r="AU804">
        <v>2.6</v>
      </c>
      <c r="AV804">
        <v>3</v>
      </c>
      <c r="AW804">
        <v>10</v>
      </c>
      <c r="AX804">
        <v>11</v>
      </c>
      <c r="AY804">
        <v>17</v>
      </c>
      <c r="AZ804" t="s">
        <v>4545</v>
      </c>
      <c r="BA804">
        <v>28</v>
      </c>
      <c r="BB804" t="s">
        <v>36</v>
      </c>
      <c r="BC804" t="s">
        <v>35</v>
      </c>
      <c r="BD804" s="4">
        <f>HYPERLINK("http://mlb.mlb.com/team/player.jsp?player_id=605244",605244)</f>
        <v>605244</v>
      </c>
      <c r="BE804">
        <v>1418</v>
      </c>
      <c r="BF804">
        <v>418</v>
      </c>
      <c r="BG804">
        <v>0</v>
      </c>
      <c r="BH804">
        <v>0</v>
      </c>
    </row>
    <row r="805" spans="1:60" x14ac:dyDescent="0.3">
      <c r="A805" s="4">
        <f>HYPERLINK("http://legacy.baseballprospectus.com/p/99851",99851)</f>
        <v>99851</v>
      </c>
      <c r="B805" t="s">
        <v>1069</v>
      </c>
      <c r="C805" t="s">
        <v>4465</v>
      </c>
      <c r="D805" s="10">
        <v>33237</v>
      </c>
      <c r="E805" t="s">
        <v>59</v>
      </c>
      <c r="F805" t="s">
        <v>33</v>
      </c>
      <c r="G805" t="s">
        <v>33</v>
      </c>
      <c r="H805">
        <v>73</v>
      </c>
      <c r="I805">
        <v>219</v>
      </c>
      <c r="J805">
        <v>2018</v>
      </c>
      <c r="K805" s="4" t="str">
        <f>HYPERLINK("http://legacy.baseballprospectus.com/fantasy/dc/index.php?tm=NYN","NYN")</f>
        <v>NYN</v>
      </c>
      <c r="L805" t="s">
        <v>100</v>
      </c>
      <c r="M805" t="s">
        <v>34</v>
      </c>
      <c r="N805">
        <v>27</v>
      </c>
      <c r="O805">
        <v>250</v>
      </c>
      <c r="P805" t="s">
        <v>1680</v>
      </c>
      <c r="Q805">
        <v>225</v>
      </c>
      <c r="R805">
        <v>26</v>
      </c>
      <c r="S805">
        <v>35</v>
      </c>
      <c r="T805">
        <v>12</v>
      </c>
      <c r="U805">
        <v>0</v>
      </c>
      <c r="V805">
        <v>7</v>
      </c>
      <c r="W805">
        <v>54</v>
      </c>
      <c r="X805">
        <v>87</v>
      </c>
      <c r="Y805">
        <v>29</v>
      </c>
      <c r="Z805">
        <v>22</v>
      </c>
      <c r="AA805">
        <v>1</v>
      </c>
      <c r="AB805">
        <v>2</v>
      </c>
      <c r="AC805">
        <v>53</v>
      </c>
      <c r="AD805">
        <v>0</v>
      </c>
      <c r="AE805">
        <v>1</v>
      </c>
      <c r="AF805">
        <v>7</v>
      </c>
      <c r="AG805">
        <v>1</v>
      </c>
      <c r="AH805">
        <v>0</v>
      </c>
      <c r="AI805" s="5">
        <v>0.24199999999999999</v>
      </c>
      <c r="AJ805" s="5">
        <v>0.312</v>
      </c>
      <c r="AK805" s="5">
        <v>0.38700000000000001</v>
      </c>
      <c r="AL805" s="5">
        <v>0.23899999999999999</v>
      </c>
      <c r="AM805" s="5">
        <v>0.28699999999999998</v>
      </c>
      <c r="AN805">
        <v>-0.5</v>
      </c>
      <c r="AO805">
        <v>0.87</v>
      </c>
      <c r="AP805">
        <v>7</v>
      </c>
      <c r="AQ805">
        <v>-5.58</v>
      </c>
      <c r="AR805">
        <v>-3.2</v>
      </c>
      <c r="AS805" t="s">
        <v>1544</v>
      </c>
      <c r="AT805">
        <v>-0.2</v>
      </c>
      <c r="AU805">
        <v>1.8</v>
      </c>
      <c r="AV805">
        <v>1</v>
      </c>
      <c r="AW805">
        <v>10</v>
      </c>
      <c r="AX805">
        <v>4</v>
      </c>
      <c r="AY805">
        <v>18</v>
      </c>
      <c r="AZ805" t="s">
        <v>4466</v>
      </c>
      <c r="BA805">
        <v>21</v>
      </c>
      <c r="BB805" t="s">
        <v>36</v>
      </c>
      <c r="BC805" t="s">
        <v>35</v>
      </c>
      <c r="BD805" s="4">
        <f>HYPERLINK("http://mlb.mlb.com/team/player.jsp?player_id=581532",581532)</f>
        <v>581532</v>
      </c>
      <c r="BE805">
        <v>0</v>
      </c>
      <c r="BF805">
        <v>0</v>
      </c>
      <c r="BG805">
        <v>0</v>
      </c>
      <c r="BH805">
        <v>0</v>
      </c>
    </row>
    <row r="806" spans="1:60" x14ac:dyDescent="0.3">
      <c r="A806" s="4">
        <f>HYPERLINK("http://legacy.baseballprospectus.com/p/100266",100266)</f>
        <v>100266</v>
      </c>
      <c r="B806" t="s">
        <v>1273</v>
      </c>
      <c r="C806" t="s">
        <v>210</v>
      </c>
      <c r="D806" s="10">
        <v>34663</v>
      </c>
      <c r="E806" t="s">
        <v>51</v>
      </c>
      <c r="F806" t="s">
        <v>9</v>
      </c>
      <c r="G806" t="s">
        <v>33</v>
      </c>
      <c r="H806">
        <v>75</v>
      </c>
      <c r="I806">
        <v>215</v>
      </c>
      <c r="J806">
        <v>2018</v>
      </c>
      <c r="K806" s="4" t="str">
        <f>HYPERLINK("http://legacy.baseballprospectus.com/fantasy/dc/index.php?tm=WAS","WAS")</f>
        <v>WAS</v>
      </c>
      <c r="L806" t="s">
        <v>100</v>
      </c>
      <c r="M806" t="s">
        <v>34</v>
      </c>
      <c r="N806">
        <v>23</v>
      </c>
      <c r="O806">
        <v>250</v>
      </c>
      <c r="P806" t="s">
        <v>1680</v>
      </c>
      <c r="Q806">
        <v>221</v>
      </c>
      <c r="R806">
        <v>26</v>
      </c>
      <c r="S806">
        <v>31</v>
      </c>
      <c r="T806">
        <v>10</v>
      </c>
      <c r="U806">
        <v>0</v>
      </c>
      <c r="V806">
        <v>8</v>
      </c>
      <c r="W806">
        <v>49</v>
      </c>
      <c r="X806">
        <v>83</v>
      </c>
      <c r="Y806">
        <v>29</v>
      </c>
      <c r="Z806">
        <v>24</v>
      </c>
      <c r="AA806">
        <v>1</v>
      </c>
      <c r="AB806">
        <v>2</v>
      </c>
      <c r="AC806">
        <v>81</v>
      </c>
      <c r="AD806">
        <v>1</v>
      </c>
      <c r="AE806">
        <v>2</v>
      </c>
      <c r="AF806">
        <v>6</v>
      </c>
      <c r="AG806">
        <v>0</v>
      </c>
      <c r="AH806">
        <v>0</v>
      </c>
      <c r="AI806" s="5">
        <v>0.22</v>
      </c>
      <c r="AJ806" s="5">
        <v>0.30199999999999999</v>
      </c>
      <c r="AK806" s="5">
        <v>0.36899999999999999</v>
      </c>
      <c r="AL806" s="5">
        <v>0.22700000000000001</v>
      </c>
      <c r="AM806" s="5">
        <v>0.30499999999999999</v>
      </c>
      <c r="AN806">
        <v>-0.6</v>
      </c>
      <c r="AO806">
        <v>1.51</v>
      </c>
      <c r="AP806">
        <v>7</v>
      </c>
      <c r="AQ806">
        <v>-8.7899999999999991</v>
      </c>
      <c r="AR806">
        <v>-0.7</v>
      </c>
      <c r="AS806" t="s">
        <v>1691</v>
      </c>
      <c r="AT806">
        <v>-0.2</v>
      </c>
      <c r="AU806">
        <v>-0.9</v>
      </c>
      <c r="AV806">
        <v>1</v>
      </c>
      <c r="AW806">
        <v>9</v>
      </c>
      <c r="AX806">
        <v>2</v>
      </c>
      <c r="AY806">
        <v>7</v>
      </c>
      <c r="AZ806" t="s">
        <v>4546</v>
      </c>
      <c r="BA806">
        <v>16</v>
      </c>
      <c r="BB806" t="s">
        <v>36</v>
      </c>
      <c r="BC806" t="s">
        <v>35</v>
      </c>
      <c r="BD806" s="4">
        <f>HYPERLINK("http://mlb.mlb.com/team/player.jsp?player_id=608380",608380)</f>
        <v>608380</v>
      </c>
      <c r="BE806">
        <v>0</v>
      </c>
      <c r="BF806">
        <v>0</v>
      </c>
      <c r="BG806">
        <v>0</v>
      </c>
      <c r="BH806">
        <v>0</v>
      </c>
    </row>
    <row r="807" spans="1:60" x14ac:dyDescent="0.3">
      <c r="A807" s="4">
        <f>HYPERLINK("http://legacy.baseballprospectus.com/p/103215",103215)</f>
        <v>103215</v>
      </c>
      <c r="B807" t="s">
        <v>398</v>
      </c>
      <c r="C807" t="s">
        <v>773</v>
      </c>
      <c r="D807" s="10">
        <v>34574</v>
      </c>
      <c r="E807" t="s">
        <v>51</v>
      </c>
      <c r="F807" t="s">
        <v>33</v>
      </c>
      <c r="G807" t="s">
        <v>33</v>
      </c>
      <c r="H807">
        <v>75</v>
      </c>
      <c r="I807">
        <v>185</v>
      </c>
      <c r="J807">
        <v>2018</v>
      </c>
      <c r="K807" s="4" t="str">
        <f>HYPERLINK("http://legacy.baseballprospectus.com/fantasy/dc/index.php?tm=WAS","WAS")</f>
        <v>WAS</v>
      </c>
      <c r="L807" t="s">
        <v>100</v>
      </c>
      <c r="M807" t="s">
        <v>34</v>
      </c>
      <c r="N807">
        <v>23</v>
      </c>
      <c r="O807">
        <v>250</v>
      </c>
      <c r="P807" t="s">
        <v>1680</v>
      </c>
      <c r="Q807">
        <v>231</v>
      </c>
      <c r="R807">
        <v>24</v>
      </c>
      <c r="S807">
        <v>39</v>
      </c>
      <c r="T807">
        <v>10</v>
      </c>
      <c r="U807">
        <v>2</v>
      </c>
      <c r="V807">
        <v>5</v>
      </c>
      <c r="W807">
        <v>56</v>
      </c>
      <c r="X807">
        <v>85</v>
      </c>
      <c r="Y807">
        <v>26</v>
      </c>
      <c r="Z807">
        <v>14</v>
      </c>
      <c r="AA807">
        <v>1</v>
      </c>
      <c r="AB807">
        <v>2</v>
      </c>
      <c r="AC807">
        <v>66</v>
      </c>
      <c r="AD807">
        <v>1</v>
      </c>
      <c r="AE807">
        <v>1</v>
      </c>
      <c r="AF807">
        <v>7</v>
      </c>
      <c r="AG807">
        <v>3</v>
      </c>
      <c r="AH807">
        <v>1</v>
      </c>
      <c r="AI807" s="5">
        <v>0.24199999999999999</v>
      </c>
      <c r="AJ807" s="5">
        <v>0.28899999999999998</v>
      </c>
      <c r="AK807" s="5">
        <v>0.36799999999999999</v>
      </c>
      <c r="AL807" s="5">
        <v>0.219</v>
      </c>
      <c r="AM807" s="5">
        <v>0.311</v>
      </c>
      <c r="AN807">
        <v>0</v>
      </c>
      <c r="AO807">
        <v>1.4</v>
      </c>
      <c r="AP807">
        <v>7</v>
      </c>
      <c r="AQ807">
        <v>-10.85</v>
      </c>
      <c r="AR807">
        <v>0.9</v>
      </c>
      <c r="AS807" t="s">
        <v>1348</v>
      </c>
      <c r="AT807">
        <v>-0.2</v>
      </c>
      <c r="AU807">
        <v>-2.4</v>
      </c>
      <c r="AV807">
        <v>3</v>
      </c>
      <c r="AW807">
        <v>7</v>
      </c>
      <c r="AX807">
        <v>4</v>
      </c>
      <c r="AY807">
        <v>10</v>
      </c>
      <c r="AZ807" t="s">
        <v>4547</v>
      </c>
      <c r="BA807">
        <v>17</v>
      </c>
      <c r="BB807" t="s">
        <v>36</v>
      </c>
      <c r="BC807" t="s">
        <v>35</v>
      </c>
      <c r="BD807" s="4">
        <f>HYPERLINK("http://mlb.mlb.com/team/player.jsp?player_id=642721",642721)</f>
        <v>642721</v>
      </c>
      <c r="BE807">
        <v>0</v>
      </c>
      <c r="BF807">
        <v>0</v>
      </c>
      <c r="BG807">
        <v>0</v>
      </c>
      <c r="BH807">
        <v>0</v>
      </c>
    </row>
    <row r="808" spans="1:60" x14ac:dyDescent="0.3">
      <c r="A808" s="4">
        <f>HYPERLINK("http://legacy.baseballprospectus.com/p/103744",103744)</f>
        <v>103744</v>
      </c>
      <c r="B808" t="s">
        <v>171</v>
      </c>
      <c r="C808" t="s">
        <v>477</v>
      </c>
      <c r="D808" s="10">
        <v>35292</v>
      </c>
      <c r="E808" t="s">
        <v>65</v>
      </c>
      <c r="F808" t="s">
        <v>33</v>
      </c>
      <c r="G808" t="s">
        <v>33</v>
      </c>
      <c r="H808">
        <v>75</v>
      </c>
      <c r="I808">
        <v>175</v>
      </c>
      <c r="J808">
        <v>2018</v>
      </c>
      <c r="K808" s="4" t="str">
        <f>HYPERLINK("http://legacy.baseballprospectus.com/fantasy/dc/index.php?tm=ARI","ARI")</f>
        <v>ARI</v>
      </c>
      <c r="L808" t="s">
        <v>100</v>
      </c>
      <c r="M808" t="s">
        <v>34</v>
      </c>
      <c r="N808">
        <v>21</v>
      </c>
      <c r="O808">
        <v>250</v>
      </c>
      <c r="P808" t="s">
        <v>1680</v>
      </c>
      <c r="Q808">
        <v>221</v>
      </c>
      <c r="R808">
        <v>25</v>
      </c>
      <c r="S808">
        <v>31</v>
      </c>
      <c r="T808">
        <v>11</v>
      </c>
      <c r="U808">
        <v>1</v>
      </c>
      <c r="V808">
        <v>5</v>
      </c>
      <c r="W808">
        <v>48</v>
      </c>
      <c r="X808">
        <v>76</v>
      </c>
      <c r="Y808">
        <v>25</v>
      </c>
      <c r="Z808">
        <v>26</v>
      </c>
      <c r="AA808">
        <v>1</v>
      </c>
      <c r="AB808">
        <v>1</v>
      </c>
      <c r="AC808">
        <v>77</v>
      </c>
      <c r="AD808">
        <v>1</v>
      </c>
      <c r="AE808">
        <v>1</v>
      </c>
      <c r="AF808">
        <v>6</v>
      </c>
      <c r="AG808">
        <v>4</v>
      </c>
      <c r="AH808">
        <v>2</v>
      </c>
      <c r="AI808" s="5">
        <v>0.217</v>
      </c>
      <c r="AJ808" s="5">
        <v>0.30099999999999999</v>
      </c>
      <c r="AK808" s="5">
        <v>0.34899999999999998</v>
      </c>
      <c r="AL808" s="5">
        <v>0.224</v>
      </c>
      <c r="AM808" s="5">
        <v>0.30199999999999999</v>
      </c>
      <c r="AN808">
        <v>0</v>
      </c>
      <c r="AO808">
        <v>2.5</v>
      </c>
      <c r="AP808">
        <v>7</v>
      </c>
      <c r="AQ808">
        <v>-9.36</v>
      </c>
      <c r="AR808">
        <v>-2</v>
      </c>
      <c r="AS808" t="s">
        <v>4288</v>
      </c>
      <c r="AT808">
        <v>-0.2</v>
      </c>
      <c r="AU808">
        <v>0.1</v>
      </c>
      <c r="AV808">
        <v>2</v>
      </c>
      <c r="AW808">
        <v>7</v>
      </c>
      <c r="AX808">
        <v>1</v>
      </c>
      <c r="AY808">
        <v>4</v>
      </c>
      <c r="AZ808" t="s">
        <v>4549</v>
      </c>
      <c r="BA808">
        <v>9</v>
      </c>
      <c r="BB808" t="s">
        <v>36</v>
      </c>
      <c r="BC808" t="s">
        <v>35</v>
      </c>
      <c r="BD808" s="4">
        <f>HYPERLINK("http://mlb.mlb.com/team/player.jsp?player_id=657129",657129)</f>
        <v>657129</v>
      </c>
      <c r="BE808">
        <v>1691</v>
      </c>
      <c r="BF808">
        <v>691</v>
      </c>
      <c r="BG808">
        <v>0</v>
      </c>
      <c r="BH808">
        <v>0</v>
      </c>
    </row>
    <row r="809" spans="1:60" x14ac:dyDescent="0.3">
      <c r="A809" s="4">
        <f>HYPERLINK("http://legacy.baseballprospectus.com/p/104794",104794)</f>
        <v>104794</v>
      </c>
      <c r="B809" t="s">
        <v>412</v>
      </c>
      <c r="C809" t="s">
        <v>1447</v>
      </c>
      <c r="D809" s="10">
        <v>34921</v>
      </c>
      <c r="E809" t="s">
        <v>65</v>
      </c>
      <c r="F809" t="s">
        <v>33</v>
      </c>
      <c r="G809" t="s">
        <v>33</v>
      </c>
      <c r="H809">
        <v>75</v>
      </c>
      <c r="I809">
        <v>220</v>
      </c>
      <c r="J809">
        <v>2018</v>
      </c>
      <c r="K809" s="4" t="str">
        <f>HYPERLINK("http://legacy.baseballprospectus.com/fantasy/dc/index.php?tm=MIA","MIA")</f>
        <v>MIA</v>
      </c>
      <c r="L809" t="s">
        <v>100</v>
      </c>
      <c r="M809" t="s">
        <v>34</v>
      </c>
      <c r="N809">
        <v>22</v>
      </c>
      <c r="O809">
        <v>250</v>
      </c>
      <c r="P809" t="s">
        <v>1680</v>
      </c>
      <c r="Q809">
        <v>226</v>
      </c>
      <c r="R809">
        <v>27</v>
      </c>
      <c r="S809">
        <v>27</v>
      </c>
      <c r="T809">
        <v>9</v>
      </c>
      <c r="U809">
        <v>1</v>
      </c>
      <c r="V809">
        <v>9</v>
      </c>
      <c r="W809">
        <v>46</v>
      </c>
      <c r="X809">
        <v>84</v>
      </c>
      <c r="Y809">
        <v>29</v>
      </c>
      <c r="Z809">
        <v>16</v>
      </c>
      <c r="AA809">
        <v>1</v>
      </c>
      <c r="AB809">
        <v>5</v>
      </c>
      <c r="AC809">
        <v>92</v>
      </c>
      <c r="AD809">
        <v>1</v>
      </c>
      <c r="AE809">
        <v>1</v>
      </c>
      <c r="AF809">
        <v>6</v>
      </c>
      <c r="AG809">
        <v>5</v>
      </c>
      <c r="AH809">
        <v>1</v>
      </c>
      <c r="AI809" s="5">
        <v>0.20100000000000001</v>
      </c>
      <c r="AJ809" s="5">
        <v>0.26800000000000002</v>
      </c>
      <c r="AK809" s="5">
        <v>0.36099999999999999</v>
      </c>
      <c r="AL809" s="5">
        <v>0.214</v>
      </c>
      <c r="AM809" s="5">
        <v>0.28799999999999998</v>
      </c>
      <c r="AN809">
        <v>0.4</v>
      </c>
      <c r="AO809">
        <v>2.33</v>
      </c>
      <c r="AP809">
        <v>7</v>
      </c>
      <c r="AQ809">
        <v>-12.13</v>
      </c>
      <c r="AR809">
        <v>0.7</v>
      </c>
      <c r="AS809" t="s">
        <v>1764</v>
      </c>
      <c r="AT809">
        <v>-0.2</v>
      </c>
      <c r="AU809">
        <v>-2.4</v>
      </c>
      <c r="AV809">
        <v>3</v>
      </c>
      <c r="AW809">
        <v>8</v>
      </c>
      <c r="AX809">
        <v>3</v>
      </c>
      <c r="AY809">
        <v>8</v>
      </c>
      <c r="AZ809" t="s">
        <v>4550</v>
      </c>
      <c r="BA809">
        <v>17</v>
      </c>
      <c r="BB809" t="s">
        <v>36</v>
      </c>
      <c r="BC809" t="s">
        <v>35</v>
      </c>
      <c r="BD809" s="4">
        <f>HYPERLINK("http://mlb.mlb.com/team/player.jsp?player_id=656509",656509)</f>
        <v>656509</v>
      </c>
      <c r="BE809">
        <v>1653</v>
      </c>
      <c r="BF809">
        <v>653</v>
      </c>
      <c r="BG809">
        <v>0</v>
      </c>
      <c r="BH809">
        <v>0</v>
      </c>
    </row>
    <row r="810" spans="1:60" x14ac:dyDescent="0.3">
      <c r="A810" s="4">
        <f>HYPERLINK("http://legacy.baseballprospectus.com/p/106151",106151)</f>
        <v>106151</v>
      </c>
      <c r="B810" t="s">
        <v>420</v>
      </c>
      <c r="C810" t="s">
        <v>4480</v>
      </c>
      <c r="D810" s="10">
        <v>35745</v>
      </c>
      <c r="E810" t="s">
        <v>54</v>
      </c>
      <c r="F810" t="s">
        <v>33</v>
      </c>
      <c r="G810" t="s">
        <v>33</v>
      </c>
      <c r="H810">
        <v>73</v>
      </c>
      <c r="I810">
        <v>185</v>
      </c>
      <c r="J810">
        <v>2018</v>
      </c>
      <c r="K810" s="4" t="str">
        <f>HYPERLINK("http://legacy.baseballprospectus.com/fantasy/dc/index.php?tm=TBA","TBA")</f>
        <v>TBA</v>
      </c>
      <c r="L810" t="s">
        <v>95</v>
      </c>
      <c r="M810" t="s">
        <v>34</v>
      </c>
      <c r="N810">
        <v>20</v>
      </c>
      <c r="O810">
        <v>250</v>
      </c>
      <c r="P810" t="s">
        <v>1680</v>
      </c>
      <c r="Q810">
        <v>235</v>
      </c>
      <c r="R810">
        <v>22</v>
      </c>
      <c r="S810">
        <v>34</v>
      </c>
      <c r="T810">
        <v>10</v>
      </c>
      <c r="U810">
        <v>0</v>
      </c>
      <c r="V810">
        <v>7</v>
      </c>
      <c r="W810">
        <v>51</v>
      </c>
      <c r="X810">
        <v>82</v>
      </c>
      <c r="Y810">
        <v>27</v>
      </c>
      <c r="Z810">
        <v>11</v>
      </c>
      <c r="AA810">
        <v>1</v>
      </c>
      <c r="AB810">
        <v>1</v>
      </c>
      <c r="AC810">
        <v>71</v>
      </c>
      <c r="AD810">
        <v>1</v>
      </c>
      <c r="AE810">
        <v>1</v>
      </c>
      <c r="AF810">
        <v>7</v>
      </c>
      <c r="AG810">
        <v>0</v>
      </c>
      <c r="AH810">
        <v>0</v>
      </c>
      <c r="AI810" s="5">
        <v>0.216</v>
      </c>
      <c r="AJ810" s="5">
        <v>0.25600000000000001</v>
      </c>
      <c r="AK810" s="5">
        <v>0.34699999999999998</v>
      </c>
      <c r="AL810" s="5">
        <v>0.20899999999999999</v>
      </c>
      <c r="AM810" s="5">
        <v>0.27600000000000002</v>
      </c>
      <c r="AN810">
        <v>-0.5</v>
      </c>
      <c r="AO810">
        <v>5.0999999999999996</v>
      </c>
      <c r="AP810">
        <v>7</v>
      </c>
      <c r="AQ810">
        <v>-13.33</v>
      </c>
      <c r="AR810">
        <v>0</v>
      </c>
      <c r="AS810" t="s">
        <v>71</v>
      </c>
      <c r="AT810">
        <v>-0.2</v>
      </c>
      <c r="AU810">
        <v>-1.7</v>
      </c>
      <c r="AV810">
        <v>2</v>
      </c>
      <c r="AW810">
        <v>7</v>
      </c>
      <c r="AX810">
        <v>0</v>
      </c>
      <c r="AY810">
        <v>3</v>
      </c>
      <c r="AZ810" t="s">
        <v>4481</v>
      </c>
      <c r="BA810">
        <v>9</v>
      </c>
      <c r="BB810" t="s">
        <v>36</v>
      </c>
      <c r="BC810" t="s">
        <v>35</v>
      </c>
      <c r="BD810" s="4">
        <f>HYPERLINK("http://mlb.mlb.com/team/player.jsp?player_id=660613",660613)</f>
        <v>660613</v>
      </c>
      <c r="BE810">
        <v>0</v>
      </c>
      <c r="BF810">
        <v>0</v>
      </c>
      <c r="BG810">
        <v>0</v>
      </c>
      <c r="BH810">
        <v>0</v>
      </c>
    </row>
    <row r="811" spans="1:60" x14ac:dyDescent="0.3">
      <c r="A811" s="4">
        <f>HYPERLINK("http://legacy.baseballprospectus.com/p/106165",106165)</f>
        <v>106165</v>
      </c>
      <c r="B811" t="s">
        <v>4551</v>
      </c>
      <c r="C811" t="s">
        <v>353</v>
      </c>
      <c r="D811" s="10">
        <v>34386</v>
      </c>
      <c r="E811" t="s">
        <v>57</v>
      </c>
      <c r="F811" t="s">
        <v>9</v>
      </c>
      <c r="G811" t="s">
        <v>9</v>
      </c>
      <c r="H811">
        <v>77</v>
      </c>
      <c r="I811">
        <v>225</v>
      </c>
      <c r="J811">
        <v>2018</v>
      </c>
      <c r="K811" s="4" t="str">
        <f>HYPERLINK("http://legacy.baseballprospectus.com/fantasy/dc/index.php?tm=COL","COL")</f>
        <v>COL</v>
      </c>
      <c r="L811" t="s">
        <v>100</v>
      </c>
      <c r="M811" t="s">
        <v>34</v>
      </c>
      <c r="N811">
        <v>24</v>
      </c>
      <c r="O811">
        <v>250</v>
      </c>
      <c r="P811" t="s">
        <v>1680</v>
      </c>
      <c r="Q811">
        <v>225</v>
      </c>
      <c r="R811">
        <v>31</v>
      </c>
      <c r="S811">
        <v>32</v>
      </c>
      <c r="T811">
        <v>9</v>
      </c>
      <c r="U811">
        <v>2</v>
      </c>
      <c r="V811">
        <v>9</v>
      </c>
      <c r="W811">
        <v>52</v>
      </c>
      <c r="X811">
        <v>92</v>
      </c>
      <c r="Y811">
        <v>29</v>
      </c>
      <c r="Z811">
        <v>21</v>
      </c>
      <c r="AA811">
        <v>2</v>
      </c>
      <c r="AB811">
        <v>1</v>
      </c>
      <c r="AC811">
        <v>81</v>
      </c>
      <c r="AD811">
        <v>2</v>
      </c>
      <c r="AE811">
        <v>1</v>
      </c>
      <c r="AF811">
        <v>5</v>
      </c>
      <c r="AG811">
        <v>9</v>
      </c>
      <c r="AH811">
        <v>4</v>
      </c>
      <c r="AI811" s="5">
        <v>0.22800000000000001</v>
      </c>
      <c r="AJ811" s="5">
        <v>0.29399999999999998</v>
      </c>
      <c r="AK811" s="5">
        <v>0.39600000000000002</v>
      </c>
      <c r="AL811" s="5">
        <v>0.223</v>
      </c>
      <c r="AM811" s="5">
        <v>0.309</v>
      </c>
      <c r="AN811">
        <v>0.4</v>
      </c>
      <c r="AO811">
        <v>0.22</v>
      </c>
      <c r="AP811">
        <v>7</v>
      </c>
      <c r="AQ811">
        <v>-9.76</v>
      </c>
      <c r="AR811">
        <v>0.7</v>
      </c>
      <c r="AS811" t="s">
        <v>2208</v>
      </c>
      <c r="AT811">
        <v>-0.2</v>
      </c>
      <c r="AU811">
        <v>-2.1</v>
      </c>
      <c r="AV811">
        <v>5</v>
      </c>
      <c r="AW811">
        <v>9</v>
      </c>
      <c r="AX811">
        <v>0</v>
      </c>
      <c r="AY811">
        <v>9</v>
      </c>
      <c r="AZ811" t="s">
        <v>4552</v>
      </c>
      <c r="BA811">
        <v>11</v>
      </c>
      <c r="BB811" t="s">
        <v>36</v>
      </c>
      <c r="BC811" t="s">
        <v>35</v>
      </c>
      <c r="BD811" s="4">
        <f>HYPERLINK("http://mlb.mlb.com/team/player.jsp?player_id=656541",656541)</f>
        <v>656541</v>
      </c>
      <c r="BE811">
        <v>1699</v>
      </c>
      <c r="BF811">
        <v>699</v>
      </c>
      <c r="BG811">
        <v>0</v>
      </c>
      <c r="BH811">
        <v>0</v>
      </c>
    </row>
    <row r="812" spans="1:60" x14ac:dyDescent="0.3">
      <c r="A812" s="4">
        <f>HYPERLINK("http://legacy.baseballprospectus.com/p/106315",106315)</f>
        <v>106315</v>
      </c>
      <c r="B812" t="s">
        <v>1785</v>
      </c>
      <c r="C812" t="s">
        <v>296</v>
      </c>
      <c r="D812" s="10">
        <v>35445</v>
      </c>
      <c r="E812" t="s">
        <v>65</v>
      </c>
      <c r="F812" t="s">
        <v>33</v>
      </c>
      <c r="G812" t="s">
        <v>33</v>
      </c>
      <c r="H812">
        <v>71</v>
      </c>
      <c r="I812">
        <v>196</v>
      </c>
      <c r="J812">
        <v>2018</v>
      </c>
      <c r="K812" s="4" t="str">
        <f>HYPERLINK("http://legacy.baseballprospectus.com/fantasy/dc/index.php?tm=NYN","NYN")</f>
        <v>NYN</v>
      </c>
      <c r="L812" t="s">
        <v>100</v>
      </c>
      <c r="M812" t="s">
        <v>34</v>
      </c>
      <c r="N812">
        <v>21</v>
      </c>
      <c r="O812">
        <v>250</v>
      </c>
      <c r="P812" t="s">
        <v>1680</v>
      </c>
      <c r="Q812">
        <v>220</v>
      </c>
      <c r="R812">
        <v>26</v>
      </c>
      <c r="S812">
        <v>27</v>
      </c>
      <c r="T812">
        <v>8</v>
      </c>
      <c r="U812">
        <v>0</v>
      </c>
      <c r="V812">
        <v>8</v>
      </c>
      <c r="W812">
        <v>43</v>
      </c>
      <c r="X812">
        <v>75</v>
      </c>
      <c r="Y812">
        <v>29</v>
      </c>
      <c r="Z812">
        <v>27</v>
      </c>
      <c r="AA812">
        <v>1</v>
      </c>
      <c r="AB812">
        <v>1</v>
      </c>
      <c r="AC812">
        <v>87</v>
      </c>
      <c r="AD812">
        <v>1</v>
      </c>
      <c r="AE812">
        <v>1</v>
      </c>
      <c r="AF812">
        <v>5</v>
      </c>
      <c r="AG812">
        <v>0</v>
      </c>
      <c r="AH812">
        <v>0</v>
      </c>
      <c r="AI812" s="5">
        <v>0.19800000000000001</v>
      </c>
      <c r="AJ812" s="5">
        <v>0.28699999999999998</v>
      </c>
      <c r="AK812" s="5">
        <v>0.35</v>
      </c>
      <c r="AL812" s="5">
        <v>0.221</v>
      </c>
      <c r="AM812" s="5">
        <v>0.28000000000000003</v>
      </c>
      <c r="AN812">
        <v>-0.4</v>
      </c>
      <c r="AO812">
        <v>3.23</v>
      </c>
      <c r="AP812">
        <v>7</v>
      </c>
      <c r="AQ812">
        <v>-10.29</v>
      </c>
      <c r="AR812">
        <v>-1.4</v>
      </c>
      <c r="AS812" t="s">
        <v>72</v>
      </c>
      <c r="AT812">
        <v>-0.2</v>
      </c>
      <c r="AU812">
        <v>-0.5</v>
      </c>
      <c r="AV812">
        <v>3</v>
      </c>
      <c r="AW812">
        <v>5</v>
      </c>
      <c r="AX812">
        <v>0</v>
      </c>
      <c r="AY812">
        <v>3</v>
      </c>
      <c r="AZ812" t="s">
        <v>4553</v>
      </c>
      <c r="BA812">
        <v>6</v>
      </c>
      <c r="BB812" t="s">
        <v>36</v>
      </c>
      <c r="BC812" t="s">
        <v>35</v>
      </c>
      <c r="BD812" s="4">
        <f>HYPERLINK("http://mlb.mlb.com/team/player.jsp?player_id=663664",663664)</f>
        <v>663664</v>
      </c>
      <c r="BE812">
        <v>1669</v>
      </c>
      <c r="BF812">
        <v>669</v>
      </c>
      <c r="BG812">
        <v>0</v>
      </c>
      <c r="BH812">
        <v>0</v>
      </c>
    </row>
    <row r="813" spans="1:60" x14ac:dyDescent="0.3">
      <c r="A813" s="4">
        <f>HYPERLINK("http://legacy.baseballprospectus.com/p/106886",106886)</f>
        <v>106886</v>
      </c>
      <c r="B813" t="s">
        <v>4554</v>
      </c>
      <c r="C813" t="s">
        <v>165</v>
      </c>
      <c r="D813" s="10">
        <v>35304</v>
      </c>
      <c r="E813" t="s">
        <v>58</v>
      </c>
      <c r="F813" t="s">
        <v>9</v>
      </c>
      <c r="G813" t="s">
        <v>33</v>
      </c>
      <c r="H813">
        <v>70</v>
      </c>
      <c r="I813">
        <v>170</v>
      </c>
      <c r="J813">
        <v>2018</v>
      </c>
      <c r="K813" s="4" t="str">
        <f>HYPERLINK("http://legacy.baseballprospectus.com/fantasy/dc/index.php?tm=CHN","CHN")</f>
        <v>CHN</v>
      </c>
      <c r="L813" t="s">
        <v>100</v>
      </c>
      <c r="M813" t="s">
        <v>34</v>
      </c>
      <c r="N813">
        <v>21</v>
      </c>
      <c r="O813">
        <v>250</v>
      </c>
      <c r="P813" t="s">
        <v>1680</v>
      </c>
      <c r="Q813">
        <v>228</v>
      </c>
      <c r="R813">
        <v>27</v>
      </c>
      <c r="S813">
        <v>39</v>
      </c>
      <c r="T813">
        <v>10</v>
      </c>
      <c r="U813">
        <v>1</v>
      </c>
      <c r="V813">
        <v>5</v>
      </c>
      <c r="W813">
        <v>55</v>
      </c>
      <c r="X813">
        <v>82</v>
      </c>
      <c r="Y813">
        <v>23</v>
      </c>
      <c r="Z813">
        <v>17</v>
      </c>
      <c r="AA813">
        <v>1</v>
      </c>
      <c r="AB813">
        <v>2</v>
      </c>
      <c r="AC813">
        <v>51</v>
      </c>
      <c r="AD813">
        <v>2</v>
      </c>
      <c r="AE813">
        <v>1</v>
      </c>
      <c r="AF813">
        <v>6</v>
      </c>
      <c r="AG813">
        <v>1</v>
      </c>
      <c r="AH813">
        <v>1</v>
      </c>
      <c r="AI813" s="5">
        <v>0.24</v>
      </c>
      <c r="AJ813" s="5">
        <v>0.29499999999999998</v>
      </c>
      <c r="AK813" s="5">
        <v>0.35699999999999998</v>
      </c>
      <c r="AL813" s="5">
        <v>0.215</v>
      </c>
      <c r="AM813" s="5">
        <v>0.28299999999999997</v>
      </c>
      <c r="AN813">
        <v>-0.7</v>
      </c>
      <c r="AO813">
        <v>2.99</v>
      </c>
      <c r="AP813">
        <v>7</v>
      </c>
      <c r="AQ813">
        <v>-11.81</v>
      </c>
      <c r="AR813">
        <v>0.8</v>
      </c>
      <c r="AS813" t="s">
        <v>3904</v>
      </c>
      <c r="AT813">
        <v>-0.2</v>
      </c>
      <c r="AU813">
        <v>-2.5</v>
      </c>
      <c r="AV813">
        <v>2</v>
      </c>
      <c r="AW813">
        <v>7</v>
      </c>
      <c r="AX813">
        <v>2</v>
      </c>
      <c r="AY813">
        <v>5</v>
      </c>
      <c r="AZ813" t="s">
        <v>4555</v>
      </c>
      <c r="BA813">
        <v>9</v>
      </c>
      <c r="BB813" t="s">
        <v>36</v>
      </c>
      <c r="BC813" t="s">
        <v>35</v>
      </c>
      <c r="BD813" s="4">
        <f>HYPERLINK("http://mlb.mlb.com/team/player.jsp?player_id=661148",661148)</f>
        <v>661148</v>
      </c>
      <c r="BE813">
        <v>0</v>
      </c>
      <c r="BF813">
        <v>0</v>
      </c>
      <c r="BG813">
        <v>0</v>
      </c>
      <c r="BH813">
        <v>0</v>
      </c>
    </row>
    <row r="814" spans="1:60" x14ac:dyDescent="0.3">
      <c r="A814" s="4">
        <f>HYPERLINK("http://legacy.baseballprospectus.com/p/107182",107182)</f>
        <v>107182</v>
      </c>
      <c r="B814" t="s">
        <v>642</v>
      </c>
      <c r="C814" t="s">
        <v>314</v>
      </c>
      <c r="D814" s="10">
        <v>36093</v>
      </c>
      <c r="E814" t="s">
        <v>57</v>
      </c>
      <c r="F814" t="s">
        <v>9</v>
      </c>
      <c r="G814" t="s">
        <v>9</v>
      </c>
      <c r="H814">
        <v>73</v>
      </c>
      <c r="I814">
        <v>185</v>
      </c>
      <c r="J814">
        <v>2018</v>
      </c>
      <c r="K814" s="4" t="str">
        <f>HYPERLINK("http://legacy.baseballprospectus.com/fantasy/dc/index.php?tm=WAS","WAS")</f>
        <v>WAS</v>
      </c>
      <c r="L814" t="s">
        <v>100</v>
      </c>
      <c r="M814" t="s">
        <v>34</v>
      </c>
      <c r="N814">
        <v>19</v>
      </c>
      <c r="O814">
        <v>250</v>
      </c>
      <c r="P814" t="s">
        <v>1680</v>
      </c>
      <c r="Q814">
        <v>230</v>
      </c>
      <c r="R814">
        <v>26</v>
      </c>
      <c r="S814">
        <v>37</v>
      </c>
      <c r="T814">
        <v>11</v>
      </c>
      <c r="U814">
        <v>1</v>
      </c>
      <c r="V814">
        <v>8</v>
      </c>
      <c r="W814">
        <v>57</v>
      </c>
      <c r="X814">
        <v>94</v>
      </c>
      <c r="Y814">
        <v>31</v>
      </c>
      <c r="Z814">
        <v>17</v>
      </c>
      <c r="AA814">
        <v>2</v>
      </c>
      <c r="AB814">
        <v>1</v>
      </c>
      <c r="AC814">
        <v>60</v>
      </c>
      <c r="AD814">
        <v>1</v>
      </c>
      <c r="AE814">
        <v>1</v>
      </c>
      <c r="AF814">
        <v>7</v>
      </c>
      <c r="AG814">
        <v>0</v>
      </c>
      <c r="AH814">
        <v>0</v>
      </c>
      <c r="AI814" s="5">
        <v>0.247</v>
      </c>
      <c r="AJ814" s="5">
        <v>0.29899999999999999</v>
      </c>
      <c r="AK814" s="5">
        <v>0.40899999999999997</v>
      </c>
      <c r="AL814" s="5">
        <v>0.23200000000000001</v>
      </c>
      <c r="AM814" s="5">
        <v>0.29599999999999999</v>
      </c>
      <c r="AN814">
        <v>-0.5</v>
      </c>
      <c r="AO814">
        <v>-0.06</v>
      </c>
      <c r="AP814">
        <v>7</v>
      </c>
      <c r="AQ814">
        <v>-7.32</v>
      </c>
      <c r="AR814">
        <v>-1</v>
      </c>
      <c r="AS814" t="s">
        <v>1044</v>
      </c>
      <c r="AT814">
        <v>-0.2</v>
      </c>
      <c r="AU814">
        <v>-0.9</v>
      </c>
      <c r="AV814">
        <v>0</v>
      </c>
      <c r="AW814">
        <v>11</v>
      </c>
      <c r="AX814">
        <v>2</v>
      </c>
      <c r="AY814">
        <v>10</v>
      </c>
      <c r="AZ814" t="s">
        <v>4556</v>
      </c>
      <c r="BA814">
        <v>21</v>
      </c>
      <c r="BB814" t="s">
        <v>36</v>
      </c>
      <c r="BC814" t="s">
        <v>35</v>
      </c>
      <c r="BD814" s="4">
        <f>HYPERLINK("http://mlb.mlb.com/team/player.jsp?player_id=665742",665742)</f>
        <v>665742</v>
      </c>
      <c r="BE814">
        <v>1666</v>
      </c>
      <c r="BF814">
        <v>666</v>
      </c>
      <c r="BG814">
        <v>0</v>
      </c>
      <c r="BH814">
        <v>0</v>
      </c>
    </row>
    <row r="815" spans="1:60" x14ac:dyDescent="0.3">
      <c r="A815" s="4">
        <f>HYPERLINK("http://legacy.baseballprospectus.com/p/107801",107801)</f>
        <v>107801</v>
      </c>
      <c r="B815" t="s">
        <v>1369</v>
      </c>
      <c r="C815" t="s">
        <v>1802</v>
      </c>
      <c r="D815" s="10">
        <v>34321</v>
      </c>
      <c r="E815" t="s">
        <v>59</v>
      </c>
      <c r="F815" t="s">
        <v>9</v>
      </c>
      <c r="G815" t="s">
        <v>33</v>
      </c>
      <c r="H815">
        <v>74</v>
      </c>
      <c r="I815">
        <v>200</v>
      </c>
      <c r="J815">
        <v>2018</v>
      </c>
      <c r="K815" s="4" t="str">
        <f>HYPERLINK("http://legacy.baseballprospectus.com/fantasy/dc/index.php?tm=CHA","CHA")</f>
        <v>CHA</v>
      </c>
      <c r="L815" t="s">
        <v>95</v>
      </c>
      <c r="M815" t="s">
        <v>34</v>
      </c>
      <c r="N815">
        <v>24</v>
      </c>
      <c r="O815">
        <v>250</v>
      </c>
      <c r="P815" t="s">
        <v>1680</v>
      </c>
      <c r="Q815">
        <v>220</v>
      </c>
      <c r="R815">
        <v>25</v>
      </c>
      <c r="S815">
        <v>29</v>
      </c>
      <c r="T815">
        <v>10</v>
      </c>
      <c r="U815">
        <v>1</v>
      </c>
      <c r="V815">
        <v>7</v>
      </c>
      <c r="W815">
        <v>47</v>
      </c>
      <c r="X815">
        <v>80</v>
      </c>
      <c r="Y815">
        <v>28</v>
      </c>
      <c r="Z815">
        <v>23</v>
      </c>
      <c r="AA815">
        <v>1</v>
      </c>
      <c r="AB815">
        <v>4</v>
      </c>
      <c r="AC815">
        <v>71</v>
      </c>
      <c r="AD815">
        <v>1</v>
      </c>
      <c r="AE815">
        <v>1</v>
      </c>
      <c r="AF815">
        <v>5</v>
      </c>
      <c r="AG815">
        <v>1</v>
      </c>
      <c r="AH815">
        <v>1</v>
      </c>
      <c r="AI815" s="5">
        <v>0.214</v>
      </c>
      <c r="AJ815" s="5">
        <v>0.29799999999999999</v>
      </c>
      <c r="AK815" s="5">
        <v>0.36399999999999999</v>
      </c>
      <c r="AL815" s="5">
        <v>0.224</v>
      </c>
      <c r="AM815" s="5">
        <v>0.27600000000000002</v>
      </c>
      <c r="AN815">
        <v>-0.5</v>
      </c>
      <c r="AO815">
        <v>1.28</v>
      </c>
      <c r="AP815">
        <v>7</v>
      </c>
      <c r="AQ815">
        <v>-9.39</v>
      </c>
      <c r="AR815">
        <v>-0.3</v>
      </c>
      <c r="AS815" t="s">
        <v>1703</v>
      </c>
      <c r="AT815">
        <v>-0.2</v>
      </c>
      <c r="AU815">
        <v>-1.6</v>
      </c>
      <c r="AV815">
        <v>1</v>
      </c>
      <c r="AW815">
        <v>3</v>
      </c>
      <c r="AX815">
        <v>2</v>
      </c>
      <c r="AY815">
        <v>7</v>
      </c>
      <c r="AZ815" t="s">
        <v>4489</v>
      </c>
      <c r="BA815">
        <v>7</v>
      </c>
      <c r="BB815" t="s">
        <v>36</v>
      </c>
      <c r="BC815" t="s">
        <v>35</v>
      </c>
      <c r="BD815" s="4">
        <f>HYPERLINK("http://mlb.mlb.com/team/player.jsp?player_id=622053",622053)</f>
        <v>622053</v>
      </c>
      <c r="BE815">
        <v>0</v>
      </c>
      <c r="BF815">
        <v>0</v>
      </c>
      <c r="BG815">
        <v>0</v>
      </c>
      <c r="BH815">
        <v>0</v>
      </c>
    </row>
    <row r="816" spans="1:60" x14ac:dyDescent="0.3">
      <c r="A816" s="4">
        <f>HYPERLINK("http://legacy.baseballprospectus.com/p/108059",108059)</f>
        <v>108059</v>
      </c>
      <c r="B816" t="s">
        <v>4490</v>
      </c>
      <c r="C816" t="s">
        <v>204</v>
      </c>
      <c r="D816" s="10">
        <v>34733</v>
      </c>
      <c r="E816" t="s">
        <v>54</v>
      </c>
      <c r="F816" t="s">
        <v>33</v>
      </c>
      <c r="G816" t="s">
        <v>33</v>
      </c>
      <c r="H816">
        <v>73</v>
      </c>
      <c r="I816">
        <v>200</v>
      </c>
      <c r="J816">
        <v>2018</v>
      </c>
      <c r="K816" s="4" t="str">
        <f>HYPERLINK("http://legacy.baseballprospectus.com/fantasy/dc/index.php?tm=SLN","SLN")</f>
        <v>SLN</v>
      </c>
      <c r="L816" t="s">
        <v>100</v>
      </c>
      <c r="M816" t="s">
        <v>34</v>
      </c>
      <c r="N816">
        <v>23</v>
      </c>
      <c r="O816">
        <v>250</v>
      </c>
      <c r="P816" t="s">
        <v>1680</v>
      </c>
      <c r="Q816">
        <v>229</v>
      </c>
      <c r="R816">
        <v>27</v>
      </c>
      <c r="S816">
        <v>38</v>
      </c>
      <c r="T816">
        <v>12</v>
      </c>
      <c r="U816">
        <v>1</v>
      </c>
      <c r="V816">
        <v>8</v>
      </c>
      <c r="W816">
        <v>59</v>
      </c>
      <c r="X816">
        <v>97</v>
      </c>
      <c r="Y816">
        <v>32</v>
      </c>
      <c r="Z816">
        <v>15</v>
      </c>
      <c r="AA816">
        <v>1</v>
      </c>
      <c r="AB816">
        <v>3</v>
      </c>
      <c r="AC816">
        <v>48</v>
      </c>
      <c r="AD816">
        <v>1</v>
      </c>
      <c r="AE816">
        <v>2</v>
      </c>
      <c r="AF816">
        <v>7</v>
      </c>
      <c r="AG816">
        <v>0</v>
      </c>
      <c r="AH816">
        <v>0</v>
      </c>
      <c r="AI816" s="5">
        <v>0.25900000000000001</v>
      </c>
      <c r="AJ816" s="5">
        <v>0.313</v>
      </c>
      <c r="AK816" s="5">
        <v>0.42799999999999999</v>
      </c>
      <c r="AL816" s="5">
        <v>0.248</v>
      </c>
      <c r="AM816" s="5">
        <v>0.29199999999999998</v>
      </c>
      <c r="AN816">
        <v>-0.5</v>
      </c>
      <c r="AO816">
        <v>4.22</v>
      </c>
      <c r="AP816">
        <v>7</v>
      </c>
      <c r="AQ816">
        <v>-3.26</v>
      </c>
      <c r="AR816">
        <v>-9.1</v>
      </c>
      <c r="AS816" t="s">
        <v>3664</v>
      </c>
      <c r="AT816">
        <v>-0.2</v>
      </c>
      <c r="AU816">
        <v>7.5</v>
      </c>
      <c r="AV816">
        <v>4</v>
      </c>
      <c r="AW816">
        <v>27</v>
      </c>
      <c r="AX816">
        <v>6</v>
      </c>
      <c r="AY816">
        <v>24</v>
      </c>
      <c r="AZ816" t="s">
        <v>4491</v>
      </c>
      <c r="BA816">
        <v>45</v>
      </c>
      <c r="BB816" t="s">
        <v>36</v>
      </c>
      <c r="BC816" t="s">
        <v>35</v>
      </c>
      <c r="BD816" s="4">
        <f>HYPERLINK("http://mlb.mlb.com/team/player.jsp?player_id=668800",668800)</f>
        <v>668800</v>
      </c>
      <c r="BE816">
        <v>1698</v>
      </c>
      <c r="BF816">
        <v>698</v>
      </c>
      <c r="BG816">
        <v>0</v>
      </c>
      <c r="BH816">
        <v>0</v>
      </c>
    </row>
    <row r="817" spans="1:60" x14ac:dyDescent="0.3">
      <c r="A817" s="4">
        <f>HYPERLINK("http://legacy.baseballprospectus.com/p/109046",109046)</f>
        <v>109046</v>
      </c>
      <c r="B817" t="s">
        <v>607</v>
      </c>
      <c r="C817" t="s">
        <v>633</v>
      </c>
      <c r="D817" s="10">
        <v>34502</v>
      </c>
      <c r="E817" t="s">
        <v>53</v>
      </c>
      <c r="F817" t="s">
        <v>33</v>
      </c>
      <c r="G817" t="s">
        <v>33</v>
      </c>
      <c r="H817">
        <v>72</v>
      </c>
      <c r="I817">
        <v>190</v>
      </c>
      <c r="J817">
        <v>2018</v>
      </c>
      <c r="K817" s="4" t="str">
        <f>HYPERLINK("http://legacy.baseballprospectus.com/fantasy/dc/index.php?tm=CIN","CIN")</f>
        <v>CIN</v>
      </c>
      <c r="L817" t="s">
        <v>100</v>
      </c>
      <c r="M817" t="s">
        <v>34</v>
      </c>
      <c r="N817">
        <v>24</v>
      </c>
      <c r="O817">
        <v>250</v>
      </c>
      <c r="P817" t="s">
        <v>1680</v>
      </c>
      <c r="Q817">
        <v>232</v>
      </c>
      <c r="R817">
        <v>28</v>
      </c>
      <c r="S817">
        <v>36</v>
      </c>
      <c r="T817">
        <v>10</v>
      </c>
      <c r="U817">
        <v>0</v>
      </c>
      <c r="V817">
        <v>6</v>
      </c>
      <c r="W817">
        <v>52</v>
      </c>
      <c r="X817">
        <v>80</v>
      </c>
      <c r="Y817">
        <v>23</v>
      </c>
      <c r="Z817">
        <v>14</v>
      </c>
      <c r="AA817">
        <v>1</v>
      </c>
      <c r="AB817">
        <v>2</v>
      </c>
      <c r="AC817">
        <v>56</v>
      </c>
      <c r="AD817">
        <v>1</v>
      </c>
      <c r="AE817">
        <v>1</v>
      </c>
      <c r="AF817">
        <v>7</v>
      </c>
      <c r="AG817">
        <v>3</v>
      </c>
      <c r="AH817">
        <v>2</v>
      </c>
      <c r="AI817" s="5">
        <v>0.22700000000000001</v>
      </c>
      <c r="AJ817" s="5">
        <v>0.27500000000000002</v>
      </c>
      <c r="AK817" s="5">
        <v>0.35</v>
      </c>
      <c r="AL817" s="5">
        <v>0.20499999999999999</v>
      </c>
      <c r="AM817" s="5">
        <v>0.27100000000000002</v>
      </c>
      <c r="AN817">
        <v>-0.5</v>
      </c>
      <c r="AO817">
        <v>4.2300000000000004</v>
      </c>
      <c r="AP817">
        <v>7</v>
      </c>
      <c r="AQ817">
        <v>-14.42</v>
      </c>
      <c r="AR817">
        <v>2.1</v>
      </c>
      <c r="AS817" t="s">
        <v>67</v>
      </c>
      <c r="AT817">
        <v>-0.2</v>
      </c>
      <c r="AU817">
        <v>-3.7</v>
      </c>
      <c r="AV817">
        <v>1</v>
      </c>
      <c r="AW817">
        <v>4</v>
      </c>
      <c r="AX817">
        <v>5</v>
      </c>
      <c r="AY817">
        <v>19</v>
      </c>
      <c r="AZ817" t="s">
        <v>4497</v>
      </c>
      <c r="BA817">
        <v>19</v>
      </c>
      <c r="BB817" t="s">
        <v>36</v>
      </c>
      <c r="BC817" t="s">
        <v>35</v>
      </c>
      <c r="BD817" s="4">
        <f>HYPERLINK("http://mlb.mlb.com/team/player.jsp?player_id=670895",670895)</f>
        <v>670895</v>
      </c>
      <c r="BE817">
        <v>1552</v>
      </c>
      <c r="BF817">
        <v>552</v>
      </c>
      <c r="BG817">
        <v>0</v>
      </c>
      <c r="BH817">
        <v>0</v>
      </c>
    </row>
    <row r="818" spans="1:60" x14ac:dyDescent="0.3">
      <c r="A818" s="4">
        <f>HYPERLINK("http://legacy.baseballprospectus.com/p/109059",109059)</f>
        <v>109059</v>
      </c>
      <c r="B818" t="s">
        <v>620</v>
      </c>
      <c r="C818" t="s">
        <v>304</v>
      </c>
      <c r="D818" s="10">
        <v>36361</v>
      </c>
      <c r="E818" t="s">
        <v>58</v>
      </c>
      <c r="F818" t="s">
        <v>33</v>
      </c>
      <c r="G818" t="s">
        <v>33</v>
      </c>
      <c r="H818">
        <v>68</v>
      </c>
      <c r="I818">
        <v>175</v>
      </c>
      <c r="J818">
        <v>2018</v>
      </c>
      <c r="K818" s="4" t="str">
        <f>HYPERLINK("http://legacy.baseballprospectus.com/fantasy/dc/index.php?tm=NYN","NYN")</f>
        <v>NYN</v>
      </c>
      <c r="L818" t="s">
        <v>100</v>
      </c>
      <c r="M818" t="s">
        <v>34</v>
      </c>
      <c r="N818">
        <v>18</v>
      </c>
      <c r="O818">
        <v>250</v>
      </c>
      <c r="P818" t="s">
        <v>1680</v>
      </c>
      <c r="Q818">
        <v>231</v>
      </c>
      <c r="R818">
        <v>24</v>
      </c>
      <c r="S818">
        <v>33</v>
      </c>
      <c r="T818">
        <v>10</v>
      </c>
      <c r="U818">
        <v>1</v>
      </c>
      <c r="V818">
        <v>7</v>
      </c>
      <c r="W818">
        <v>51</v>
      </c>
      <c r="X818">
        <v>84</v>
      </c>
      <c r="Y818">
        <v>27</v>
      </c>
      <c r="Z818">
        <v>13</v>
      </c>
      <c r="AA818">
        <v>1</v>
      </c>
      <c r="AB818">
        <v>3</v>
      </c>
      <c r="AC818">
        <v>67</v>
      </c>
      <c r="AD818">
        <v>1</v>
      </c>
      <c r="AE818">
        <v>1</v>
      </c>
      <c r="AF818">
        <v>7</v>
      </c>
      <c r="AG818">
        <v>2</v>
      </c>
      <c r="AH818">
        <v>1</v>
      </c>
      <c r="AI818" s="5">
        <v>0.218</v>
      </c>
      <c r="AJ818" s="5">
        <v>0.26800000000000002</v>
      </c>
      <c r="AK818" s="5">
        <v>0.35499999999999998</v>
      </c>
      <c r="AL818" s="5">
        <v>0.21099999999999999</v>
      </c>
      <c r="AM818" s="5">
        <v>0.27300000000000002</v>
      </c>
      <c r="AN818">
        <v>-0.1</v>
      </c>
      <c r="AO818">
        <v>3.47</v>
      </c>
      <c r="AP818">
        <v>7</v>
      </c>
      <c r="AQ818">
        <v>-13</v>
      </c>
      <c r="AR818">
        <v>0.9</v>
      </c>
      <c r="AS818" t="s">
        <v>1233</v>
      </c>
      <c r="AT818">
        <v>-0.2</v>
      </c>
      <c r="AU818">
        <v>-2.6</v>
      </c>
      <c r="AV818">
        <v>0</v>
      </c>
      <c r="AW818">
        <v>0</v>
      </c>
      <c r="AX818">
        <v>0</v>
      </c>
      <c r="AY818">
        <v>0</v>
      </c>
      <c r="AZ818" t="s">
        <v>1886</v>
      </c>
      <c r="BA818">
        <v>0</v>
      </c>
      <c r="BB818" t="s">
        <v>36</v>
      </c>
      <c r="BC818" t="s">
        <v>35</v>
      </c>
      <c r="BD818" s="4">
        <f>HYPERLINK("http://mlb.mlb.com/team/player.jsp?player_id=670919",670919)</f>
        <v>670919</v>
      </c>
      <c r="BE818">
        <v>0</v>
      </c>
      <c r="BF818">
        <v>0</v>
      </c>
      <c r="BG818">
        <v>0</v>
      </c>
      <c r="BH818">
        <v>0</v>
      </c>
    </row>
    <row r="819" spans="1:60" x14ac:dyDescent="0.3">
      <c r="A819" s="4">
        <f>HYPERLINK("http://legacy.baseballprospectus.com/p/110232",110232)</f>
        <v>110232</v>
      </c>
      <c r="B819" t="s">
        <v>4559</v>
      </c>
      <c r="C819" t="s">
        <v>1672</v>
      </c>
      <c r="D819" s="10">
        <v>35064</v>
      </c>
      <c r="E819" t="s">
        <v>58</v>
      </c>
      <c r="F819" t="s">
        <v>9</v>
      </c>
      <c r="G819" t="s">
        <v>33</v>
      </c>
      <c r="H819">
        <v>75</v>
      </c>
      <c r="I819">
        <v>185</v>
      </c>
      <c r="J819">
        <v>2018</v>
      </c>
      <c r="K819" s="4" t="str">
        <f>HYPERLINK("http://legacy.baseballprospectus.com/fantasy/dc/index.php?tm=MIA","MIA")</f>
        <v>MIA</v>
      </c>
      <c r="L819" t="s">
        <v>100</v>
      </c>
      <c r="M819" t="s">
        <v>34</v>
      </c>
      <c r="N819">
        <v>22</v>
      </c>
      <c r="O819">
        <v>250</v>
      </c>
      <c r="P819" t="s">
        <v>1680</v>
      </c>
      <c r="Q819">
        <v>230</v>
      </c>
      <c r="R819">
        <v>28</v>
      </c>
      <c r="S819">
        <v>33</v>
      </c>
      <c r="T819">
        <v>9</v>
      </c>
      <c r="U819">
        <v>1</v>
      </c>
      <c r="V819">
        <v>7</v>
      </c>
      <c r="W819">
        <v>50</v>
      </c>
      <c r="X819">
        <v>82</v>
      </c>
      <c r="Y819">
        <v>24</v>
      </c>
      <c r="Z819">
        <v>16</v>
      </c>
      <c r="AA819">
        <v>1</v>
      </c>
      <c r="AB819">
        <v>2</v>
      </c>
      <c r="AC819">
        <v>71</v>
      </c>
      <c r="AD819">
        <v>1</v>
      </c>
      <c r="AE819">
        <v>2</v>
      </c>
      <c r="AF819">
        <v>6</v>
      </c>
      <c r="AG819">
        <v>2</v>
      </c>
      <c r="AH819">
        <v>1</v>
      </c>
      <c r="AI819" s="5">
        <v>0.217</v>
      </c>
      <c r="AJ819" s="5">
        <v>0.27100000000000002</v>
      </c>
      <c r="AK819" s="5">
        <v>0.35299999999999998</v>
      </c>
      <c r="AL819" s="5">
        <v>0.21199999999999999</v>
      </c>
      <c r="AM819" s="5">
        <v>0.27800000000000002</v>
      </c>
      <c r="AN819">
        <v>-0.2</v>
      </c>
      <c r="AO819">
        <v>3.42</v>
      </c>
      <c r="AP819">
        <v>7</v>
      </c>
      <c r="AQ819">
        <v>-12.7</v>
      </c>
      <c r="AR819">
        <v>0.5</v>
      </c>
      <c r="AS819" t="s">
        <v>69</v>
      </c>
      <c r="AT819">
        <v>-0.2</v>
      </c>
      <c r="AU819">
        <v>-2.5</v>
      </c>
      <c r="AV819">
        <v>2</v>
      </c>
      <c r="AW819">
        <v>2</v>
      </c>
      <c r="AX819">
        <v>9</v>
      </c>
      <c r="AY819">
        <v>11</v>
      </c>
      <c r="AZ819" t="s">
        <v>4560</v>
      </c>
      <c r="BA819">
        <v>13</v>
      </c>
      <c r="BB819" t="s">
        <v>36</v>
      </c>
      <c r="BC819" t="s">
        <v>35</v>
      </c>
      <c r="BD819" s="4">
        <f>HYPERLINK("http://mlb.mlb.com/team/player.jsp?player_id=657669",657669)</f>
        <v>657669</v>
      </c>
      <c r="BE819">
        <v>0</v>
      </c>
      <c r="BF819">
        <v>0</v>
      </c>
      <c r="BG819">
        <v>0</v>
      </c>
      <c r="BH819">
        <v>0</v>
      </c>
    </row>
    <row r="820" spans="1:60" x14ac:dyDescent="0.3">
      <c r="A820" s="4">
        <f>HYPERLINK("http://legacy.baseballprospectus.com/p/110352",110352)</f>
        <v>110352</v>
      </c>
      <c r="B820" t="s">
        <v>4506</v>
      </c>
      <c r="C820" t="s">
        <v>459</v>
      </c>
      <c r="D820" s="10">
        <v>35047</v>
      </c>
      <c r="E820" t="s">
        <v>53</v>
      </c>
      <c r="F820" t="s">
        <v>9</v>
      </c>
      <c r="G820" t="s">
        <v>33</v>
      </c>
      <c r="H820">
        <v>73</v>
      </c>
      <c r="I820">
        <v>180</v>
      </c>
      <c r="J820">
        <v>2018</v>
      </c>
      <c r="K820" s="4" t="str">
        <f>HYPERLINK("http://legacy.baseballprospectus.com/fantasy/dc/index.php?tm=OAK","OAK")</f>
        <v>OAK</v>
      </c>
      <c r="L820" t="s">
        <v>95</v>
      </c>
      <c r="M820" t="s">
        <v>34</v>
      </c>
      <c r="N820">
        <v>22</v>
      </c>
      <c r="O820">
        <v>250</v>
      </c>
      <c r="P820" t="s">
        <v>1680</v>
      </c>
      <c r="Q820">
        <v>231</v>
      </c>
      <c r="R820">
        <v>30</v>
      </c>
      <c r="S820">
        <v>32</v>
      </c>
      <c r="T820">
        <v>10</v>
      </c>
      <c r="U820">
        <v>1</v>
      </c>
      <c r="V820">
        <v>7</v>
      </c>
      <c r="W820">
        <v>50</v>
      </c>
      <c r="X820">
        <v>83</v>
      </c>
      <c r="Y820">
        <v>23</v>
      </c>
      <c r="Z820">
        <v>14</v>
      </c>
      <c r="AA820">
        <v>1</v>
      </c>
      <c r="AB820">
        <v>2</v>
      </c>
      <c r="AC820">
        <v>69</v>
      </c>
      <c r="AD820">
        <v>2</v>
      </c>
      <c r="AE820">
        <v>2</v>
      </c>
      <c r="AF820">
        <v>6</v>
      </c>
      <c r="AG820">
        <v>6</v>
      </c>
      <c r="AH820">
        <v>2</v>
      </c>
      <c r="AI820" s="5">
        <v>0.217</v>
      </c>
      <c r="AJ820" s="5">
        <v>0.26600000000000001</v>
      </c>
      <c r="AK820" s="5">
        <v>0.35599999999999998</v>
      </c>
      <c r="AL820" s="5">
        <v>0.20799999999999999</v>
      </c>
      <c r="AM820" s="5">
        <v>0.27400000000000002</v>
      </c>
      <c r="AN820">
        <v>0.3</v>
      </c>
      <c r="AO820">
        <v>4.17</v>
      </c>
      <c r="AP820">
        <v>7</v>
      </c>
      <c r="AQ820">
        <v>-13.66</v>
      </c>
      <c r="AR820">
        <v>0.6</v>
      </c>
      <c r="AS820" t="s">
        <v>75</v>
      </c>
      <c r="AT820">
        <v>-0.2</v>
      </c>
      <c r="AU820">
        <v>-2.2000000000000002</v>
      </c>
      <c r="AV820">
        <v>1</v>
      </c>
      <c r="AW820">
        <v>7</v>
      </c>
      <c r="AX820">
        <v>5</v>
      </c>
      <c r="AY820">
        <v>9</v>
      </c>
      <c r="AZ820" t="s">
        <v>4507</v>
      </c>
      <c r="BA820">
        <v>13</v>
      </c>
      <c r="BB820" t="s">
        <v>36</v>
      </c>
      <c r="BC820" t="s">
        <v>35</v>
      </c>
      <c r="BD820" s="4">
        <f>HYPERLINK("http://mlb.mlb.com/team/player.jsp?player_id=656736",656736)</f>
        <v>656736</v>
      </c>
      <c r="BE820">
        <v>0</v>
      </c>
      <c r="BF820">
        <v>0</v>
      </c>
      <c r="BG820">
        <v>0</v>
      </c>
      <c r="BH820">
        <v>0</v>
      </c>
    </row>
    <row r="821" spans="1:60" x14ac:dyDescent="0.3">
      <c r="A821" s="4">
        <f>HYPERLINK("http://legacy.baseballprospectus.com/p/110553",110553)</f>
        <v>110553</v>
      </c>
      <c r="B821" t="s">
        <v>568</v>
      </c>
      <c r="C821" t="s">
        <v>4561</v>
      </c>
      <c r="D821" s="10">
        <v>34921</v>
      </c>
      <c r="E821" t="s">
        <v>50</v>
      </c>
      <c r="F821" t="s">
        <v>33</v>
      </c>
      <c r="G821" t="s">
        <v>33</v>
      </c>
      <c r="H821">
        <v>74</v>
      </c>
      <c r="I821">
        <v>205</v>
      </c>
      <c r="J821">
        <v>2018</v>
      </c>
      <c r="K821" s="4" t="str">
        <f>HYPERLINK("http://legacy.baseballprospectus.com/fantasy/dc/index.php?tm=TEX","TEX")</f>
        <v>TEX</v>
      </c>
      <c r="L821" t="s">
        <v>95</v>
      </c>
      <c r="M821" t="s">
        <v>34</v>
      </c>
      <c r="N821">
        <v>22</v>
      </c>
      <c r="O821">
        <v>250</v>
      </c>
      <c r="P821" t="s">
        <v>1680</v>
      </c>
      <c r="Q821">
        <v>227</v>
      </c>
      <c r="R821">
        <v>27</v>
      </c>
      <c r="S821">
        <v>35</v>
      </c>
      <c r="T821">
        <v>11</v>
      </c>
      <c r="U821">
        <v>1</v>
      </c>
      <c r="V821">
        <v>9</v>
      </c>
      <c r="W821">
        <v>56</v>
      </c>
      <c r="X821">
        <v>96</v>
      </c>
      <c r="Y821">
        <v>31</v>
      </c>
      <c r="Z821">
        <v>18</v>
      </c>
      <c r="AA821">
        <v>1</v>
      </c>
      <c r="AB821">
        <v>3</v>
      </c>
      <c r="AC821">
        <v>61</v>
      </c>
      <c r="AD821">
        <v>0</v>
      </c>
      <c r="AE821">
        <v>2</v>
      </c>
      <c r="AF821">
        <v>6</v>
      </c>
      <c r="AG821">
        <v>0</v>
      </c>
      <c r="AH821">
        <v>0</v>
      </c>
      <c r="AI821" s="5">
        <v>0.24399999999999999</v>
      </c>
      <c r="AJ821" s="5">
        <v>0.30599999999999999</v>
      </c>
      <c r="AK821" s="5">
        <v>0.41</v>
      </c>
      <c r="AL821" s="5">
        <v>0.23499999999999999</v>
      </c>
      <c r="AM821" s="5">
        <v>0.29299999999999998</v>
      </c>
      <c r="AN821">
        <v>-0.4</v>
      </c>
      <c r="AO821">
        <v>-0.37</v>
      </c>
      <c r="AP821">
        <v>7</v>
      </c>
      <c r="AQ821">
        <v>-6.65</v>
      </c>
      <c r="AR821">
        <v>-1</v>
      </c>
      <c r="AS821" t="s">
        <v>4562</v>
      </c>
      <c r="AT821">
        <v>-0.2</v>
      </c>
      <c r="AU821">
        <v>-0.4</v>
      </c>
      <c r="AV821">
        <v>3</v>
      </c>
      <c r="AW821">
        <v>32</v>
      </c>
      <c r="AX821">
        <v>1</v>
      </c>
      <c r="AY821">
        <v>36</v>
      </c>
      <c r="AZ821" t="s">
        <v>4563</v>
      </c>
      <c r="BA821">
        <v>43</v>
      </c>
      <c r="BB821" t="s">
        <v>36</v>
      </c>
      <c r="BC821" t="s">
        <v>35</v>
      </c>
      <c r="BD821" s="4">
        <f>HYPERLINK("http://mlb.mlb.com/team/player.jsp?player_id=672350",672350)</f>
        <v>672350</v>
      </c>
      <c r="BE821">
        <v>672</v>
      </c>
      <c r="BF821">
        <v>1672</v>
      </c>
      <c r="BG821">
        <v>0</v>
      </c>
      <c r="BH821">
        <v>0</v>
      </c>
    </row>
    <row r="822" spans="1:60" x14ac:dyDescent="0.3">
      <c r="A822" s="4">
        <f>HYPERLINK("http://legacy.baseballprospectus.com/p/110848",110848)</f>
        <v>110848</v>
      </c>
      <c r="B822" t="s">
        <v>4508</v>
      </c>
      <c r="C822" t="s">
        <v>245</v>
      </c>
      <c r="D822" s="10">
        <v>34993</v>
      </c>
      <c r="E822" t="s">
        <v>54</v>
      </c>
      <c r="F822" t="s">
        <v>9</v>
      </c>
      <c r="G822" t="s">
        <v>33</v>
      </c>
      <c r="H822">
        <v>71</v>
      </c>
      <c r="I822">
        <v>200</v>
      </c>
      <c r="J822">
        <v>2018</v>
      </c>
      <c r="K822" s="4" t="str">
        <f>HYPERLINK("http://legacy.baseballprospectus.com/fantasy/dc/index.php?tm=CHA","CHA")</f>
        <v>CHA</v>
      </c>
      <c r="L822" t="s">
        <v>95</v>
      </c>
      <c r="M822" t="s">
        <v>34</v>
      </c>
      <c r="N822">
        <v>22</v>
      </c>
      <c r="O822">
        <v>250</v>
      </c>
      <c r="P822" t="s">
        <v>1680</v>
      </c>
      <c r="Q822">
        <v>225</v>
      </c>
      <c r="R822">
        <v>25</v>
      </c>
      <c r="S822">
        <v>27</v>
      </c>
      <c r="T822">
        <v>8</v>
      </c>
      <c r="U822">
        <v>1</v>
      </c>
      <c r="V822">
        <v>7</v>
      </c>
      <c r="W822">
        <v>43</v>
      </c>
      <c r="X822">
        <v>74</v>
      </c>
      <c r="Y822">
        <v>26</v>
      </c>
      <c r="Z822">
        <v>20</v>
      </c>
      <c r="AA822">
        <v>1</v>
      </c>
      <c r="AB822">
        <v>3</v>
      </c>
      <c r="AC822">
        <v>90</v>
      </c>
      <c r="AD822">
        <v>1</v>
      </c>
      <c r="AE822">
        <v>2</v>
      </c>
      <c r="AF822">
        <v>6</v>
      </c>
      <c r="AG822">
        <v>1</v>
      </c>
      <c r="AH822">
        <v>0</v>
      </c>
      <c r="AI822" s="5">
        <v>0.191</v>
      </c>
      <c r="AJ822" s="5">
        <v>0.26400000000000001</v>
      </c>
      <c r="AK822" s="5">
        <v>0.33400000000000002</v>
      </c>
      <c r="AL822" s="5">
        <v>0.20300000000000001</v>
      </c>
      <c r="AM822" s="5">
        <v>0.27500000000000002</v>
      </c>
      <c r="AN822">
        <v>-0.1</v>
      </c>
      <c r="AO822">
        <v>5.27</v>
      </c>
      <c r="AP822">
        <v>7</v>
      </c>
      <c r="AQ822">
        <v>-15.08</v>
      </c>
      <c r="AR822">
        <v>1.4</v>
      </c>
      <c r="AS822" t="s">
        <v>62</v>
      </c>
      <c r="AT822">
        <v>-0.2</v>
      </c>
      <c r="AU822">
        <v>-2.9</v>
      </c>
      <c r="AV822">
        <v>1</v>
      </c>
      <c r="AW822">
        <v>1</v>
      </c>
      <c r="AX822">
        <v>2</v>
      </c>
      <c r="AY822">
        <v>3</v>
      </c>
      <c r="AZ822" t="s">
        <v>4509</v>
      </c>
      <c r="BA822">
        <v>4</v>
      </c>
      <c r="BB822" t="s">
        <v>36</v>
      </c>
      <c r="BC822" t="s">
        <v>35</v>
      </c>
      <c r="BD822" s="4">
        <f>HYPERLINK("http://mlb.mlb.com/team/player.jsp?player_id=656967",656967)</f>
        <v>656967</v>
      </c>
      <c r="BE822">
        <v>0</v>
      </c>
      <c r="BF822">
        <v>0</v>
      </c>
      <c r="BG822">
        <v>0</v>
      </c>
      <c r="BH822">
        <v>0</v>
      </c>
    </row>
    <row r="823" spans="1:60" x14ac:dyDescent="0.3">
      <c r="A823" s="4">
        <f>HYPERLINK("http://legacy.baseballprospectus.com/p/111053",111053)</f>
        <v>111053</v>
      </c>
      <c r="B823" t="s">
        <v>4564</v>
      </c>
      <c r="C823" t="s">
        <v>412</v>
      </c>
      <c r="D823" s="10">
        <v>34810</v>
      </c>
      <c r="E823" t="s">
        <v>54</v>
      </c>
      <c r="F823" t="s">
        <v>33</v>
      </c>
      <c r="G823" t="s">
        <v>33</v>
      </c>
      <c r="H823">
        <v>75</v>
      </c>
      <c r="I823">
        <v>235</v>
      </c>
      <c r="J823">
        <v>2018</v>
      </c>
      <c r="K823" s="4" t="str">
        <f>HYPERLINK("http://legacy.baseballprospectus.com/fantasy/dc/index.php?tm=ANA","ANA")</f>
        <v>ANA</v>
      </c>
      <c r="L823" t="s">
        <v>95</v>
      </c>
      <c r="M823" t="s">
        <v>34</v>
      </c>
      <c r="N823">
        <v>23</v>
      </c>
      <c r="O823">
        <v>250</v>
      </c>
      <c r="P823" t="s">
        <v>1680</v>
      </c>
      <c r="Q823">
        <v>226</v>
      </c>
      <c r="R823">
        <v>25</v>
      </c>
      <c r="S823">
        <v>26</v>
      </c>
      <c r="T823">
        <v>8</v>
      </c>
      <c r="U823">
        <v>0</v>
      </c>
      <c r="V823">
        <v>9</v>
      </c>
      <c r="W823">
        <v>43</v>
      </c>
      <c r="X823">
        <v>78</v>
      </c>
      <c r="Y823">
        <v>30</v>
      </c>
      <c r="Z823">
        <v>19</v>
      </c>
      <c r="AA823">
        <v>1</v>
      </c>
      <c r="AB823">
        <v>3</v>
      </c>
      <c r="AC823">
        <v>85</v>
      </c>
      <c r="AD823">
        <v>1</v>
      </c>
      <c r="AE823">
        <v>1</v>
      </c>
      <c r="AF823">
        <v>6</v>
      </c>
      <c r="AG823">
        <v>0</v>
      </c>
      <c r="AH823">
        <v>0</v>
      </c>
      <c r="AI823" s="5">
        <v>0.192</v>
      </c>
      <c r="AJ823" s="5">
        <v>0.26200000000000001</v>
      </c>
      <c r="AK823" s="5">
        <v>0.35199999999999998</v>
      </c>
      <c r="AL823" s="5">
        <v>0.20899999999999999</v>
      </c>
      <c r="AM823" s="5">
        <v>0.255</v>
      </c>
      <c r="AN823">
        <v>-0.4</v>
      </c>
      <c r="AO823">
        <v>5.07</v>
      </c>
      <c r="AP823">
        <v>7</v>
      </c>
      <c r="AQ823">
        <v>-13.4</v>
      </c>
      <c r="AR823">
        <v>-0.2</v>
      </c>
      <c r="AS823" t="s">
        <v>1938</v>
      </c>
      <c r="AT823">
        <v>-0.2</v>
      </c>
      <c r="AU823">
        <v>-1.7</v>
      </c>
      <c r="AV823">
        <v>0</v>
      </c>
      <c r="AW823">
        <v>1</v>
      </c>
      <c r="AX823">
        <v>3</v>
      </c>
      <c r="AY823">
        <v>5</v>
      </c>
      <c r="AZ823" t="s">
        <v>4565</v>
      </c>
      <c r="BA823">
        <v>5</v>
      </c>
      <c r="BB823" t="s">
        <v>36</v>
      </c>
      <c r="BC823" t="s">
        <v>35</v>
      </c>
      <c r="BD823" s="4">
        <f>HYPERLINK("http://mlb.mlb.com/team/player.jsp?player_id=643599",643599)</f>
        <v>643599</v>
      </c>
      <c r="BE823">
        <v>0</v>
      </c>
      <c r="BF823">
        <v>0</v>
      </c>
      <c r="BG823">
        <v>0</v>
      </c>
      <c r="BH823">
        <v>0</v>
      </c>
    </row>
    <row r="824" spans="1:60" x14ac:dyDescent="0.3">
      <c r="A824" s="4">
        <f>HYPERLINK("http://legacy.baseballprospectus.com/p/111186",111186)</f>
        <v>111186</v>
      </c>
      <c r="B824" t="s">
        <v>4510</v>
      </c>
      <c r="C824" t="s">
        <v>169</v>
      </c>
      <c r="D824" s="10">
        <v>34962</v>
      </c>
      <c r="E824" t="s">
        <v>53</v>
      </c>
      <c r="F824" t="s">
        <v>33</v>
      </c>
      <c r="G824" t="s">
        <v>33</v>
      </c>
      <c r="H824">
        <v>74</v>
      </c>
      <c r="I824">
        <v>205</v>
      </c>
      <c r="J824">
        <v>2018</v>
      </c>
      <c r="K824" s="4" t="str">
        <f>HYPERLINK("http://legacy.baseballprospectus.com/fantasy/dc/index.php?tm=MIA","MIA")</f>
        <v>MIA</v>
      </c>
      <c r="L824" t="s">
        <v>100</v>
      </c>
      <c r="M824" t="s">
        <v>34</v>
      </c>
      <c r="N824">
        <v>22</v>
      </c>
      <c r="O824">
        <v>250</v>
      </c>
      <c r="P824" t="s">
        <v>1680</v>
      </c>
      <c r="Q824">
        <v>226</v>
      </c>
      <c r="R824">
        <v>26</v>
      </c>
      <c r="S824">
        <v>31</v>
      </c>
      <c r="T824">
        <v>9</v>
      </c>
      <c r="U824">
        <v>1</v>
      </c>
      <c r="V824">
        <v>6</v>
      </c>
      <c r="W824">
        <v>47</v>
      </c>
      <c r="X824">
        <v>76</v>
      </c>
      <c r="Y824">
        <v>26</v>
      </c>
      <c r="Z824">
        <v>20</v>
      </c>
      <c r="AA824">
        <v>1</v>
      </c>
      <c r="AB824">
        <v>2</v>
      </c>
      <c r="AC824">
        <v>75</v>
      </c>
      <c r="AD824">
        <v>1</v>
      </c>
      <c r="AE824">
        <v>1</v>
      </c>
      <c r="AF824">
        <v>6</v>
      </c>
      <c r="AG824">
        <v>4</v>
      </c>
      <c r="AH824">
        <v>2</v>
      </c>
      <c r="AI824" s="5">
        <v>0.21099999999999999</v>
      </c>
      <c r="AJ824" s="5">
        <v>0.27900000000000003</v>
      </c>
      <c r="AK824" s="5">
        <v>0.34399999999999997</v>
      </c>
      <c r="AL824" s="5">
        <v>0.21299999999999999</v>
      </c>
      <c r="AM824" s="5">
        <v>0.28000000000000003</v>
      </c>
      <c r="AN824">
        <v>-0.2</v>
      </c>
      <c r="AO824">
        <v>4.08</v>
      </c>
      <c r="AP824">
        <v>7</v>
      </c>
      <c r="AQ824">
        <v>-12.45</v>
      </c>
      <c r="AR824">
        <v>0.1</v>
      </c>
      <c r="AS824" t="s">
        <v>61</v>
      </c>
      <c r="AT824">
        <v>-0.2</v>
      </c>
      <c r="AU824">
        <v>-1.6</v>
      </c>
      <c r="AV824">
        <v>1</v>
      </c>
      <c r="AW824">
        <v>11</v>
      </c>
      <c r="AX824">
        <v>7</v>
      </c>
      <c r="AY824">
        <v>13</v>
      </c>
      <c r="AZ824" t="s">
        <v>4511</v>
      </c>
      <c r="BA824">
        <v>19</v>
      </c>
      <c r="BB824" t="s">
        <v>36</v>
      </c>
      <c r="BC824" t="s">
        <v>35</v>
      </c>
      <c r="BD824" s="4">
        <f>HYPERLINK("http://mlb.mlb.com/team/player.jsp?player_id=656388",656388)</f>
        <v>656388</v>
      </c>
      <c r="BE824">
        <v>0</v>
      </c>
      <c r="BF824">
        <v>0</v>
      </c>
      <c r="BG824">
        <v>0</v>
      </c>
      <c r="BH824">
        <v>0</v>
      </c>
    </row>
    <row r="825" spans="1:60" x14ac:dyDescent="0.3">
      <c r="A825" s="4">
        <f>HYPERLINK("http://legacy.baseballprospectus.com/p/55831",55831)</f>
        <v>55831</v>
      </c>
      <c r="B825" t="s">
        <v>293</v>
      </c>
      <c r="C825" t="s">
        <v>232</v>
      </c>
      <c r="D825" s="10">
        <v>31704</v>
      </c>
      <c r="E825" t="s">
        <v>51</v>
      </c>
      <c r="F825" t="s">
        <v>9</v>
      </c>
      <c r="G825" t="s">
        <v>33</v>
      </c>
      <c r="H825">
        <v>70</v>
      </c>
      <c r="I825">
        <v>190</v>
      </c>
      <c r="J825">
        <v>2018</v>
      </c>
      <c r="K825" s="4" t="str">
        <f>HYPERLINK("http://legacy.baseballprospectus.com/fantasy/dc/index.php?tm=ARI","ARI")</f>
        <v>ARI</v>
      </c>
      <c r="L825" t="s">
        <v>100</v>
      </c>
      <c r="M825" t="s">
        <v>34</v>
      </c>
      <c r="N825">
        <v>31</v>
      </c>
      <c r="O825">
        <v>314</v>
      </c>
      <c r="P825">
        <v>122</v>
      </c>
      <c r="Q825">
        <v>277</v>
      </c>
      <c r="R825">
        <v>31</v>
      </c>
      <c r="S825">
        <v>42</v>
      </c>
      <c r="T825">
        <v>14</v>
      </c>
      <c r="U825">
        <v>2</v>
      </c>
      <c r="V825">
        <v>5</v>
      </c>
      <c r="W825">
        <v>63</v>
      </c>
      <c r="X825">
        <v>96</v>
      </c>
      <c r="Y825">
        <v>31</v>
      </c>
      <c r="Z825">
        <v>31</v>
      </c>
      <c r="AA825">
        <v>3</v>
      </c>
      <c r="AB825">
        <v>2</v>
      </c>
      <c r="AC825">
        <v>66</v>
      </c>
      <c r="AD825">
        <v>2</v>
      </c>
      <c r="AE825">
        <v>2</v>
      </c>
      <c r="AF825">
        <v>7</v>
      </c>
      <c r="AG825">
        <v>3</v>
      </c>
      <c r="AH825">
        <v>1</v>
      </c>
      <c r="AI825" s="5">
        <v>0.22700000000000001</v>
      </c>
      <c r="AJ825" s="5">
        <v>0.308</v>
      </c>
      <c r="AK825" s="5">
        <v>0.34699999999999998</v>
      </c>
      <c r="AL825" s="5">
        <v>0.23599999999999999</v>
      </c>
      <c r="AM825" s="5">
        <v>0.27900000000000003</v>
      </c>
      <c r="AN825">
        <v>-0.1</v>
      </c>
      <c r="AO825">
        <v>-0.11</v>
      </c>
      <c r="AP825">
        <v>8.43</v>
      </c>
      <c r="AQ825">
        <v>-7.9</v>
      </c>
      <c r="AR825">
        <v>-3.6</v>
      </c>
      <c r="AS825" t="s">
        <v>5036</v>
      </c>
      <c r="AT825">
        <v>-0.3</v>
      </c>
      <c r="AU825">
        <v>0.3</v>
      </c>
      <c r="AV825">
        <v>1</v>
      </c>
      <c r="AW825">
        <v>46</v>
      </c>
      <c r="AX825">
        <v>6</v>
      </c>
      <c r="AY825">
        <v>19</v>
      </c>
      <c r="AZ825" t="s">
        <v>4512</v>
      </c>
      <c r="BA825">
        <v>92</v>
      </c>
      <c r="BB825" t="s">
        <v>35</v>
      </c>
      <c r="BC825" t="s">
        <v>36</v>
      </c>
      <c r="BD825" s="4">
        <f>HYPERLINK("http://mlb.mlb.com/team/player.jsp?player_id=518614",518614)</f>
        <v>518614</v>
      </c>
      <c r="BE825">
        <v>1461</v>
      </c>
      <c r="BF825">
        <v>461</v>
      </c>
      <c r="BG825">
        <v>398</v>
      </c>
      <c r="BH825">
        <v>344</v>
      </c>
    </row>
    <row r="826" spans="1:60" x14ac:dyDescent="0.3">
      <c r="A826" s="4">
        <f>HYPERLINK("http://legacy.baseballprospectus.com/p/58058",58058)</f>
        <v>58058</v>
      </c>
      <c r="B826" t="s">
        <v>158</v>
      </c>
      <c r="C826" t="s">
        <v>159</v>
      </c>
      <c r="D826" s="10">
        <v>32900</v>
      </c>
      <c r="E826" t="s">
        <v>51</v>
      </c>
      <c r="F826" t="s">
        <v>33</v>
      </c>
      <c r="G826" t="s">
        <v>33</v>
      </c>
      <c r="H826">
        <v>73</v>
      </c>
      <c r="I826">
        <v>205</v>
      </c>
      <c r="J826">
        <v>2018</v>
      </c>
      <c r="K826" s="4" t="str">
        <f>HYPERLINK("http://legacy.baseballprospectus.com/fantasy/dc/index.php?tm=BAL","BAL")</f>
        <v>BAL</v>
      </c>
      <c r="L826" t="s">
        <v>95</v>
      </c>
      <c r="M826" t="s">
        <v>34</v>
      </c>
      <c r="N826">
        <v>28</v>
      </c>
      <c r="O826">
        <v>616</v>
      </c>
      <c r="P826">
        <v>154</v>
      </c>
      <c r="Q826">
        <v>564</v>
      </c>
      <c r="R826">
        <v>78</v>
      </c>
      <c r="S826">
        <v>95</v>
      </c>
      <c r="T826">
        <v>24</v>
      </c>
      <c r="U826">
        <v>6</v>
      </c>
      <c r="V826">
        <v>18</v>
      </c>
      <c r="W826">
        <v>143</v>
      </c>
      <c r="X826">
        <v>233</v>
      </c>
      <c r="Y826">
        <v>65</v>
      </c>
      <c r="Z826">
        <v>41</v>
      </c>
      <c r="AA826">
        <v>1</v>
      </c>
      <c r="AB826">
        <v>5</v>
      </c>
      <c r="AC826">
        <v>166</v>
      </c>
      <c r="AD826">
        <v>3</v>
      </c>
      <c r="AE826">
        <v>4</v>
      </c>
      <c r="AF826">
        <v>15</v>
      </c>
      <c r="AG826">
        <v>7</v>
      </c>
      <c r="AH826">
        <v>5</v>
      </c>
      <c r="AI826" s="5">
        <v>0.254</v>
      </c>
      <c r="AJ826" s="5">
        <v>0.308</v>
      </c>
      <c r="AK826" s="5">
        <v>0.41299999999999998</v>
      </c>
      <c r="AL826" s="5">
        <v>0.25</v>
      </c>
      <c r="AM826" s="5">
        <v>0.32400000000000001</v>
      </c>
      <c r="AN826">
        <v>-0.4</v>
      </c>
      <c r="AO826">
        <v>1.33</v>
      </c>
      <c r="AP826">
        <v>16.54</v>
      </c>
      <c r="AQ826">
        <v>-6.79</v>
      </c>
      <c r="AR826">
        <v>-13.3</v>
      </c>
      <c r="AS826" t="s">
        <v>4869</v>
      </c>
      <c r="AT826">
        <v>-0.3</v>
      </c>
      <c r="AU826">
        <v>10.7</v>
      </c>
      <c r="AV826">
        <v>4</v>
      </c>
      <c r="AW826">
        <v>48</v>
      </c>
      <c r="AX826">
        <v>8</v>
      </c>
      <c r="AY826">
        <v>16</v>
      </c>
      <c r="AZ826" t="s">
        <v>3667</v>
      </c>
      <c r="BA826">
        <v>93</v>
      </c>
      <c r="BB826" t="s">
        <v>35</v>
      </c>
      <c r="BC826" t="s">
        <v>36</v>
      </c>
      <c r="BD826" s="4">
        <f>HYPERLINK("http://mlb.mlb.com/team/player.jsp?player_id=542921",542921)</f>
        <v>542921</v>
      </c>
      <c r="BE826">
        <v>499</v>
      </c>
      <c r="BF826">
        <v>1499</v>
      </c>
      <c r="BG826">
        <v>575</v>
      </c>
      <c r="BH826">
        <v>533</v>
      </c>
    </row>
    <row r="827" spans="1:60" x14ac:dyDescent="0.3">
      <c r="A827" s="4">
        <f>HYPERLINK("http://legacy.baseballprospectus.com/p/60958",60958)</f>
        <v>60958</v>
      </c>
      <c r="B827" t="s">
        <v>283</v>
      </c>
      <c r="C827" t="s">
        <v>104</v>
      </c>
      <c r="D827" s="10">
        <v>33323</v>
      </c>
      <c r="E827" t="s">
        <v>50</v>
      </c>
      <c r="F827" t="s">
        <v>33</v>
      </c>
      <c r="G827" t="s">
        <v>33</v>
      </c>
      <c r="H827">
        <v>75</v>
      </c>
      <c r="I827">
        <v>230</v>
      </c>
      <c r="J827">
        <v>2018</v>
      </c>
      <c r="K827" s="4" t="str">
        <f>HYPERLINK("http://legacy.baseballprospectus.com/fantasy/dc/index.php?tm=CHA","CHA")</f>
        <v>CHA</v>
      </c>
      <c r="L827" t="s">
        <v>95</v>
      </c>
      <c r="M827" t="s">
        <v>34</v>
      </c>
      <c r="N827">
        <v>27</v>
      </c>
      <c r="O827">
        <v>438</v>
      </c>
      <c r="P827">
        <v>120</v>
      </c>
      <c r="Q827">
        <v>395</v>
      </c>
      <c r="R827">
        <v>49</v>
      </c>
      <c r="S827">
        <v>48</v>
      </c>
      <c r="T827">
        <v>18</v>
      </c>
      <c r="U827">
        <v>1</v>
      </c>
      <c r="V827">
        <v>18</v>
      </c>
      <c r="W827">
        <v>85</v>
      </c>
      <c r="X827">
        <v>159</v>
      </c>
      <c r="Y827">
        <v>58</v>
      </c>
      <c r="Z827">
        <v>34</v>
      </c>
      <c r="AA827">
        <v>2</v>
      </c>
      <c r="AB827">
        <v>5</v>
      </c>
      <c r="AC827">
        <v>146</v>
      </c>
      <c r="AD827">
        <v>1</v>
      </c>
      <c r="AE827">
        <v>3</v>
      </c>
      <c r="AF827">
        <v>11</v>
      </c>
      <c r="AG827">
        <v>0</v>
      </c>
      <c r="AH827">
        <v>0</v>
      </c>
      <c r="AI827" s="5">
        <v>0.215</v>
      </c>
      <c r="AJ827" s="5">
        <v>0.28399999999999997</v>
      </c>
      <c r="AK827" s="5">
        <v>0.40300000000000002</v>
      </c>
      <c r="AL827" s="5">
        <v>0.23799999999999999</v>
      </c>
      <c r="AM827" s="5">
        <v>0.28699999999999998</v>
      </c>
      <c r="AN827">
        <v>-1</v>
      </c>
      <c r="AO827">
        <v>-3.67</v>
      </c>
      <c r="AP827">
        <v>11.76</v>
      </c>
      <c r="AQ827">
        <v>-10.31</v>
      </c>
      <c r="AR827">
        <v>-0.2</v>
      </c>
      <c r="AS827" t="s">
        <v>4870</v>
      </c>
      <c r="AT827">
        <v>-0.3</v>
      </c>
      <c r="AU827">
        <v>-3.2</v>
      </c>
      <c r="AV827">
        <v>1</v>
      </c>
      <c r="AW827">
        <v>12</v>
      </c>
      <c r="AX827">
        <v>11</v>
      </c>
      <c r="AY827">
        <v>18</v>
      </c>
      <c r="AZ827" t="s">
        <v>4663</v>
      </c>
      <c r="BA827">
        <v>32</v>
      </c>
      <c r="BB827" t="s">
        <v>35</v>
      </c>
      <c r="BC827" t="s">
        <v>36</v>
      </c>
      <c r="BD827" s="4">
        <f>HYPERLINK("http://mlb.mlb.com/team/player.jsp?player_id=571602",571602)</f>
        <v>571602</v>
      </c>
      <c r="BE827">
        <v>470</v>
      </c>
      <c r="BF827">
        <v>1470</v>
      </c>
      <c r="BG827">
        <v>443</v>
      </c>
      <c r="BH827">
        <v>414</v>
      </c>
    </row>
    <row r="828" spans="1:60" x14ac:dyDescent="0.3">
      <c r="A828" s="4">
        <f>HYPERLINK("http://legacy.baseballprospectus.com/p/66068",66068)</f>
        <v>66068</v>
      </c>
      <c r="B828" t="s">
        <v>1889</v>
      </c>
      <c r="C828" t="s">
        <v>438</v>
      </c>
      <c r="D828" s="10">
        <v>33644</v>
      </c>
      <c r="E828" t="s">
        <v>54</v>
      </c>
      <c r="F828" t="s">
        <v>9</v>
      </c>
      <c r="G828" t="s">
        <v>33</v>
      </c>
      <c r="H828">
        <v>71</v>
      </c>
      <c r="I828">
        <v>215</v>
      </c>
      <c r="J828">
        <v>2018</v>
      </c>
      <c r="K828" s="4" t="str">
        <f>HYPERLINK("http://legacy.baseballprospectus.com/fantasy/dc/index.php?tm=CHA","CHA")</f>
        <v>CHA</v>
      </c>
      <c r="L828" t="s">
        <v>95</v>
      </c>
      <c r="M828" t="s">
        <v>34</v>
      </c>
      <c r="N828">
        <v>26</v>
      </c>
      <c r="O828">
        <v>125</v>
      </c>
      <c r="P828">
        <v>37</v>
      </c>
      <c r="Q828">
        <v>110</v>
      </c>
      <c r="R828">
        <v>13</v>
      </c>
      <c r="S828">
        <v>21</v>
      </c>
      <c r="T828">
        <v>5</v>
      </c>
      <c r="U828">
        <v>0</v>
      </c>
      <c r="V828">
        <v>2</v>
      </c>
      <c r="W828">
        <v>28</v>
      </c>
      <c r="X828">
        <v>39</v>
      </c>
      <c r="Y828">
        <v>12</v>
      </c>
      <c r="Z828">
        <v>13</v>
      </c>
      <c r="AA828">
        <v>1</v>
      </c>
      <c r="AB828">
        <v>1</v>
      </c>
      <c r="AC828">
        <v>19</v>
      </c>
      <c r="AD828">
        <v>1</v>
      </c>
      <c r="AE828">
        <v>1</v>
      </c>
      <c r="AF828">
        <v>4</v>
      </c>
      <c r="AG828">
        <v>0</v>
      </c>
      <c r="AH828">
        <v>0</v>
      </c>
      <c r="AI828" s="5">
        <v>0.255</v>
      </c>
      <c r="AJ828" s="5">
        <v>0.33600000000000002</v>
      </c>
      <c r="AK828" s="5">
        <v>0.35499999999999998</v>
      </c>
      <c r="AL828" s="5">
        <v>0.24</v>
      </c>
      <c r="AM828" s="5">
        <v>0.28599999999999998</v>
      </c>
      <c r="AN828">
        <v>-0.3</v>
      </c>
      <c r="AO828">
        <v>0.95</v>
      </c>
      <c r="AP828">
        <v>3.36</v>
      </c>
      <c r="AQ828">
        <v>-2.57</v>
      </c>
      <c r="AR828">
        <v>-4.4000000000000004</v>
      </c>
      <c r="AS828" t="s">
        <v>1686</v>
      </c>
      <c r="AT828">
        <v>-0.3</v>
      </c>
      <c r="AU828">
        <v>1.5</v>
      </c>
      <c r="AV828">
        <v>5</v>
      </c>
      <c r="AW828">
        <v>40</v>
      </c>
      <c r="AX828">
        <v>14</v>
      </c>
      <c r="AY828">
        <v>27</v>
      </c>
      <c r="AZ828" t="s">
        <v>4515</v>
      </c>
      <c r="BA828">
        <v>80</v>
      </c>
      <c r="BB828" t="s">
        <v>35</v>
      </c>
      <c r="BC828" t="s">
        <v>36</v>
      </c>
      <c r="BD828" s="4">
        <f>HYPERLINK("http://mlb.mlb.com/team/player.jsp?player_id=553882",553882)</f>
        <v>553882</v>
      </c>
      <c r="BE828">
        <v>364</v>
      </c>
      <c r="BF828">
        <v>1364</v>
      </c>
      <c r="BG828">
        <v>295</v>
      </c>
      <c r="BH828">
        <v>253</v>
      </c>
    </row>
    <row r="829" spans="1:60" x14ac:dyDescent="0.3">
      <c r="A829" s="4">
        <f>HYPERLINK("http://legacy.baseballprospectus.com/p/52285",52285)</f>
        <v>52285</v>
      </c>
      <c r="B829" t="s">
        <v>215</v>
      </c>
      <c r="C829" t="s">
        <v>1368</v>
      </c>
      <c r="D829" s="10">
        <v>31352</v>
      </c>
      <c r="E829" t="s">
        <v>65</v>
      </c>
      <c r="F829" t="s">
        <v>33</v>
      </c>
      <c r="G829" t="s">
        <v>33</v>
      </c>
      <c r="H829">
        <v>74</v>
      </c>
      <c r="I829">
        <v>210</v>
      </c>
      <c r="J829">
        <v>2018</v>
      </c>
      <c r="K829" s="4" t="str">
        <f>HYPERLINK("http://legacy.baseballprospectus.com/fantasy/dc/index.php?tm=KCA","KCA")</f>
        <v>KCA</v>
      </c>
      <c r="L829" t="s">
        <v>95</v>
      </c>
      <c r="M829" t="s">
        <v>34</v>
      </c>
      <c r="N829">
        <v>32</v>
      </c>
      <c r="O829">
        <v>188</v>
      </c>
      <c r="P829">
        <v>57</v>
      </c>
      <c r="Q829">
        <v>177</v>
      </c>
      <c r="R829">
        <v>18</v>
      </c>
      <c r="S829">
        <v>32</v>
      </c>
      <c r="T829">
        <v>9</v>
      </c>
      <c r="U829">
        <v>1</v>
      </c>
      <c r="V829">
        <v>3</v>
      </c>
      <c r="W829">
        <v>45</v>
      </c>
      <c r="X829">
        <v>65</v>
      </c>
      <c r="Y829">
        <v>18</v>
      </c>
      <c r="Z829">
        <v>7</v>
      </c>
      <c r="AA829">
        <v>0</v>
      </c>
      <c r="AB829">
        <v>2</v>
      </c>
      <c r="AC829">
        <v>41</v>
      </c>
      <c r="AD829">
        <v>1</v>
      </c>
      <c r="AE829">
        <v>1</v>
      </c>
      <c r="AF829">
        <v>4</v>
      </c>
      <c r="AG829">
        <v>4</v>
      </c>
      <c r="AH829">
        <v>1</v>
      </c>
      <c r="AI829" s="5">
        <v>0.254</v>
      </c>
      <c r="AJ829" s="5">
        <v>0.28899999999999998</v>
      </c>
      <c r="AK829" s="5">
        <v>0.36699999999999999</v>
      </c>
      <c r="AL829" s="5">
        <v>0.23499999999999999</v>
      </c>
      <c r="AM829" s="5">
        <v>0.318</v>
      </c>
      <c r="AN829">
        <v>0.2</v>
      </c>
      <c r="AO829">
        <v>-0.05</v>
      </c>
      <c r="AP829">
        <v>5.05</v>
      </c>
      <c r="AQ829">
        <v>-4.95</v>
      </c>
      <c r="AR829">
        <v>-3.6</v>
      </c>
      <c r="AS829" t="s">
        <v>1015</v>
      </c>
      <c r="AT829">
        <v>-0.3</v>
      </c>
      <c r="AU829">
        <v>0.3</v>
      </c>
      <c r="AV829">
        <v>0</v>
      </c>
      <c r="AW829">
        <v>39</v>
      </c>
      <c r="AX829">
        <v>16</v>
      </c>
      <c r="AY829">
        <v>30</v>
      </c>
      <c r="AZ829" t="s">
        <v>4717</v>
      </c>
      <c r="BA829">
        <v>84</v>
      </c>
      <c r="BB829" t="s">
        <v>35</v>
      </c>
      <c r="BC829" t="s">
        <v>36</v>
      </c>
      <c r="BD829" s="4">
        <f>HYPERLINK("http://mlb.mlb.com/team/player.jsp?player_id=449181",449181)</f>
        <v>449181</v>
      </c>
      <c r="BE829">
        <v>621</v>
      </c>
      <c r="BF829">
        <v>1621</v>
      </c>
      <c r="BG829">
        <v>90</v>
      </c>
      <c r="BH829">
        <v>86</v>
      </c>
    </row>
    <row r="830" spans="1:60" x14ac:dyDescent="0.3">
      <c r="A830" s="4">
        <f>HYPERLINK("http://legacy.baseballprospectus.com/p/68062",68062)</f>
        <v>68062</v>
      </c>
      <c r="B830" t="s">
        <v>110</v>
      </c>
      <c r="C830" t="s">
        <v>111</v>
      </c>
      <c r="D830" s="10">
        <v>34131</v>
      </c>
      <c r="E830" t="s">
        <v>54</v>
      </c>
      <c r="F830" t="s">
        <v>33</v>
      </c>
      <c r="G830" t="s">
        <v>33</v>
      </c>
      <c r="H830">
        <v>74</v>
      </c>
      <c r="I830">
        <v>225</v>
      </c>
      <c r="J830">
        <v>2018</v>
      </c>
      <c r="K830" s="4" t="str">
        <f>HYPERLINK("http://legacy.baseballprospectus.com/fantasy/dc/index.php?tm=PHI","PHI")</f>
        <v>PHI</v>
      </c>
      <c r="L830" t="s">
        <v>100</v>
      </c>
      <c r="M830" t="s">
        <v>34</v>
      </c>
      <c r="N830">
        <v>25</v>
      </c>
      <c r="O830">
        <v>431</v>
      </c>
      <c r="P830">
        <v>142</v>
      </c>
      <c r="Q830">
        <v>404</v>
      </c>
      <c r="R830">
        <v>45</v>
      </c>
      <c r="S830">
        <v>60</v>
      </c>
      <c r="T830">
        <v>18</v>
      </c>
      <c r="U830">
        <v>2</v>
      </c>
      <c r="V830">
        <v>14</v>
      </c>
      <c r="W830">
        <v>94</v>
      </c>
      <c r="X830">
        <v>158</v>
      </c>
      <c r="Y830">
        <v>50</v>
      </c>
      <c r="Z830">
        <v>17</v>
      </c>
      <c r="AA830">
        <v>2</v>
      </c>
      <c r="AB830">
        <v>8</v>
      </c>
      <c r="AC830">
        <v>141</v>
      </c>
      <c r="AD830">
        <v>1</v>
      </c>
      <c r="AE830">
        <v>2</v>
      </c>
      <c r="AF830">
        <v>12</v>
      </c>
      <c r="AG830">
        <v>0</v>
      </c>
      <c r="AH830">
        <v>0</v>
      </c>
      <c r="AI830" s="5">
        <v>0.23300000000000001</v>
      </c>
      <c r="AJ830" s="5">
        <v>0.27600000000000002</v>
      </c>
      <c r="AK830" s="5">
        <v>0.39100000000000001</v>
      </c>
      <c r="AL830" s="5">
        <v>0.23200000000000001</v>
      </c>
      <c r="AM830" s="5">
        <v>0.317</v>
      </c>
      <c r="AN830">
        <v>-0.8</v>
      </c>
      <c r="AO830">
        <v>2.95</v>
      </c>
      <c r="AP830">
        <v>11.57</v>
      </c>
      <c r="AQ830">
        <v>-12.55</v>
      </c>
      <c r="AR830">
        <v>-4.5999999999999996</v>
      </c>
      <c r="AS830" t="s">
        <v>1687</v>
      </c>
      <c r="AT830">
        <v>-0.3</v>
      </c>
      <c r="AU830">
        <v>1.2</v>
      </c>
      <c r="AV830">
        <v>9</v>
      </c>
      <c r="AW830">
        <v>18</v>
      </c>
      <c r="AX830">
        <v>16</v>
      </c>
      <c r="AY830">
        <v>27</v>
      </c>
      <c r="AZ830" t="s">
        <v>4522</v>
      </c>
      <c r="BA830">
        <v>42</v>
      </c>
      <c r="BB830" t="s">
        <v>35</v>
      </c>
      <c r="BC830" t="s">
        <v>35</v>
      </c>
      <c r="BD830" s="4">
        <f>HYPERLINK("http://mlb.mlb.com/team/player.jsp?player_id=595751",595751)</f>
        <v>595751</v>
      </c>
      <c r="BE830">
        <v>1396</v>
      </c>
      <c r="BF830">
        <v>396</v>
      </c>
      <c r="BG830">
        <v>114</v>
      </c>
      <c r="BH830">
        <v>107</v>
      </c>
    </row>
    <row r="831" spans="1:60" x14ac:dyDescent="0.3">
      <c r="A831" s="4">
        <f>HYPERLINK("http://legacy.baseballprospectus.com/p/49622",49622)</f>
        <v>49622</v>
      </c>
      <c r="B831" t="s">
        <v>1225</v>
      </c>
      <c r="C831" t="s">
        <v>121</v>
      </c>
      <c r="D831" s="10">
        <v>31756</v>
      </c>
      <c r="E831" t="s">
        <v>51</v>
      </c>
      <c r="F831" t="s">
        <v>37</v>
      </c>
      <c r="G831" t="s">
        <v>33</v>
      </c>
      <c r="H831">
        <v>74</v>
      </c>
      <c r="I831">
        <v>185</v>
      </c>
      <c r="J831">
        <v>2018</v>
      </c>
      <c r="K831" s="4" t="str">
        <f>HYPERLINK("http://legacy.baseballprospectus.com/fantasy/dc/index.php?tm=PHI","PHI")</f>
        <v>PHI</v>
      </c>
      <c r="L831" t="s">
        <v>100</v>
      </c>
      <c r="M831" t="s">
        <v>34</v>
      </c>
      <c r="N831">
        <v>31</v>
      </c>
      <c r="O831">
        <v>259</v>
      </c>
      <c r="P831">
        <v>115</v>
      </c>
      <c r="Q831">
        <v>232</v>
      </c>
      <c r="R831">
        <v>28</v>
      </c>
      <c r="S831">
        <v>34</v>
      </c>
      <c r="T831">
        <v>9</v>
      </c>
      <c r="U831">
        <v>2</v>
      </c>
      <c r="V831">
        <v>6</v>
      </c>
      <c r="W831">
        <v>51</v>
      </c>
      <c r="X831">
        <v>82</v>
      </c>
      <c r="Y831">
        <v>25</v>
      </c>
      <c r="Z831">
        <v>21</v>
      </c>
      <c r="AA831">
        <v>1</v>
      </c>
      <c r="AB831">
        <v>1</v>
      </c>
      <c r="AC831">
        <v>78</v>
      </c>
      <c r="AD831">
        <v>2</v>
      </c>
      <c r="AE831">
        <v>2</v>
      </c>
      <c r="AF831">
        <v>6</v>
      </c>
      <c r="AG831">
        <v>5</v>
      </c>
      <c r="AH831">
        <v>2</v>
      </c>
      <c r="AI831" s="5">
        <v>0.22</v>
      </c>
      <c r="AJ831" s="5">
        <v>0.28499999999999998</v>
      </c>
      <c r="AK831" s="5">
        <v>0.35299999999999998</v>
      </c>
      <c r="AL831" s="5">
        <v>0.222</v>
      </c>
      <c r="AM831" s="5">
        <v>0.29399999999999998</v>
      </c>
      <c r="AN831">
        <v>0.3</v>
      </c>
      <c r="AO831">
        <v>0.16</v>
      </c>
      <c r="AP831">
        <v>6.95</v>
      </c>
      <c r="AQ831">
        <v>-10.33</v>
      </c>
      <c r="AR831">
        <v>-0.1</v>
      </c>
      <c r="AS831" t="s">
        <v>3921</v>
      </c>
      <c r="AT831">
        <v>-0.3</v>
      </c>
      <c r="AU831">
        <v>-2.9</v>
      </c>
      <c r="AV831">
        <v>1</v>
      </c>
      <c r="AW831">
        <v>13</v>
      </c>
      <c r="AX831">
        <v>18</v>
      </c>
      <c r="AY831">
        <v>23</v>
      </c>
      <c r="AZ831" t="s">
        <v>4425</v>
      </c>
      <c r="BA831">
        <v>48</v>
      </c>
      <c r="BB831" t="s">
        <v>35</v>
      </c>
      <c r="BC831" t="s">
        <v>36</v>
      </c>
      <c r="BD831" s="4">
        <f>HYPERLINK("http://mlb.mlb.com/team/player.jsp?player_id=465753",465753)</f>
        <v>465753</v>
      </c>
      <c r="BE831">
        <v>0</v>
      </c>
      <c r="BF831">
        <v>0</v>
      </c>
      <c r="BG831">
        <v>49</v>
      </c>
      <c r="BH831">
        <v>46</v>
      </c>
    </row>
    <row r="832" spans="1:60" x14ac:dyDescent="0.3">
      <c r="A832" s="4">
        <f>HYPERLINK("http://legacy.baseballprospectus.com/p/47564",47564)</f>
        <v>47564</v>
      </c>
      <c r="B832" t="s">
        <v>318</v>
      </c>
      <c r="C832" t="s">
        <v>319</v>
      </c>
      <c r="D832" s="10">
        <v>29685</v>
      </c>
      <c r="E832" t="s">
        <v>54</v>
      </c>
      <c r="F832" t="s">
        <v>33</v>
      </c>
      <c r="G832" t="s">
        <v>33</v>
      </c>
      <c r="H832">
        <v>74</v>
      </c>
      <c r="I832">
        <v>225</v>
      </c>
      <c r="J832">
        <v>2018</v>
      </c>
      <c r="K832" s="4" t="str">
        <f>HYPERLINK("http://legacy.baseballprospectus.com/fantasy/dc/index.php?tm=SDN","SDN")</f>
        <v>SDN</v>
      </c>
      <c r="L832" t="s">
        <v>100</v>
      </c>
      <c r="M832" t="s">
        <v>34</v>
      </c>
      <c r="N832">
        <v>37</v>
      </c>
      <c r="O832">
        <v>183</v>
      </c>
      <c r="P832">
        <v>50</v>
      </c>
      <c r="Q832">
        <v>157</v>
      </c>
      <c r="R832">
        <v>19</v>
      </c>
      <c r="S832">
        <v>23</v>
      </c>
      <c r="T832">
        <v>6</v>
      </c>
      <c r="U832">
        <v>0</v>
      </c>
      <c r="V832">
        <v>3</v>
      </c>
      <c r="W832">
        <v>32</v>
      </c>
      <c r="X832">
        <v>47</v>
      </c>
      <c r="Y832">
        <v>16</v>
      </c>
      <c r="Z832">
        <v>21</v>
      </c>
      <c r="AA832">
        <v>1</v>
      </c>
      <c r="AB832">
        <v>2</v>
      </c>
      <c r="AC832">
        <v>34</v>
      </c>
      <c r="AD832">
        <v>2</v>
      </c>
      <c r="AE832">
        <v>1</v>
      </c>
      <c r="AF832">
        <v>6</v>
      </c>
      <c r="AG832">
        <v>1</v>
      </c>
      <c r="AH832">
        <v>0</v>
      </c>
      <c r="AI832" s="5">
        <v>0.20399999999999999</v>
      </c>
      <c r="AJ832" s="5">
        <v>0.30399999999999999</v>
      </c>
      <c r="AK832" s="5">
        <v>0.29899999999999999</v>
      </c>
      <c r="AL832" s="5">
        <v>0.23799999999999999</v>
      </c>
      <c r="AM832" s="5">
        <v>0.246</v>
      </c>
      <c r="AN832">
        <v>-0.3</v>
      </c>
      <c r="AO832">
        <v>1.39</v>
      </c>
      <c r="AP832">
        <v>4.91</v>
      </c>
      <c r="AQ832">
        <v>-4.2699999999999996</v>
      </c>
      <c r="AR832">
        <v>-4.5</v>
      </c>
      <c r="AS832" t="s">
        <v>1687</v>
      </c>
      <c r="AT832">
        <v>-0.3</v>
      </c>
      <c r="AU832">
        <v>1.7</v>
      </c>
      <c r="AV832">
        <v>1</v>
      </c>
      <c r="AW832">
        <v>28</v>
      </c>
      <c r="AX832">
        <v>4</v>
      </c>
      <c r="AY832">
        <v>12</v>
      </c>
      <c r="AZ832" t="s">
        <v>4452</v>
      </c>
      <c r="BA832">
        <v>70</v>
      </c>
      <c r="BB832" t="s">
        <v>35</v>
      </c>
      <c r="BC832" t="s">
        <v>36</v>
      </c>
      <c r="BD832" s="4">
        <f>HYPERLINK("http://mlb.mlb.com/team/player.jsp?player_id=454560",454560)</f>
        <v>454560</v>
      </c>
      <c r="BE832">
        <v>0</v>
      </c>
      <c r="BF832">
        <v>0</v>
      </c>
      <c r="BG832">
        <v>163</v>
      </c>
      <c r="BH832">
        <v>143</v>
      </c>
    </row>
    <row r="833" spans="1:60" x14ac:dyDescent="0.3">
      <c r="A833" s="4">
        <f>HYPERLINK("http://legacy.baseballprospectus.com/p/47690",47690)</f>
        <v>47690</v>
      </c>
      <c r="B833" t="s">
        <v>433</v>
      </c>
      <c r="C833" t="s">
        <v>108</v>
      </c>
      <c r="D833" s="10">
        <v>30567</v>
      </c>
      <c r="E833" t="s">
        <v>54</v>
      </c>
      <c r="F833" t="s">
        <v>33</v>
      </c>
      <c r="G833" t="s">
        <v>33</v>
      </c>
      <c r="H833">
        <v>73</v>
      </c>
      <c r="I833">
        <v>205</v>
      </c>
      <c r="J833">
        <v>2018</v>
      </c>
      <c r="K833" s="4" t="str">
        <f>HYPERLINK("http://legacy.baseballprospectus.com/fantasy/dc/index.php?tm=SFN","SFN")</f>
        <v>SFN</v>
      </c>
      <c r="L833" t="s">
        <v>100</v>
      </c>
      <c r="M833" t="s">
        <v>34</v>
      </c>
      <c r="N833">
        <v>34</v>
      </c>
      <c r="O833">
        <v>125</v>
      </c>
      <c r="P833">
        <v>34</v>
      </c>
      <c r="Q833">
        <v>117</v>
      </c>
      <c r="R833">
        <v>12</v>
      </c>
      <c r="S833">
        <v>18</v>
      </c>
      <c r="T833">
        <v>6</v>
      </c>
      <c r="U833">
        <v>0</v>
      </c>
      <c r="V833">
        <v>3</v>
      </c>
      <c r="W833">
        <v>27</v>
      </c>
      <c r="X833">
        <v>42</v>
      </c>
      <c r="Y833">
        <v>13</v>
      </c>
      <c r="Z833">
        <v>7</v>
      </c>
      <c r="AA833">
        <v>1</v>
      </c>
      <c r="AB833">
        <v>1</v>
      </c>
      <c r="AC833">
        <v>30</v>
      </c>
      <c r="AD833">
        <v>0</v>
      </c>
      <c r="AE833">
        <v>1</v>
      </c>
      <c r="AF833">
        <v>3</v>
      </c>
      <c r="AG833">
        <v>1</v>
      </c>
      <c r="AH833">
        <v>0</v>
      </c>
      <c r="AI833" s="5">
        <v>0.23100000000000001</v>
      </c>
      <c r="AJ833" s="5">
        <v>0.27800000000000002</v>
      </c>
      <c r="AK833" s="5">
        <v>0.35899999999999999</v>
      </c>
      <c r="AL833" s="5">
        <v>0.23599999999999999</v>
      </c>
      <c r="AM833" s="5">
        <v>0.29499999999999998</v>
      </c>
      <c r="AN833">
        <v>-0.3</v>
      </c>
      <c r="AO833">
        <v>0.95</v>
      </c>
      <c r="AP833">
        <v>3.36</v>
      </c>
      <c r="AQ833">
        <v>-3.1</v>
      </c>
      <c r="AR833">
        <v>-4</v>
      </c>
      <c r="AS833" t="s">
        <v>1686</v>
      </c>
      <c r="AT833">
        <v>-0.3</v>
      </c>
      <c r="AU833">
        <v>1</v>
      </c>
      <c r="AV833">
        <v>3</v>
      </c>
      <c r="AW833">
        <v>28</v>
      </c>
      <c r="AX833">
        <v>16</v>
      </c>
      <c r="AY833">
        <v>21</v>
      </c>
      <c r="AZ833" t="s">
        <v>4433</v>
      </c>
      <c r="BA833">
        <v>83</v>
      </c>
      <c r="BB833" t="s">
        <v>35</v>
      </c>
      <c r="BC833" t="s">
        <v>36</v>
      </c>
      <c r="BD833" s="4">
        <f>HYPERLINK("http://mlb.mlb.com/team/player.jsp?player_id=460026",460026)</f>
        <v>460026</v>
      </c>
      <c r="BE833">
        <v>1385</v>
      </c>
      <c r="BF833">
        <v>385</v>
      </c>
      <c r="BG833">
        <v>303</v>
      </c>
      <c r="BH833">
        <v>287</v>
      </c>
    </row>
    <row r="834" spans="1:60" x14ac:dyDescent="0.3">
      <c r="A834" s="4">
        <f>HYPERLINK("http://legacy.baseballprospectus.com/p/69306",69306)</f>
        <v>69306</v>
      </c>
      <c r="B834" t="s">
        <v>1860</v>
      </c>
      <c r="C834" t="s">
        <v>1861</v>
      </c>
      <c r="D834" s="10">
        <v>34271</v>
      </c>
      <c r="E834" t="s">
        <v>54</v>
      </c>
      <c r="F834" t="s">
        <v>33</v>
      </c>
      <c r="G834" t="s">
        <v>33</v>
      </c>
      <c r="H834">
        <v>72</v>
      </c>
      <c r="I834">
        <v>170</v>
      </c>
      <c r="J834">
        <v>2018</v>
      </c>
      <c r="K834" s="4" t="str">
        <f>HYPERLINK("http://legacy.baseballprospectus.com/fantasy/dc/index.php?tm=WAS","WAS")</f>
        <v>WAS</v>
      </c>
      <c r="L834" t="s">
        <v>100</v>
      </c>
      <c r="M834" t="s">
        <v>34</v>
      </c>
      <c r="N834">
        <v>24</v>
      </c>
      <c r="O834">
        <v>31</v>
      </c>
      <c r="P834">
        <v>10</v>
      </c>
      <c r="Q834">
        <v>29</v>
      </c>
      <c r="R834">
        <v>3</v>
      </c>
      <c r="S834">
        <v>4</v>
      </c>
      <c r="T834">
        <v>2</v>
      </c>
      <c r="U834">
        <v>0</v>
      </c>
      <c r="V834">
        <v>1</v>
      </c>
      <c r="W834">
        <v>7</v>
      </c>
      <c r="X834">
        <v>12</v>
      </c>
      <c r="Y834">
        <v>4</v>
      </c>
      <c r="Z834">
        <v>2</v>
      </c>
      <c r="AA834">
        <v>0</v>
      </c>
      <c r="AB834">
        <v>0</v>
      </c>
      <c r="AC834">
        <v>7</v>
      </c>
      <c r="AD834">
        <v>0</v>
      </c>
      <c r="AE834">
        <v>0</v>
      </c>
      <c r="AF834">
        <v>1</v>
      </c>
      <c r="AG834">
        <v>0</v>
      </c>
      <c r="AH834">
        <v>0</v>
      </c>
      <c r="AI834" s="5">
        <v>0.24099999999999999</v>
      </c>
      <c r="AJ834" s="5">
        <v>0.28999999999999998</v>
      </c>
      <c r="AK834" s="5">
        <v>0.41399999999999998</v>
      </c>
      <c r="AL834" s="5">
        <v>0.23599999999999999</v>
      </c>
      <c r="AM834" s="5">
        <v>0.28100000000000003</v>
      </c>
      <c r="AN834">
        <v>-0.1</v>
      </c>
      <c r="AO834">
        <v>0.24</v>
      </c>
      <c r="AP834">
        <v>0.83</v>
      </c>
      <c r="AQ834">
        <v>-0.77</v>
      </c>
      <c r="AR834">
        <v>-3.1</v>
      </c>
      <c r="AS834" t="s">
        <v>1746</v>
      </c>
      <c r="AT834">
        <v>-0.3</v>
      </c>
      <c r="AU834">
        <v>0.2</v>
      </c>
      <c r="AV834">
        <v>10</v>
      </c>
      <c r="AW834">
        <v>25</v>
      </c>
      <c r="AX834">
        <v>5</v>
      </c>
      <c r="AY834">
        <v>24</v>
      </c>
      <c r="AZ834" t="s">
        <v>4569</v>
      </c>
      <c r="BA834">
        <v>37</v>
      </c>
      <c r="BB834" t="s">
        <v>35</v>
      </c>
      <c r="BC834" t="s">
        <v>35</v>
      </c>
      <c r="BD834" s="4">
        <f>HYPERLINK("http://mlb.mlb.com/team/player.jsp?player_id=600466",600466)</f>
        <v>600466</v>
      </c>
      <c r="BE834">
        <v>1406</v>
      </c>
      <c r="BF834">
        <v>406</v>
      </c>
      <c r="BG834">
        <v>11</v>
      </c>
      <c r="BH834">
        <v>11</v>
      </c>
    </row>
    <row r="835" spans="1:60" x14ac:dyDescent="0.3">
      <c r="A835" s="4">
        <f>HYPERLINK("http://legacy.baseballprospectus.com/p/102771",102771)</f>
        <v>102771</v>
      </c>
      <c r="B835" t="s">
        <v>673</v>
      </c>
      <c r="C835" t="s">
        <v>1391</v>
      </c>
      <c r="D835" s="10">
        <v>33599</v>
      </c>
      <c r="E835" t="s">
        <v>54</v>
      </c>
      <c r="F835" t="s">
        <v>33</v>
      </c>
      <c r="G835" t="s">
        <v>33</v>
      </c>
      <c r="H835">
        <v>74</v>
      </c>
      <c r="I835">
        <v>220</v>
      </c>
      <c r="J835">
        <v>2018</v>
      </c>
      <c r="K835" s="4" t="str">
        <f>HYPERLINK("http://legacy.baseballprospectus.com/fantasy/dc/index.php?tm=CIN","CIN")</f>
        <v>CIN</v>
      </c>
      <c r="L835" t="s">
        <v>100</v>
      </c>
      <c r="M835" t="s">
        <v>34</v>
      </c>
      <c r="N835">
        <v>26</v>
      </c>
      <c r="O835">
        <v>65</v>
      </c>
      <c r="P835">
        <v>20</v>
      </c>
      <c r="Q835">
        <v>58</v>
      </c>
      <c r="R835">
        <v>7</v>
      </c>
      <c r="S835">
        <v>8</v>
      </c>
      <c r="T835">
        <v>3</v>
      </c>
      <c r="U835">
        <v>0</v>
      </c>
      <c r="V835">
        <v>2</v>
      </c>
      <c r="W835">
        <v>13</v>
      </c>
      <c r="X835">
        <v>22</v>
      </c>
      <c r="Y835">
        <v>7</v>
      </c>
      <c r="Z835">
        <v>5</v>
      </c>
      <c r="AA835">
        <v>0</v>
      </c>
      <c r="AB835">
        <v>1</v>
      </c>
      <c r="AC835">
        <v>16</v>
      </c>
      <c r="AD835">
        <v>0</v>
      </c>
      <c r="AE835">
        <v>0</v>
      </c>
      <c r="AF835">
        <v>2</v>
      </c>
      <c r="AG835">
        <v>0</v>
      </c>
      <c r="AH835">
        <v>0</v>
      </c>
      <c r="AI835" s="5">
        <v>0.224</v>
      </c>
      <c r="AJ835" s="5">
        <v>0.29699999999999999</v>
      </c>
      <c r="AK835" s="5">
        <v>0.379</v>
      </c>
      <c r="AL835" s="5">
        <v>0.221</v>
      </c>
      <c r="AM835" s="5">
        <v>0.26100000000000001</v>
      </c>
      <c r="AN835">
        <v>-0.1</v>
      </c>
      <c r="AO835">
        <v>0.5</v>
      </c>
      <c r="AP835">
        <v>1.75</v>
      </c>
      <c r="AQ835">
        <v>-2.66</v>
      </c>
      <c r="AR835">
        <v>-2.7</v>
      </c>
      <c r="AS835" t="s">
        <v>1746</v>
      </c>
      <c r="AT835">
        <v>-0.3</v>
      </c>
      <c r="AU835">
        <v>-0.6</v>
      </c>
      <c r="AV835">
        <v>2</v>
      </c>
      <c r="AW835">
        <v>18</v>
      </c>
      <c r="AX835">
        <v>13</v>
      </c>
      <c r="AY835">
        <v>19</v>
      </c>
      <c r="AZ835" t="s">
        <v>4570</v>
      </c>
      <c r="BA835">
        <v>49</v>
      </c>
      <c r="BB835" t="s">
        <v>35</v>
      </c>
      <c r="BC835" t="s">
        <v>35</v>
      </c>
      <c r="BD835" s="4">
        <f>HYPERLINK("http://mlb.mlb.com/team/player.jsp?player_id=642156",642156)</f>
        <v>642156</v>
      </c>
      <c r="BE835">
        <v>1398</v>
      </c>
      <c r="BF835">
        <v>398</v>
      </c>
      <c r="BG835">
        <v>89</v>
      </c>
      <c r="BH835">
        <v>82</v>
      </c>
    </row>
    <row r="836" spans="1:60" x14ac:dyDescent="0.3">
      <c r="A836" s="4">
        <f>HYPERLINK("http://legacy.baseballprospectus.com/p/31447",31447)</f>
        <v>31447</v>
      </c>
      <c r="B836" t="s">
        <v>480</v>
      </c>
      <c r="C836" t="s">
        <v>149</v>
      </c>
      <c r="D836" s="10">
        <v>30809</v>
      </c>
      <c r="E836" t="s">
        <v>50</v>
      </c>
      <c r="F836" t="s">
        <v>9</v>
      </c>
      <c r="G836" t="s">
        <v>9</v>
      </c>
      <c r="H836">
        <v>75</v>
      </c>
      <c r="I836">
        <v>235</v>
      </c>
      <c r="J836">
        <v>2018</v>
      </c>
      <c r="K836" s="4" t="str">
        <f>HYPERLINK("http://legacy.baseballprospectus.com/fantasy/dc/index.php?tm=ATL","ATL")</f>
        <v>ATL</v>
      </c>
      <c r="L836" t="s">
        <v>100</v>
      </c>
      <c r="M836" t="s">
        <v>34</v>
      </c>
      <c r="N836">
        <v>34</v>
      </c>
      <c r="O836">
        <v>250</v>
      </c>
      <c r="P836" t="s">
        <v>1680</v>
      </c>
      <c r="Q836">
        <v>230</v>
      </c>
      <c r="R836">
        <v>25</v>
      </c>
      <c r="S836">
        <v>48</v>
      </c>
      <c r="T836">
        <v>12</v>
      </c>
      <c r="U836">
        <v>0</v>
      </c>
      <c r="V836">
        <v>5</v>
      </c>
      <c r="W836">
        <v>65</v>
      </c>
      <c r="X836">
        <v>92</v>
      </c>
      <c r="Y836">
        <v>27</v>
      </c>
      <c r="Z836">
        <v>16</v>
      </c>
      <c r="AA836">
        <v>2</v>
      </c>
      <c r="AB836">
        <v>1</v>
      </c>
      <c r="AC836">
        <v>31</v>
      </c>
      <c r="AD836">
        <v>0</v>
      </c>
      <c r="AE836">
        <v>1</v>
      </c>
      <c r="AF836">
        <v>8</v>
      </c>
      <c r="AG836">
        <v>1</v>
      </c>
      <c r="AH836">
        <v>1</v>
      </c>
      <c r="AI836" s="5">
        <v>0.28100000000000003</v>
      </c>
      <c r="AJ836" s="5">
        <v>0.33200000000000002</v>
      </c>
      <c r="AK836" s="5">
        <v>0.39400000000000002</v>
      </c>
      <c r="AL836" s="5">
        <v>0.24399999999999999</v>
      </c>
      <c r="AM836" s="5">
        <v>0.30599999999999999</v>
      </c>
      <c r="AN836">
        <v>-1.3</v>
      </c>
      <c r="AO836">
        <v>-2.19</v>
      </c>
      <c r="AP836">
        <v>7</v>
      </c>
      <c r="AQ836">
        <v>-4.25</v>
      </c>
      <c r="AR836">
        <v>-1.9</v>
      </c>
      <c r="AS836" t="s">
        <v>1023</v>
      </c>
      <c r="AT836">
        <v>-0.3</v>
      </c>
      <c r="AU836">
        <v>-0.8</v>
      </c>
      <c r="AV836">
        <v>0</v>
      </c>
      <c r="AW836">
        <v>29</v>
      </c>
      <c r="AX836">
        <v>11</v>
      </c>
      <c r="AY836">
        <v>19</v>
      </c>
      <c r="AZ836" t="s">
        <v>4574</v>
      </c>
      <c r="BA836">
        <v>77</v>
      </c>
      <c r="BB836" t="s">
        <v>36</v>
      </c>
      <c r="BC836" t="s">
        <v>36</v>
      </c>
      <c r="BD836" s="4">
        <f>HYPERLINK("http://mlb.mlb.com/team/player.jsp?player_id=425766",425766)</f>
        <v>425766</v>
      </c>
      <c r="BE836">
        <v>0</v>
      </c>
      <c r="BF836">
        <v>0</v>
      </c>
      <c r="BG836">
        <v>0</v>
      </c>
      <c r="BH836">
        <v>0</v>
      </c>
    </row>
    <row r="837" spans="1:60" x14ac:dyDescent="0.3">
      <c r="A837" s="4">
        <f>HYPERLINK("http://legacy.baseballprospectus.com/p/45394",45394)</f>
        <v>45394</v>
      </c>
      <c r="B837" t="s">
        <v>193</v>
      </c>
      <c r="C837" t="s">
        <v>181</v>
      </c>
      <c r="D837" s="10">
        <v>30312</v>
      </c>
      <c r="E837" t="s">
        <v>65</v>
      </c>
      <c r="F837" t="s">
        <v>9</v>
      </c>
      <c r="G837" t="s">
        <v>33</v>
      </c>
      <c r="H837">
        <v>71</v>
      </c>
      <c r="I837">
        <v>190</v>
      </c>
      <c r="J837">
        <v>2018</v>
      </c>
      <c r="K837" s="4" t="str">
        <f>HYPERLINK("http://legacy.baseballprospectus.com/fantasy/dc/index.php?tm=ANA","ANA")</f>
        <v>ANA</v>
      </c>
      <c r="L837" t="s">
        <v>95</v>
      </c>
      <c r="M837" t="s">
        <v>34</v>
      </c>
      <c r="N837">
        <v>35</v>
      </c>
      <c r="O837">
        <v>250</v>
      </c>
      <c r="P837" t="s">
        <v>1680</v>
      </c>
      <c r="Q837">
        <v>225</v>
      </c>
      <c r="R837">
        <v>29</v>
      </c>
      <c r="S837">
        <v>40</v>
      </c>
      <c r="T837">
        <v>8</v>
      </c>
      <c r="U837">
        <v>2</v>
      </c>
      <c r="V837">
        <v>3</v>
      </c>
      <c r="W837">
        <v>53</v>
      </c>
      <c r="X837">
        <v>74</v>
      </c>
      <c r="Y837">
        <v>18</v>
      </c>
      <c r="Z837">
        <v>19</v>
      </c>
      <c r="AA837">
        <v>0</v>
      </c>
      <c r="AB837">
        <v>1</v>
      </c>
      <c r="AC837">
        <v>58</v>
      </c>
      <c r="AD837">
        <v>3</v>
      </c>
      <c r="AE837">
        <v>1</v>
      </c>
      <c r="AF837">
        <v>5</v>
      </c>
      <c r="AG837">
        <v>8</v>
      </c>
      <c r="AH837">
        <v>3</v>
      </c>
      <c r="AI837" s="5">
        <v>0.23599999999999999</v>
      </c>
      <c r="AJ837" s="5">
        <v>0.29799999999999999</v>
      </c>
      <c r="AK837" s="5">
        <v>0.32900000000000001</v>
      </c>
      <c r="AL837" s="5">
        <v>0.216</v>
      </c>
      <c r="AM837" s="5">
        <v>0.29699999999999999</v>
      </c>
      <c r="AN837">
        <v>0.3</v>
      </c>
      <c r="AO837">
        <v>1.94</v>
      </c>
      <c r="AP837">
        <v>7</v>
      </c>
      <c r="AQ837">
        <v>-11.61</v>
      </c>
      <c r="AR837">
        <v>-0.2</v>
      </c>
      <c r="AS837" t="s">
        <v>1699</v>
      </c>
      <c r="AT837">
        <v>-0.3</v>
      </c>
      <c r="AU837">
        <v>-2.2999999999999998</v>
      </c>
      <c r="AV837">
        <v>1</v>
      </c>
      <c r="AW837">
        <v>25</v>
      </c>
      <c r="AX837">
        <v>10</v>
      </c>
      <c r="AY837">
        <v>33</v>
      </c>
      <c r="AZ837" t="s">
        <v>4575</v>
      </c>
      <c r="BA837">
        <v>75</v>
      </c>
      <c r="BB837" t="s">
        <v>36</v>
      </c>
      <c r="BC837" t="s">
        <v>36</v>
      </c>
      <c r="BD837" s="4">
        <f>HYPERLINK("http://mlb.mlb.com/team/player.jsp?player_id=456422",456422)</f>
        <v>456422</v>
      </c>
      <c r="BE837">
        <v>0</v>
      </c>
      <c r="BF837">
        <v>0</v>
      </c>
      <c r="BG837">
        <v>0</v>
      </c>
      <c r="BH837">
        <v>0</v>
      </c>
    </row>
    <row r="838" spans="1:60" x14ac:dyDescent="0.3">
      <c r="A838" s="4">
        <f>HYPERLINK("http://legacy.baseballprospectus.com/p/51242",51242)</f>
        <v>51242</v>
      </c>
      <c r="B838" t="s">
        <v>500</v>
      </c>
      <c r="C838" t="s">
        <v>181</v>
      </c>
      <c r="D838" s="10">
        <v>30210</v>
      </c>
      <c r="E838" t="s">
        <v>58</v>
      </c>
      <c r="F838" t="s">
        <v>37</v>
      </c>
      <c r="G838" t="s">
        <v>33</v>
      </c>
      <c r="H838">
        <v>69</v>
      </c>
      <c r="I838">
        <v>180</v>
      </c>
      <c r="J838">
        <v>2018</v>
      </c>
      <c r="K838" s="4" t="str">
        <f>HYPERLINK("http://legacy.baseballprospectus.com/fantasy/dc/index.php?tm=CLE","CLE")</f>
        <v>CLE</v>
      </c>
      <c r="L838" t="s">
        <v>95</v>
      </c>
      <c r="M838" t="s">
        <v>34</v>
      </c>
      <c r="N838">
        <v>35</v>
      </c>
      <c r="O838">
        <v>250</v>
      </c>
      <c r="P838" t="s">
        <v>1680</v>
      </c>
      <c r="Q838">
        <v>229</v>
      </c>
      <c r="R838">
        <v>26</v>
      </c>
      <c r="S838">
        <v>38</v>
      </c>
      <c r="T838">
        <v>11</v>
      </c>
      <c r="U838">
        <v>2</v>
      </c>
      <c r="V838">
        <v>3</v>
      </c>
      <c r="W838">
        <v>54</v>
      </c>
      <c r="X838">
        <v>78</v>
      </c>
      <c r="Y838">
        <v>20</v>
      </c>
      <c r="Z838">
        <v>16</v>
      </c>
      <c r="AA838">
        <v>1</v>
      </c>
      <c r="AB838">
        <v>1</v>
      </c>
      <c r="AC838">
        <v>55</v>
      </c>
      <c r="AD838">
        <v>3</v>
      </c>
      <c r="AE838">
        <v>1</v>
      </c>
      <c r="AF838">
        <v>6</v>
      </c>
      <c r="AG838">
        <v>3</v>
      </c>
      <c r="AH838">
        <v>2</v>
      </c>
      <c r="AI838" s="5">
        <v>0.23899999999999999</v>
      </c>
      <c r="AJ838" s="5">
        <v>0.28899999999999998</v>
      </c>
      <c r="AK838" s="5">
        <v>0.34899999999999998</v>
      </c>
      <c r="AL838" s="5">
        <v>0.21199999999999999</v>
      </c>
      <c r="AM838" s="5">
        <v>0.29299999999999998</v>
      </c>
      <c r="AN838">
        <v>-0.3</v>
      </c>
      <c r="AO838">
        <v>3.12</v>
      </c>
      <c r="AP838">
        <v>7</v>
      </c>
      <c r="AQ838">
        <v>-12.49</v>
      </c>
      <c r="AR838">
        <v>-0.4</v>
      </c>
      <c r="AS838" t="s">
        <v>4580</v>
      </c>
      <c r="AT838">
        <v>-0.3</v>
      </c>
      <c r="AU838">
        <v>-2.7</v>
      </c>
      <c r="AV838">
        <v>2</v>
      </c>
      <c r="AW838">
        <v>18</v>
      </c>
      <c r="AX838">
        <v>11</v>
      </c>
      <c r="AY838">
        <v>28</v>
      </c>
      <c r="AZ838" t="s">
        <v>4581</v>
      </c>
      <c r="BA838">
        <v>53</v>
      </c>
      <c r="BB838" t="s">
        <v>36</v>
      </c>
      <c r="BC838" t="s">
        <v>36</v>
      </c>
      <c r="BD838" s="4">
        <f>HYPERLINK("http://mlb.mlb.com/team/player.jsp?player_id=492841",492841)</f>
        <v>492841</v>
      </c>
      <c r="BE838">
        <v>0</v>
      </c>
      <c r="BF838">
        <v>0</v>
      </c>
      <c r="BG838">
        <v>43</v>
      </c>
      <c r="BH838">
        <v>37</v>
      </c>
    </row>
    <row r="839" spans="1:60" x14ac:dyDescent="0.3">
      <c r="A839" s="4">
        <f>HYPERLINK("http://legacy.baseballprospectus.com/p/60002",60002)</f>
        <v>60002</v>
      </c>
      <c r="B839" t="s">
        <v>835</v>
      </c>
      <c r="C839" t="s">
        <v>234</v>
      </c>
      <c r="D839" s="10">
        <v>32105</v>
      </c>
      <c r="E839" t="s">
        <v>54</v>
      </c>
      <c r="F839" t="s">
        <v>9</v>
      </c>
      <c r="G839" t="s">
        <v>33</v>
      </c>
      <c r="H839">
        <v>72</v>
      </c>
      <c r="I839">
        <v>200</v>
      </c>
      <c r="J839">
        <v>2018</v>
      </c>
      <c r="K839" s="4" t="str">
        <f>HYPERLINK("http://legacy.baseballprospectus.com/fantasy/dc/index.php?tm=ARI","ARI")</f>
        <v>ARI</v>
      </c>
      <c r="L839" t="s">
        <v>100</v>
      </c>
      <c r="M839" t="s">
        <v>34</v>
      </c>
      <c r="N839">
        <v>30</v>
      </c>
      <c r="O839">
        <v>133</v>
      </c>
      <c r="P839" t="s">
        <v>1680</v>
      </c>
      <c r="Q839">
        <v>118</v>
      </c>
      <c r="R839">
        <v>14</v>
      </c>
      <c r="S839">
        <v>16</v>
      </c>
      <c r="T839">
        <v>6</v>
      </c>
      <c r="U839">
        <v>1</v>
      </c>
      <c r="V839">
        <v>3</v>
      </c>
      <c r="W839">
        <v>26</v>
      </c>
      <c r="X839">
        <v>43</v>
      </c>
      <c r="Y839">
        <v>13</v>
      </c>
      <c r="Z839">
        <v>12</v>
      </c>
      <c r="AA839">
        <v>1</v>
      </c>
      <c r="AB839">
        <v>1</v>
      </c>
      <c r="AC839">
        <v>36</v>
      </c>
      <c r="AD839">
        <v>1</v>
      </c>
      <c r="AE839">
        <v>1</v>
      </c>
      <c r="AF839">
        <v>3</v>
      </c>
      <c r="AG839">
        <v>2</v>
      </c>
      <c r="AH839">
        <v>0</v>
      </c>
      <c r="AI839" s="5">
        <v>0.218</v>
      </c>
      <c r="AJ839" s="5">
        <v>0.29499999999999998</v>
      </c>
      <c r="AK839" s="5">
        <v>0.36399999999999999</v>
      </c>
      <c r="AL839" s="5">
        <v>0.224</v>
      </c>
      <c r="AM839" s="5">
        <v>0.28000000000000003</v>
      </c>
      <c r="AN839">
        <v>0.6</v>
      </c>
      <c r="AO839">
        <v>2.1</v>
      </c>
      <c r="AP839">
        <v>3.72</v>
      </c>
      <c r="AQ839">
        <v>-5.05</v>
      </c>
      <c r="AR839">
        <v>-3.6</v>
      </c>
      <c r="AS839" t="s">
        <v>5037</v>
      </c>
      <c r="AT839">
        <v>-0.3</v>
      </c>
      <c r="AU839">
        <v>1.3</v>
      </c>
      <c r="AV839">
        <v>3</v>
      </c>
      <c r="AW839">
        <v>26</v>
      </c>
      <c r="AX839">
        <v>9</v>
      </c>
      <c r="AY839">
        <v>25</v>
      </c>
      <c r="AZ839" t="s">
        <v>4640</v>
      </c>
      <c r="BA839">
        <v>74</v>
      </c>
      <c r="BB839" t="s">
        <v>36</v>
      </c>
      <c r="BC839" t="s">
        <v>36</v>
      </c>
      <c r="BD839" s="4">
        <f>HYPERLINK("http://mlb.mlb.com/team/player.jsp?player_id=543302",543302)</f>
        <v>543302</v>
      </c>
      <c r="BE839">
        <v>1388</v>
      </c>
      <c r="BF839">
        <v>388</v>
      </c>
      <c r="BG839">
        <v>256</v>
      </c>
      <c r="BH839">
        <v>226</v>
      </c>
    </row>
    <row r="840" spans="1:60" x14ac:dyDescent="0.3">
      <c r="A840" s="4">
        <f>HYPERLINK("http://legacy.baseballprospectus.com/p/65953",65953)</f>
        <v>65953</v>
      </c>
      <c r="B840" t="s">
        <v>4538</v>
      </c>
      <c r="C840" t="s">
        <v>446</v>
      </c>
      <c r="D840" s="10">
        <v>32703</v>
      </c>
      <c r="E840" t="s">
        <v>54</v>
      </c>
      <c r="F840" t="s">
        <v>9</v>
      </c>
      <c r="G840" t="s">
        <v>33</v>
      </c>
      <c r="H840">
        <v>73</v>
      </c>
      <c r="I840">
        <v>195</v>
      </c>
      <c r="J840">
        <v>2018</v>
      </c>
      <c r="K840" s="4" t="str">
        <f>HYPERLINK("http://legacy.baseballprospectus.com/fantasy/dc/index.php?tm=ATL","ATL")</f>
        <v>ATL</v>
      </c>
      <c r="L840" t="s">
        <v>95</v>
      </c>
      <c r="M840" t="s">
        <v>34</v>
      </c>
      <c r="N840">
        <v>28</v>
      </c>
      <c r="O840">
        <v>250</v>
      </c>
      <c r="P840" t="s">
        <v>1680</v>
      </c>
      <c r="Q840">
        <v>231</v>
      </c>
      <c r="R840">
        <v>27</v>
      </c>
      <c r="S840">
        <v>36</v>
      </c>
      <c r="T840">
        <v>10</v>
      </c>
      <c r="U840">
        <v>1</v>
      </c>
      <c r="V840">
        <v>10</v>
      </c>
      <c r="W840">
        <v>57</v>
      </c>
      <c r="X840">
        <v>99</v>
      </c>
      <c r="Y840">
        <v>33</v>
      </c>
      <c r="Z840">
        <v>13</v>
      </c>
      <c r="AA840">
        <v>1</v>
      </c>
      <c r="AB840">
        <v>4</v>
      </c>
      <c r="AC840">
        <v>51</v>
      </c>
      <c r="AD840">
        <v>1</v>
      </c>
      <c r="AE840">
        <v>2</v>
      </c>
      <c r="AF840">
        <v>7</v>
      </c>
      <c r="AG840">
        <v>1</v>
      </c>
      <c r="AH840">
        <v>0</v>
      </c>
      <c r="AI840" s="5">
        <v>0.245</v>
      </c>
      <c r="AJ840" s="5">
        <v>0.29399999999999998</v>
      </c>
      <c r="AK840" s="5">
        <v>0.42099999999999999</v>
      </c>
      <c r="AL840" s="5">
        <v>0.23599999999999999</v>
      </c>
      <c r="AM840" s="5">
        <v>0.27100000000000002</v>
      </c>
      <c r="AN840">
        <v>-0.4</v>
      </c>
      <c r="AO840">
        <v>5.17</v>
      </c>
      <c r="AP840">
        <v>7</v>
      </c>
      <c r="AQ840">
        <v>-6.43</v>
      </c>
      <c r="AR840">
        <v>-7.9</v>
      </c>
      <c r="AS840" t="s">
        <v>2009</v>
      </c>
      <c r="AT840">
        <v>-0.3</v>
      </c>
      <c r="AU840">
        <v>5.3</v>
      </c>
      <c r="AV840">
        <v>5</v>
      </c>
      <c r="AW840">
        <v>25</v>
      </c>
      <c r="AX840">
        <v>15</v>
      </c>
      <c r="AY840">
        <v>34</v>
      </c>
      <c r="AZ840" t="s">
        <v>4539</v>
      </c>
      <c r="BA840">
        <v>72</v>
      </c>
      <c r="BB840" t="s">
        <v>36</v>
      </c>
      <c r="BC840" t="s">
        <v>36</v>
      </c>
      <c r="BD840" s="4">
        <f>HYPERLINK("http://mlb.mlb.com/team/player.jsp?player_id=542963",542963)</f>
        <v>542963</v>
      </c>
      <c r="BE840">
        <v>0</v>
      </c>
      <c r="BF840">
        <v>0</v>
      </c>
      <c r="BG840">
        <v>36</v>
      </c>
      <c r="BH840">
        <v>31</v>
      </c>
    </row>
    <row r="841" spans="1:60" x14ac:dyDescent="0.3">
      <c r="A841" s="4">
        <f>HYPERLINK("http://legacy.baseballprospectus.com/p/67016",67016)</f>
        <v>67016</v>
      </c>
      <c r="B841" t="s">
        <v>1089</v>
      </c>
      <c r="C841" t="s">
        <v>126</v>
      </c>
      <c r="D841" s="10">
        <v>32100</v>
      </c>
      <c r="E841" t="s">
        <v>54</v>
      </c>
      <c r="F841" t="s">
        <v>33</v>
      </c>
      <c r="G841" t="s">
        <v>33</v>
      </c>
      <c r="H841">
        <v>72</v>
      </c>
      <c r="I841">
        <v>205</v>
      </c>
      <c r="J841">
        <v>2018</v>
      </c>
      <c r="K841" s="4" t="str">
        <f>HYPERLINK("http://legacy.baseballprospectus.com/fantasy/dc/index.php?tm=MIA","MIA")</f>
        <v>MIA</v>
      </c>
      <c r="L841" t="s">
        <v>95</v>
      </c>
      <c r="M841" t="s">
        <v>34</v>
      </c>
      <c r="N841">
        <v>30</v>
      </c>
      <c r="O841">
        <v>250</v>
      </c>
      <c r="P841" t="s">
        <v>1680</v>
      </c>
      <c r="Q841">
        <v>227</v>
      </c>
      <c r="R841">
        <v>26</v>
      </c>
      <c r="S841">
        <v>37</v>
      </c>
      <c r="T841">
        <v>12</v>
      </c>
      <c r="U841">
        <v>1</v>
      </c>
      <c r="V841">
        <v>7</v>
      </c>
      <c r="W841">
        <v>57</v>
      </c>
      <c r="X841">
        <v>92</v>
      </c>
      <c r="Y841">
        <v>28</v>
      </c>
      <c r="Z841">
        <v>14</v>
      </c>
      <c r="AA841">
        <v>0</v>
      </c>
      <c r="AB841">
        <v>4</v>
      </c>
      <c r="AC841">
        <v>50</v>
      </c>
      <c r="AD841">
        <v>3</v>
      </c>
      <c r="AE841">
        <v>2</v>
      </c>
      <c r="AF841">
        <v>6</v>
      </c>
      <c r="AG841">
        <v>1</v>
      </c>
      <c r="AH841">
        <v>1</v>
      </c>
      <c r="AI841" s="5">
        <v>0.251</v>
      </c>
      <c r="AJ841" s="5">
        <v>0.30199999999999999</v>
      </c>
      <c r="AK841" s="5">
        <v>0.40600000000000003</v>
      </c>
      <c r="AL841" s="5">
        <v>0.22900000000000001</v>
      </c>
      <c r="AM841" s="5">
        <v>0.28499999999999998</v>
      </c>
      <c r="AN841">
        <v>1.6</v>
      </c>
      <c r="AO841">
        <v>5.42</v>
      </c>
      <c r="AP841">
        <v>7</v>
      </c>
      <c r="AQ841">
        <v>-8.02</v>
      </c>
      <c r="AR841">
        <v>-8.4</v>
      </c>
      <c r="AS841" t="s">
        <v>4927</v>
      </c>
      <c r="AT841">
        <v>-0.3</v>
      </c>
      <c r="AU841">
        <v>6</v>
      </c>
      <c r="AV841">
        <v>5</v>
      </c>
      <c r="AW841">
        <v>19</v>
      </c>
      <c r="AX841">
        <v>10</v>
      </c>
      <c r="AY841">
        <v>23</v>
      </c>
      <c r="AZ841" t="s">
        <v>4540</v>
      </c>
      <c r="BA841">
        <v>54</v>
      </c>
      <c r="BB841" t="s">
        <v>36</v>
      </c>
      <c r="BC841" t="s">
        <v>36</v>
      </c>
      <c r="BD841" s="4">
        <f>HYPERLINK("http://mlb.mlb.com/team/player.jsp?player_id=592407",592407)</f>
        <v>592407</v>
      </c>
      <c r="BE841">
        <v>0</v>
      </c>
      <c r="BF841">
        <v>0</v>
      </c>
      <c r="BG841">
        <v>29</v>
      </c>
      <c r="BH841">
        <v>29</v>
      </c>
    </row>
    <row r="842" spans="1:60" x14ac:dyDescent="0.3">
      <c r="A842" s="4">
        <f>HYPERLINK("http://legacy.baseballprospectus.com/p/101015",101015)</f>
        <v>101015</v>
      </c>
      <c r="B842" t="s">
        <v>1166</v>
      </c>
      <c r="C842" t="s">
        <v>4585</v>
      </c>
      <c r="D842" s="10">
        <v>34578</v>
      </c>
      <c r="E842" t="s">
        <v>51</v>
      </c>
      <c r="F842" t="s">
        <v>37</v>
      </c>
      <c r="G842" t="s">
        <v>33</v>
      </c>
      <c r="H842">
        <v>73</v>
      </c>
      <c r="I842">
        <v>220</v>
      </c>
      <c r="J842">
        <v>2018</v>
      </c>
      <c r="K842" s="4" t="str">
        <f>HYPERLINK("http://legacy.baseballprospectus.com/fantasy/dc/index.php?tm=NYN","NYN")</f>
        <v>NYN</v>
      </c>
      <c r="L842" t="s">
        <v>100</v>
      </c>
      <c r="M842" t="s">
        <v>34</v>
      </c>
      <c r="N842">
        <v>23</v>
      </c>
      <c r="O842">
        <v>250</v>
      </c>
      <c r="P842" t="s">
        <v>1680</v>
      </c>
      <c r="Q842">
        <v>226</v>
      </c>
      <c r="R842">
        <v>27</v>
      </c>
      <c r="S842">
        <v>30</v>
      </c>
      <c r="T842">
        <v>10</v>
      </c>
      <c r="U842">
        <v>1</v>
      </c>
      <c r="V842">
        <v>8</v>
      </c>
      <c r="W842">
        <v>49</v>
      </c>
      <c r="X842">
        <v>85</v>
      </c>
      <c r="Y842">
        <v>28</v>
      </c>
      <c r="Z842">
        <v>21</v>
      </c>
      <c r="AA842">
        <v>1</v>
      </c>
      <c r="AB842">
        <v>1</v>
      </c>
      <c r="AC842">
        <v>68</v>
      </c>
      <c r="AD842">
        <v>0</v>
      </c>
      <c r="AE842">
        <v>1</v>
      </c>
      <c r="AF842">
        <v>7</v>
      </c>
      <c r="AG842">
        <v>2</v>
      </c>
      <c r="AH842">
        <v>0</v>
      </c>
      <c r="AI842" s="5">
        <v>0.219</v>
      </c>
      <c r="AJ842" s="5">
        <v>0.28799999999999998</v>
      </c>
      <c r="AK842" s="5">
        <v>0.378</v>
      </c>
      <c r="AL842" s="5">
        <v>0.22600000000000001</v>
      </c>
      <c r="AM842" s="5">
        <v>0.27200000000000002</v>
      </c>
      <c r="AN842">
        <v>-0.1</v>
      </c>
      <c r="AO842">
        <v>0.56000000000000005</v>
      </c>
      <c r="AP842">
        <v>7</v>
      </c>
      <c r="AQ842">
        <v>-8.98</v>
      </c>
      <c r="AR842">
        <v>-1.5</v>
      </c>
      <c r="AS842" t="s">
        <v>1796</v>
      </c>
      <c r="AT842">
        <v>-0.3</v>
      </c>
      <c r="AU842">
        <v>-1.5</v>
      </c>
      <c r="AV842">
        <v>1</v>
      </c>
      <c r="AW842">
        <v>16</v>
      </c>
      <c r="AX842">
        <v>5</v>
      </c>
      <c r="AY842">
        <v>15</v>
      </c>
      <c r="AZ842" t="s">
        <v>4586</v>
      </c>
      <c r="BA842">
        <v>27</v>
      </c>
      <c r="BB842" t="s">
        <v>36</v>
      </c>
      <c r="BC842" t="s">
        <v>35</v>
      </c>
      <c r="BD842" s="4">
        <f>HYPERLINK("http://mlb.mlb.com/team/player.jsp?player_id=622561",622561)</f>
        <v>622561</v>
      </c>
      <c r="BE842">
        <v>0</v>
      </c>
      <c r="BF842">
        <v>0</v>
      </c>
      <c r="BG842">
        <v>0</v>
      </c>
      <c r="BH842">
        <v>0</v>
      </c>
    </row>
    <row r="843" spans="1:60" x14ac:dyDescent="0.3">
      <c r="A843" s="4">
        <f>HYPERLINK("http://legacy.baseballprospectus.com/p/104290",104290)</f>
        <v>104290</v>
      </c>
      <c r="B843" t="s">
        <v>1944</v>
      </c>
      <c r="C843" t="s">
        <v>1945</v>
      </c>
      <c r="D843" s="10">
        <v>35476</v>
      </c>
      <c r="E843" t="s">
        <v>54</v>
      </c>
      <c r="F843" t="s">
        <v>9</v>
      </c>
      <c r="G843" t="s">
        <v>33</v>
      </c>
      <c r="H843">
        <v>71</v>
      </c>
      <c r="I843">
        <v>175</v>
      </c>
      <c r="J843">
        <v>2018</v>
      </c>
      <c r="K843" s="4" t="str">
        <f>HYPERLINK("http://legacy.baseballprospectus.com/fantasy/dc/index.php?tm=KCA","KCA")</f>
        <v>KCA</v>
      </c>
      <c r="L843" t="s">
        <v>95</v>
      </c>
      <c r="M843" t="s">
        <v>34</v>
      </c>
      <c r="N843">
        <v>21</v>
      </c>
      <c r="O843">
        <v>250</v>
      </c>
      <c r="P843" t="s">
        <v>1680</v>
      </c>
      <c r="Q843">
        <v>231</v>
      </c>
      <c r="R843">
        <v>22</v>
      </c>
      <c r="S843">
        <v>33</v>
      </c>
      <c r="T843">
        <v>11</v>
      </c>
      <c r="U843">
        <v>0</v>
      </c>
      <c r="V843">
        <v>6</v>
      </c>
      <c r="W843">
        <v>50</v>
      </c>
      <c r="X843">
        <v>79</v>
      </c>
      <c r="Y843">
        <v>26</v>
      </c>
      <c r="Z843">
        <v>14</v>
      </c>
      <c r="AA843">
        <v>1</v>
      </c>
      <c r="AB843">
        <v>2</v>
      </c>
      <c r="AC843">
        <v>67</v>
      </c>
      <c r="AD843">
        <v>2</v>
      </c>
      <c r="AE843">
        <v>1</v>
      </c>
      <c r="AF843">
        <v>8</v>
      </c>
      <c r="AG843">
        <v>0</v>
      </c>
      <c r="AH843">
        <v>0</v>
      </c>
      <c r="AI843" s="5">
        <v>0.22</v>
      </c>
      <c r="AJ843" s="5">
        <v>0.27</v>
      </c>
      <c r="AK843" s="5">
        <v>0.34699999999999998</v>
      </c>
      <c r="AL843" s="5">
        <v>0.20699999999999999</v>
      </c>
      <c r="AM843" s="5">
        <v>0.28000000000000003</v>
      </c>
      <c r="AN843">
        <v>-0.5</v>
      </c>
      <c r="AO843">
        <v>5.33</v>
      </c>
      <c r="AP843">
        <v>7</v>
      </c>
      <c r="AQ843">
        <v>-13.85</v>
      </c>
      <c r="AR843">
        <v>-1.1000000000000001</v>
      </c>
      <c r="AS843" t="s">
        <v>60</v>
      </c>
      <c r="AT843">
        <v>-0.3</v>
      </c>
      <c r="AU843">
        <v>-2</v>
      </c>
      <c r="AV843">
        <v>3</v>
      </c>
      <c r="AW843">
        <v>3</v>
      </c>
      <c r="AX843">
        <v>2</v>
      </c>
      <c r="AY843">
        <v>4</v>
      </c>
      <c r="AZ843" t="s">
        <v>1925</v>
      </c>
      <c r="BA843">
        <v>7</v>
      </c>
      <c r="BB843" t="s">
        <v>36</v>
      </c>
      <c r="BC843" t="s">
        <v>35</v>
      </c>
      <c r="BD843" s="4">
        <f>HYPERLINK("http://mlb.mlb.com/team/player.jsp?player_id=650619",650619)</f>
        <v>650619</v>
      </c>
      <c r="BE843">
        <v>396</v>
      </c>
      <c r="BF843">
        <v>1396</v>
      </c>
      <c r="BG843">
        <v>0</v>
      </c>
      <c r="BH843">
        <v>0</v>
      </c>
    </row>
    <row r="844" spans="1:60" x14ac:dyDescent="0.3">
      <c r="A844" s="4">
        <f>HYPERLINK("http://legacy.baseballprospectus.com/p/104867",104867)</f>
        <v>104867</v>
      </c>
      <c r="B844" t="s">
        <v>1957</v>
      </c>
      <c r="C844" t="s">
        <v>150</v>
      </c>
      <c r="D844" s="10">
        <v>34990</v>
      </c>
      <c r="E844" t="s">
        <v>50</v>
      </c>
      <c r="F844" t="s">
        <v>9</v>
      </c>
      <c r="G844" t="s">
        <v>33</v>
      </c>
      <c r="H844">
        <v>73</v>
      </c>
      <c r="I844">
        <v>215</v>
      </c>
      <c r="J844">
        <v>2018</v>
      </c>
      <c r="K844" s="4" t="str">
        <f>HYPERLINK("http://legacy.baseballprospectus.com/fantasy/dc/index.php?tm=BOS","BOS")</f>
        <v>BOS</v>
      </c>
      <c r="L844" t="s">
        <v>95</v>
      </c>
      <c r="M844" t="s">
        <v>34</v>
      </c>
      <c r="N844">
        <v>22</v>
      </c>
      <c r="O844">
        <v>250</v>
      </c>
      <c r="P844" t="s">
        <v>1680</v>
      </c>
      <c r="Q844">
        <v>215</v>
      </c>
      <c r="R844">
        <v>27</v>
      </c>
      <c r="S844">
        <v>28</v>
      </c>
      <c r="T844">
        <v>10</v>
      </c>
      <c r="U844">
        <v>0</v>
      </c>
      <c r="V844">
        <v>8</v>
      </c>
      <c r="W844">
        <v>46</v>
      </c>
      <c r="X844">
        <v>80</v>
      </c>
      <c r="Y844">
        <v>30</v>
      </c>
      <c r="Z844">
        <v>33</v>
      </c>
      <c r="AA844">
        <v>3</v>
      </c>
      <c r="AB844">
        <v>1</v>
      </c>
      <c r="AC844">
        <v>82</v>
      </c>
      <c r="AD844">
        <v>0</v>
      </c>
      <c r="AE844">
        <v>1</v>
      </c>
      <c r="AF844">
        <v>6</v>
      </c>
      <c r="AG844">
        <v>0</v>
      </c>
      <c r="AH844">
        <v>0</v>
      </c>
      <c r="AI844" s="5">
        <v>0.215</v>
      </c>
      <c r="AJ844" s="5">
        <v>0.31900000000000001</v>
      </c>
      <c r="AK844" s="5">
        <v>0.377</v>
      </c>
      <c r="AL844" s="5">
        <v>0.23899999999999999</v>
      </c>
      <c r="AM844" s="5">
        <v>0.30099999999999999</v>
      </c>
      <c r="AN844">
        <v>-0.5</v>
      </c>
      <c r="AO844">
        <v>-2.2999999999999998</v>
      </c>
      <c r="AP844">
        <v>7</v>
      </c>
      <c r="AQ844">
        <v>-5.62</v>
      </c>
      <c r="AR844">
        <v>-1</v>
      </c>
      <c r="AS844" t="s">
        <v>64</v>
      </c>
      <c r="AT844">
        <v>-0.3</v>
      </c>
      <c r="AU844">
        <v>-1.4</v>
      </c>
      <c r="AV844">
        <v>2</v>
      </c>
      <c r="AW844">
        <v>16</v>
      </c>
      <c r="AX844">
        <v>4</v>
      </c>
      <c r="AY844">
        <v>15</v>
      </c>
      <c r="AZ844" t="s">
        <v>4587</v>
      </c>
      <c r="BA844">
        <v>32</v>
      </c>
      <c r="BB844" t="s">
        <v>36</v>
      </c>
      <c r="BC844" t="s">
        <v>35</v>
      </c>
      <c r="BD844" s="4">
        <f>HYPERLINK("http://mlb.mlb.com/team/player.jsp?player_id=656807",656807)</f>
        <v>656807</v>
      </c>
      <c r="BE844">
        <v>425</v>
      </c>
      <c r="BF844">
        <v>1425</v>
      </c>
      <c r="BG844">
        <v>0</v>
      </c>
      <c r="BH844">
        <v>0</v>
      </c>
    </row>
    <row r="845" spans="1:60" x14ac:dyDescent="0.3">
      <c r="A845" s="4">
        <f>HYPERLINK("http://legacy.baseballprospectus.com/p/105627",105627)</f>
        <v>105627</v>
      </c>
      <c r="B845" t="s">
        <v>1421</v>
      </c>
      <c r="C845" t="s">
        <v>232</v>
      </c>
      <c r="D845" s="10">
        <v>35818</v>
      </c>
      <c r="E845" t="s">
        <v>58</v>
      </c>
      <c r="F845" t="s">
        <v>9</v>
      </c>
      <c r="G845" t="s">
        <v>33</v>
      </c>
      <c r="H845">
        <v>73</v>
      </c>
      <c r="I845">
        <v>155</v>
      </c>
      <c r="J845">
        <v>2018</v>
      </c>
      <c r="K845" s="4" t="str">
        <f>HYPERLINK("http://legacy.baseballprospectus.com/fantasy/dc/index.php?tm=PHI","PHI")</f>
        <v>PHI</v>
      </c>
      <c r="L845" t="s">
        <v>100</v>
      </c>
      <c r="M845" t="s">
        <v>34</v>
      </c>
      <c r="N845">
        <v>20</v>
      </c>
      <c r="O845">
        <v>250</v>
      </c>
      <c r="P845" t="s">
        <v>1680</v>
      </c>
      <c r="Q845">
        <v>229</v>
      </c>
      <c r="R845">
        <v>28</v>
      </c>
      <c r="S845">
        <v>34</v>
      </c>
      <c r="T845">
        <v>9</v>
      </c>
      <c r="U845">
        <v>1</v>
      </c>
      <c r="V845">
        <v>7</v>
      </c>
      <c r="W845">
        <v>51</v>
      </c>
      <c r="X845">
        <v>83</v>
      </c>
      <c r="Y845">
        <v>24</v>
      </c>
      <c r="Z845">
        <v>17</v>
      </c>
      <c r="AA845">
        <v>1</v>
      </c>
      <c r="AB845">
        <v>1</v>
      </c>
      <c r="AC845">
        <v>64</v>
      </c>
      <c r="AD845">
        <v>2</v>
      </c>
      <c r="AE845">
        <v>1</v>
      </c>
      <c r="AF845">
        <v>7</v>
      </c>
      <c r="AG845">
        <v>2</v>
      </c>
      <c r="AH845">
        <v>2</v>
      </c>
      <c r="AI845" s="5">
        <v>0.222</v>
      </c>
      <c r="AJ845" s="5">
        <v>0.27800000000000002</v>
      </c>
      <c r="AK845" s="5">
        <v>0.35899999999999999</v>
      </c>
      <c r="AL845" s="5">
        <v>0.21299999999999999</v>
      </c>
      <c r="AM845" s="5">
        <v>0.27200000000000002</v>
      </c>
      <c r="AN845">
        <v>-0.4</v>
      </c>
      <c r="AO845">
        <v>3.45</v>
      </c>
      <c r="AP845">
        <v>7</v>
      </c>
      <c r="AQ845">
        <v>-12.36</v>
      </c>
      <c r="AR845">
        <v>-0.4</v>
      </c>
      <c r="AS845" t="s">
        <v>3945</v>
      </c>
      <c r="AT845">
        <v>-0.3</v>
      </c>
      <c r="AU845">
        <v>-2.2999999999999998</v>
      </c>
      <c r="AV845">
        <v>6</v>
      </c>
      <c r="AW845">
        <v>14</v>
      </c>
      <c r="AX845">
        <v>0</v>
      </c>
      <c r="AY845">
        <v>7</v>
      </c>
      <c r="AZ845" t="s">
        <v>4588</v>
      </c>
      <c r="BA845">
        <v>14</v>
      </c>
      <c r="BB845" t="s">
        <v>36</v>
      </c>
      <c r="BC845" t="s">
        <v>35</v>
      </c>
      <c r="BD845" s="4">
        <f>HYPERLINK("http://mlb.mlb.com/team/player.jsp?player_id=660684",660684)</f>
        <v>660684</v>
      </c>
      <c r="BE845">
        <v>0</v>
      </c>
      <c r="BF845">
        <v>0</v>
      </c>
      <c r="BG845">
        <v>0</v>
      </c>
      <c r="BH845">
        <v>0</v>
      </c>
    </row>
    <row r="846" spans="1:60" x14ac:dyDescent="0.3">
      <c r="A846" s="4">
        <f>HYPERLINK("http://legacy.baseballprospectus.com/p/107183",107183)</f>
        <v>107183</v>
      </c>
      <c r="B846" t="s">
        <v>1710</v>
      </c>
      <c r="C846" t="s">
        <v>1922</v>
      </c>
      <c r="D846" s="10">
        <v>35613</v>
      </c>
      <c r="E846" t="s">
        <v>53</v>
      </c>
      <c r="F846" t="s">
        <v>37</v>
      </c>
      <c r="G846" t="s">
        <v>33</v>
      </c>
      <c r="H846">
        <v>73</v>
      </c>
      <c r="I846">
        <v>175</v>
      </c>
      <c r="J846">
        <v>2018</v>
      </c>
      <c r="K846" s="4" t="str">
        <f>HYPERLINK("http://legacy.baseballprospectus.com/fantasy/dc/index.php?tm=TBA","TBA")</f>
        <v>TBA</v>
      </c>
      <c r="L846" t="s">
        <v>95</v>
      </c>
      <c r="M846" t="s">
        <v>34</v>
      </c>
      <c r="N846">
        <v>20</v>
      </c>
      <c r="O846">
        <v>250</v>
      </c>
      <c r="P846" t="s">
        <v>1680</v>
      </c>
      <c r="Q846">
        <v>223</v>
      </c>
      <c r="R846">
        <v>29</v>
      </c>
      <c r="S846">
        <v>32</v>
      </c>
      <c r="T846">
        <v>8</v>
      </c>
      <c r="U846">
        <v>1</v>
      </c>
      <c r="V846">
        <v>4</v>
      </c>
      <c r="W846">
        <v>45</v>
      </c>
      <c r="X846">
        <v>67</v>
      </c>
      <c r="Y846">
        <v>19</v>
      </c>
      <c r="Z846">
        <v>21</v>
      </c>
      <c r="AA846">
        <v>1</v>
      </c>
      <c r="AB846">
        <v>3</v>
      </c>
      <c r="AC846">
        <v>78</v>
      </c>
      <c r="AD846">
        <v>2</v>
      </c>
      <c r="AE846">
        <v>1</v>
      </c>
      <c r="AF846">
        <v>6</v>
      </c>
      <c r="AG846">
        <v>9</v>
      </c>
      <c r="AH846">
        <v>4</v>
      </c>
      <c r="AI846" s="5">
        <v>0.20100000000000001</v>
      </c>
      <c r="AJ846" s="5">
        <v>0.27700000000000002</v>
      </c>
      <c r="AK846" s="5">
        <v>0.30399999999999999</v>
      </c>
      <c r="AL846" s="5">
        <v>0.20699999999999999</v>
      </c>
      <c r="AM846" s="5">
        <v>0.28199999999999997</v>
      </c>
      <c r="AN846">
        <v>0.4</v>
      </c>
      <c r="AO846">
        <v>4.17</v>
      </c>
      <c r="AP846">
        <v>7</v>
      </c>
      <c r="AQ846">
        <v>-13.82</v>
      </c>
      <c r="AR846">
        <v>-0.3</v>
      </c>
      <c r="AS846" t="s">
        <v>74</v>
      </c>
      <c r="AT846">
        <v>-0.3</v>
      </c>
      <c r="AU846">
        <v>-2.2000000000000002</v>
      </c>
      <c r="AV846">
        <v>1</v>
      </c>
      <c r="AW846">
        <v>8</v>
      </c>
      <c r="AX846">
        <v>0</v>
      </c>
      <c r="AY846">
        <v>2</v>
      </c>
      <c r="AZ846" t="s">
        <v>4557</v>
      </c>
      <c r="BA846">
        <v>10</v>
      </c>
      <c r="BB846" t="s">
        <v>36</v>
      </c>
      <c r="BC846" t="s">
        <v>35</v>
      </c>
      <c r="BD846" s="4">
        <f>HYPERLINK("http://mlb.mlb.com/team/player.jsp?player_id=665650",665650)</f>
        <v>665650</v>
      </c>
      <c r="BE846">
        <v>552</v>
      </c>
      <c r="BF846">
        <v>1552</v>
      </c>
      <c r="BG846">
        <v>0</v>
      </c>
      <c r="BH846">
        <v>0</v>
      </c>
    </row>
    <row r="847" spans="1:60" x14ac:dyDescent="0.3">
      <c r="A847" s="4">
        <f>HYPERLINK("http://legacy.baseballprospectus.com/p/107285",107285)</f>
        <v>107285</v>
      </c>
      <c r="B847" t="s">
        <v>500</v>
      </c>
      <c r="C847" t="s">
        <v>1946</v>
      </c>
      <c r="D847" s="10">
        <v>34717</v>
      </c>
      <c r="E847" t="s">
        <v>57</v>
      </c>
      <c r="F847" t="s">
        <v>33</v>
      </c>
      <c r="G847" t="s">
        <v>33</v>
      </c>
      <c r="H847">
        <v>73</v>
      </c>
      <c r="I847">
        <v>195</v>
      </c>
      <c r="J847">
        <v>2018</v>
      </c>
      <c r="K847" s="4" t="str">
        <f>HYPERLINK("http://legacy.baseballprospectus.com/fantasy/dc/index.php?tm=CHN","CHN")</f>
        <v>CHN</v>
      </c>
      <c r="L847" t="s">
        <v>100</v>
      </c>
      <c r="M847" t="s">
        <v>34</v>
      </c>
      <c r="N847">
        <v>23</v>
      </c>
      <c r="O847">
        <v>250</v>
      </c>
      <c r="P847" t="s">
        <v>1680</v>
      </c>
      <c r="Q847">
        <v>229</v>
      </c>
      <c r="R847">
        <v>26</v>
      </c>
      <c r="S847">
        <v>34</v>
      </c>
      <c r="T847">
        <v>9</v>
      </c>
      <c r="U847">
        <v>1</v>
      </c>
      <c r="V847">
        <v>9</v>
      </c>
      <c r="W847">
        <v>53</v>
      </c>
      <c r="X847">
        <v>91</v>
      </c>
      <c r="Y847">
        <v>31</v>
      </c>
      <c r="Z847">
        <v>17</v>
      </c>
      <c r="AA847">
        <v>1</v>
      </c>
      <c r="AB847">
        <v>2</v>
      </c>
      <c r="AC847">
        <v>61</v>
      </c>
      <c r="AD847">
        <v>0</v>
      </c>
      <c r="AE847">
        <v>1</v>
      </c>
      <c r="AF847">
        <v>6</v>
      </c>
      <c r="AG847">
        <v>1</v>
      </c>
      <c r="AH847">
        <v>1</v>
      </c>
      <c r="AI847" s="5">
        <v>0.23</v>
      </c>
      <c r="AJ847" s="5">
        <v>0.28799999999999998</v>
      </c>
      <c r="AK847" s="5">
        <v>0.39200000000000002</v>
      </c>
      <c r="AL847" s="5">
        <v>0.224</v>
      </c>
      <c r="AM847" s="5">
        <v>0.27200000000000002</v>
      </c>
      <c r="AN847">
        <v>-0.4</v>
      </c>
      <c r="AO847">
        <v>0.34</v>
      </c>
      <c r="AP847">
        <v>7</v>
      </c>
      <c r="AQ847">
        <v>-9.4600000000000009</v>
      </c>
      <c r="AR847">
        <v>-0.2</v>
      </c>
      <c r="AS847" t="s">
        <v>3720</v>
      </c>
      <c r="AT847">
        <v>-0.3</v>
      </c>
      <c r="AU847">
        <v>-2.5</v>
      </c>
      <c r="AV847">
        <v>0</v>
      </c>
      <c r="AW847">
        <v>1</v>
      </c>
      <c r="AX847">
        <v>2</v>
      </c>
      <c r="AY847">
        <v>2</v>
      </c>
      <c r="AZ847" t="s">
        <v>4591</v>
      </c>
      <c r="BA847">
        <v>3</v>
      </c>
      <c r="BB847" t="s">
        <v>36</v>
      </c>
      <c r="BC847" t="s">
        <v>35</v>
      </c>
      <c r="BD847" s="4">
        <f>HYPERLINK("http://mlb.mlb.com/team/player.jsp?player_id=666558",666558)</f>
        <v>666558</v>
      </c>
      <c r="BE847">
        <v>1658</v>
      </c>
      <c r="BF847">
        <v>658</v>
      </c>
      <c r="BG847">
        <v>0</v>
      </c>
      <c r="BH847">
        <v>0</v>
      </c>
    </row>
    <row r="848" spans="1:60" x14ac:dyDescent="0.3">
      <c r="A848" s="4">
        <f>HYPERLINK("http://legacy.baseballprospectus.com/p/107577",107577)</f>
        <v>107577</v>
      </c>
      <c r="B848" t="s">
        <v>4593</v>
      </c>
      <c r="C848" t="s">
        <v>1643</v>
      </c>
      <c r="D848" s="10">
        <v>35569</v>
      </c>
      <c r="E848" t="s">
        <v>57</v>
      </c>
      <c r="F848" t="s">
        <v>9</v>
      </c>
      <c r="G848" t="s">
        <v>9</v>
      </c>
      <c r="H848">
        <v>73</v>
      </c>
      <c r="I848">
        <v>185</v>
      </c>
      <c r="J848">
        <v>2018</v>
      </c>
      <c r="K848" s="4" t="str">
        <f>HYPERLINK("http://legacy.baseballprospectus.com/fantasy/dc/index.php?tm=CLE","CLE")</f>
        <v>CLE</v>
      </c>
      <c r="L848" t="s">
        <v>95</v>
      </c>
      <c r="M848" t="s">
        <v>34</v>
      </c>
      <c r="N848">
        <v>21</v>
      </c>
      <c r="O848">
        <v>250</v>
      </c>
      <c r="P848" t="s">
        <v>1680</v>
      </c>
      <c r="Q848">
        <v>229</v>
      </c>
      <c r="R848">
        <v>32</v>
      </c>
      <c r="S848">
        <v>29</v>
      </c>
      <c r="T848">
        <v>10</v>
      </c>
      <c r="U848">
        <v>1</v>
      </c>
      <c r="V848">
        <v>10</v>
      </c>
      <c r="W848">
        <v>50</v>
      </c>
      <c r="X848">
        <v>92</v>
      </c>
      <c r="Y848">
        <v>28</v>
      </c>
      <c r="Z848">
        <v>17</v>
      </c>
      <c r="AA848">
        <v>1</v>
      </c>
      <c r="AB848">
        <v>1</v>
      </c>
      <c r="AC848">
        <v>71</v>
      </c>
      <c r="AD848">
        <v>1</v>
      </c>
      <c r="AE848">
        <v>1</v>
      </c>
      <c r="AF848">
        <v>6</v>
      </c>
      <c r="AG848">
        <v>4</v>
      </c>
      <c r="AH848">
        <v>3</v>
      </c>
      <c r="AI848" s="5">
        <v>0.219</v>
      </c>
      <c r="AJ848" s="5">
        <v>0.27500000000000002</v>
      </c>
      <c r="AK848" s="5">
        <v>0.39900000000000002</v>
      </c>
      <c r="AL848" s="5">
        <v>0.223</v>
      </c>
      <c r="AM848" s="5">
        <v>0.26900000000000002</v>
      </c>
      <c r="AN848">
        <v>-0.2</v>
      </c>
      <c r="AO848">
        <v>0.83</v>
      </c>
      <c r="AP848">
        <v>7</v>
      </c>
      <c r="AQ848">
        <v>-9.6999999999999993</v>
      </c>
      <c r="AR848">
        <v>-1.1000000000000001</v>
      </c>
      <c r="AS848" t="s">
        <v>2186</v>
      </c>
      <c r="AT848">
        <v>-0.3</v>
      </c>
      <c r="AU848">
        <v>-2</v>
      </c>
      <c r="AV848">
        <v>2</v>
      </c>
      <c r="AW848">
        <v>6</v>
      </c>
      <c r="AX848">
        <v>0</v>
      </c>
      <c r="AY848">
        <v>5</v>
      </c>
      <c r="AZ848" t="s">
        <v>4594</v>
      </c>
      <c r="BA848">
        <v>10</v>
      </c>
      <c r="BB848" t="s">
        <v>36</v>
      </c>
      <c r="BC848" t="s">
        <v>35</v>
      </c>
      <c r="BD848" s="4">
        <f>HYPERLINK("http://mlb.mlb.com/team/player.jsp?player_id=668843",668843)</f>
        <v>668843</v>
      </c>
      <c r="BE848">
        <v>0</v>
      </c>
      <c r="BF848">
        <v>0</v>
      </c>
      <c r="BG848">
        <v>0</v>
      </c>
      <c r="BH848">
        <v>0</v>
      </c>
    </row>
    <row r="849" spans="1:60" x14ac:dyDescent="0.3">
      <c r="A849" s="4">
        <f>HYPERLINK("http://legacy.baseballprospectus.com/p/107762",107762)</f>
        <v>107762</v>
      </c>
      <c r="B849" t="s">
        <v>1953</v>
      </c>
      <c r="C849" t="s">
        <v>311</v>
      </c>
      <c r="D849" s="10">
        <v>34820</v>
      </c>
      <c r="E849" t="s">
        <v>51</v>
      </c>
      <c r="F849" t="s">
        <v>9</v>
      </c>
      <c r="G849" t="s">
        <v>33</v>
      </c>
      <c r="H849">
        <v>75</v>
      </c>
      <c r="I849">
        <v>200</v>
      </c>
      <c r="J849">
        <v>2018</v>
      </c>
      <c r="K849" s="4" t="str">
        <f>HYPERLINK("http://legacy.baseballprospectus.com/fantasy/dc/index.php?tm=MIL","MIL")</f>
        <v>MIL</v>
      </c>
      <c r="L849" t="s">
        <v>100</v>
      </c>
      <c r="M849" t="s">
        <v>34</v>
      </c>
      <c r="N849">
        <v>23</v>
      </c>
      <c r="O849">
        <v>250</v>
      </c>
      <c r="P849" t="s">
        <v>1680</v>
      </c>
      <c r="Q849">
        <v>234</v>
      </c>
      <c r="R849">
        <v>26</v>
      </c>
      <c r="S849">
        <v>33</v>
      </c>
      <c r="T849">
        <v>12</v>
      </c>
      <c r="U849">
        <v>1</v>
      </c>
      <c r="V849">
        <v>9</v>
      </c>
      <c r="W849">
        <v>55</v>
      </c>
      <c r="X849">
        <v>96</v>
      </c>
      <c r="Y849">
        <v>33</v>
      </c>
      <c r="Z849">
        <v>13</v>
      </c>
      <c r="AA849">
        <v>2</v>
      </c>
      <c r="AB849">
        <v>1</v>
      </c>
      <c r="AC849">
        <v>62</v>
      </c>
      <c r="AD849">
        <v>0</v>
      </c>
      <c r="AE849">
        <v>1</v>
      </c>
      <c r="AF849">
        <v>7</v>
      </c>
      <c r="AG849">
        <v>0</v>
      </c>
      <c r="AH849">
        <v>0</v>
      </c>
      <c r="AI849" s="5">
        <v>0.23599999999999999</v>
      </c>
      <c r="AJ849" s="5">
        <v>0.27900000000000003</v>
      </c>
      <c r="AK849" s="5">
        <v>0.41399999999999998</v>
      </c>
      <c r="AL849" s="5">
        <v>0.22800000000000001</v>
      </c>
      <c r="AM849" s="5">
        <v>0.27800000000000002</v>
      </c>
      <c r="AN849">
        <v>-0.5</v>
      </c>
      <c r="AO849">
        <v>1.39</v>
      </c>
      <c r="AP849">
        <v>7</v>
      </c>
      <c r="AQ849">
        <v>-8.36</v>
      </c>
      <c r="AR849">
        <v>-2</v>
      </c>
      <c r="AS849" t="s">
        <v>1024</v>
      </c>
      <c r="AT849">
        <v>-0.3</v>
      </c>
      <c r="AU849">
        <v>-0.5</v>
      </c>
      <c r="AV849">
        <v>1</v>
      </c>
      <c r="AW849">
        <v>27</v>
      </c>
      <c r="AX849">
        <v>7</v>
      </c>
      <c r="AY849">
        <v>19</v>
      </c>
      <c r="AZ849" t="s">
        <v>4595</v>
      </c>
      <c r="BA849">
        <v>45</v>
      </c>
      <c r="BB849" t="s">
        <v>36</v>
      </c>
      <c r="BC849" t="s">
        <v>35</v>
      </c>
      <c r="BD849" s="4">
        <f>HYPERLINK("http://mlb.mlb.com/team/player.jsp?player_id=668674",668674)</f>
        <v>668674</v>
      </c>
      <c r="BE849">
        <v>1511</v>
      </c>
      <c r="BF849">
        <v>511</v>
      </c>
      <c r="BG849">
        <v>0</v>
      </c>
      <c r="BH849">
        <v>0</v>
      </c>
    </row>
    <row r="850" spans="1:60" x14ac:dyDescent="0.3">
      <c r="A850" s="4">
        <f>HYPERLINK("http://legacy.baseballprospectus.com/p/108118",108118)</f>
        <v>108118</v>
      </c>
      <c r="B850" t="s">
        <v>1575</v>
      </c>
      <c r="C850" t="s">
        <v>1616</v>
      </c>
      <c r="D850" s="10">
        <v>35828</v>
      </c>
      <c r="E850" t="s">
        <v>65</v>
      </c>
      <c r="F850" t="s">
        <v>9</v>
      </c>
      <c r="G850" t="s">
        <v>33</v>
      </c>
      <c r="H850">
        <v>76</v>
      </c>
      <c r="I850">
        <v>205</v>
      </c>
      <c r="J850">
        <v>2018</v>
      </c>
      <c r="K850" s="4" t="str">
        <f>HYPERLINK("http://legacy.baseballprospectus.com/fantasy/dc/index.php?tm=TBA","TBA")</f>
        <v>TBA</v>
      </c>
      <c r="L850" t="s">
        <v>95</v>
      </c>
      <c r="M850" t="s">
        <v>34</v>
      </c>
      <c r="N850">
        <v>20</v>
      </c>
      <c r="O850">
        <v>250</v>
      </c>
      <c r="P850" t="s">
        <v>1680</v>
      </c>
      <c r="Q850">
        <v>228</v>
      </c>
      <c r="R850">
        <v>28</v>
      </c>
      <c r="S850">
        <v>31</v>
      </c>
      <c r="T850">
        <v>9</v>
      </c>
      <c r="U850">
        <v>1</v>
      </c>
      <c r="V850">
        <v>6</v>
      </c>
      <c r="W850">
        <v>47</v>
      </c>
      <c r="X850">
        <v>76</v>
      </c>
      <c r="Y850">
        <v>21</v>
      </c>
      <c r="Z850">
        <v>18</v>
      </c>
      <c r="AA850">
        <v>1</v>
      </c>
      <c r="AB850">
        <v>1</v>
      </c>
      <c r="AC850">
        <v>90</v>
      </c>
      <c r="AD850">
        <v>2</v>
      </c>
      <c r="AE850">
        <v>2</v>
      </c>
      <c r="AF850">
        <v>5</v>
      </c>
      <c r="AG850">
        <v>4</v>
      </c>
      <c r="AH850">
        <v>2</v>
      </c>
      <c r="AI850" s="5">
        <v>0.20200000000000001</v>
      </c>
      <c r="AJ850" s="5">
        <v>0.26100000000000001</v>
      </c>
      <c r="AK850" s="5">
        <v>0.32200000000000001</v>
      </c>
      <c r="AL850" s="5">
        <v>0.20599999999999999</v>
      </c>
      <c r="AM850" s="5">
        <v>0.29699999999999999</v>
      </c>
      <c r="AN850">
        <v>0</v>
      </c>
      <c r="AO850">
        <v>3.2</v>
      </c>
      <c r="AP850">
        <v>7</v>
      </c>
      <c r="AQ850">
        <v>-14.07</v>
      </c>
      <c r="AR850">
        <v>1.1000000000000001</v>
      </c>
      <c r="AS850" t="s">
        <v>66</v>
      </c>
      <c r="AT850">
        <v>-0.3</v>
      </c>
      <c r="AU850">
        <v>-3.9</v>
      </c>
      <c r="AV850">
        <v>2</v>
      </c>
      <c r="AW850">
        <v>5</v>
      </c>
      <c r="AX850">
        <v>0</v>
      </c>
      <c r="AY850">
        <v>3</v>
      </c>
      <c r="AZ850" t="s">
        <v>4596</v>
      </c>
      <c r="BA850">
        <v>7</v>
      </c>
      <c r="BB850" t="s">
        <v>36</v>
      </c>
      <c r="BC850" t="s">
        <v>35</v>
      </c>
      <c r="BD850" s="4">
        <f>HYPERLINK("http://mlb.mlb.com/team/player.jsp?player_id=666139",666139)</f>
        <v>666139</v>
      </c>
      <c r="BE850">
        <v>676</v>
      </c>
      <c r="BF850">
        <v>1676</v>
      </c>
      <c r="BG850">
        <v>0</v>
      </c>
      <c r="BH850">
        <v>0</v>
      </c>
    </row>
    <row r="851" spans="1:60" x14ac:dyDescent="0.3">
      <c r="A851" s="4">
        <f>HYPERLINK("http://legacy.baseballprospectus.com/p/108289",108289)</f>
        <v>108289</v>
      </c>
      <c r="B851" t="s">
        <v>274</v>
      </c>
      <c r="C851" t="s">
        <v>149</v>
      </c>
      <c r="D851" s="10">
        <v>35721</v>
      </c>
      <c r="E851" t="s">
        <v>51</v>
      </c>
      <c r="F851" t="s">
        <v>33</v>
      </c>
      <c r="G851" t="s">
        <v>33</v>
      </c>
      <c r="H851">
        <v>74</v>
      </c>
      <c r="I851">
        <v>180</v>
      </c>
      <c r="J851">
        <v>2018</v>
      </c>
      <c r="K851" s="4" t="str">
        <f>HYPERLINK("http://legacy.baseballprospectus.com/fantasy/dc/index.php?tm=MIA","MIA")</f>
        <v>MIA</v>
      </c>
      <c r="L851" t="s">
        <v>100</v>
      </c>
      <c r="M851" t="s">
        <v>34</v>
      </c>
      <c r="N851">
        <v>20</v>
      </c>
      <c r="O851">
        <v>250</v>
      </c>
      <c r="P851" t="s">
        <v>1680</v>
      </c>
      <c r="Q851">
        <v>232</v>
      </c>
      <c r="R851">
        <v>22</v>
      </c>
      <c r="S851">
        <v>36</v>
      </c>
      <c r="T851">
        <v>11</v>
      </c>
      <c r="U851">
        <v>1</v>
      </c>
      <c r="V851">
        <v>5</v>
      </c>
      <c r="W851">
        <v>53</v>
      </c>
      <c r="X851">
        <v>81</v>
      </c>
      <c r="Y851">
        <v>26</v>
      </c>
      <c r="Z851">
        <v>14</v>
      </c>
      <c r="AA851">
        <v>1</v>
      </c>
      <c r="AB851">
        <v>1</v>
      </c>
      <c r="AC851">
        <v>76</v>
      </c>
      <c r="AD851">
        <v>0</v>
      </c>
      <c r="AE851">
        <v>1</v>
      </c>
      <c r="AF851">
        <v>7</v>
      </c>
      <c r="AG851">
        <v>0</v>
      </c>
      <c r="AH851">
        <v>0</v>
      </c>
      <c r="AI851" s="5">
        <v>0.22900000000000001</v>
      </c>
      <c r="AJ851" s="5">
        <v>0.27600000000000002</v>
      </c>
      <c r="AK851" s="5">
        <v>0.35099999999999998</v>
      </c>
      <c r="AL851" s="5">
        <v>0.215</v>
      </c>
      <c r="AM851" s="5">
        <v>0.313</v>
      </c>
      <c r="AN851">
        <v>-0.4</v>
      </c>
      <c r="AO851">
        <v>1.4</v>
      </c>
      <c r="AP851">
        <v>7</v>
      </c>
      <c r="AQ851">
        <v>-11.76</v>
      </c>
      <c r="AR851">
        <v>1.3</v>
      </c>
      <c r="AS851" t="s">
        <v>52</v>
      </c>
      <c r="AT851">
        <v>-0.3</v>
      </c>
      <c r="AU851">
        <v>-3.8</v>
      </c>
      <c r="AV851">
        <v>3</v>
      </c>
      <c r="AW851">
        <v>9</v>
      </c>
      <c r="AX851">
        <v>0</v>
      </c>
      <c r="AY851">
        <v>3</v>
      </c>
      <c r="AZ851" t="s">
        <v>4597</v>
      </c>
      <c r="BA851">
        <v>10</v>
      </c>
      <c r="BB851" t="s">
        <v>36</v>
      </c>
      <c r="BC851" t="s">
        <v>35</v>
      </c>
      <c r="BD851" s="4">
        <f>HYPERLINK("http://mlb.mlb.com/team/player.jsp?player_id=663445",663445)</f>
        <v>663445</v>
      </c>
      <c r="BE851">
        <v>0</v>
      </c>
      <c r="BF851">
        <v>0</v>
      </c>
      <c r="BG851">
        <v>0</v>
      </c>
      <c r="BH851">
        <v>0</v>
      </c>
    </row>
    <row r="852" spans="1:60" x14ac:dyDescent="0.3">
      <c r="A852" s="4">
        <f>HYPERLINK("http://legacy.baseballprospectus.com/p/108882",108882)</f>
        <v>108882</v>
      </c>
      <c r="B852" t="s">
        <v>4598</v>
      </c>
      <c r="C852" t="s">
        <v>4599</v>
      </c>
      <c r="D852" s="10">
        <v>36119</v>
      </c>
      <c r="E852" t="s">
        <v>54</v>
      </c>
      <c r="F852" t="s">
        <v>33</v>
      </c>
      <c r="G852" t="s">
        <v>33</v>
      </c>
      <c r="H852">
        <v>73</v>
      </c>
      <c r="I852">
        <v>195</v>
      </c>
      <c r="J852">
        <v>2018</v>
      </c>
      <c r="K852" s="4" t="str">
        <f>HYPERLINK("http://legacy.baseballprospectus.com/fantasy/dc/index.php?tm=MIL","MIL")</f>
        <v>MIL</v>
      </c>
      <c r="L852" t="s">
        <v>100</v>
      </c>
      <c r="M852" t="s">
        <v>34</v>
      </c>
      <c r="N852">
        <v>19</v>
      </c>
      <c r="O852">
        <v>250</v>
      </c>
      <c r="P852" t="s">
        <v>1680</v>
      </c>
      <c r="Q852">
        <v>232</v>
      </c>
      <c r="R852">
        <v>26</v>
      </c>
      <c r="S852">
        <v>36</v>
      </c>
      <c r="T852">
        <v>10</v>
      </c>
      <c r="U852">
        <v>1</v>
      </c>
      <c r="V852">
        <v>5</v>
      </c>
      <c r="W852">
        <v>52</v>
      </c>
      <c r="X852">
        <v>79</v>
      </c>
      <c r="Y852">
        <v>22</v>
      </c>
      <c r="Z852">
        <v>14</v>
      </c>
      <c r="AA852">
        <v>1</v>
      </c>
      <c r="AB852">
        <v>2</v>
      </c>
      <c r="AC852">
        <v>60</v>
      </c>
      <c r="AD852">
        <v>1</v>
      </c>
      <c r="AE852">
        <v>1</v>
      </c>
      <c r="AF852">
        <v>7</v>
      </c>
      <c r="AG852">
        <v>1</v>
      </c>
      <c r="AH852">
        <v>0</v>
      </c>
      <c r="AI852" s="5">
        <v>0.223</v>
      </c>
      <c r="AJ852" s="5">
        <v>0.27300000000000002</v>
      </c>
      <c r="AK852" s="5">
        <v>0.34100000000000003</v>
      </c>
      <c r="AL852" s="5">
        <v>0.20699999999999999</v>
      </c>
      <c r="AM852" s="5">
        <v>0.27600000000000002</v>
      </c>
      <c r="AN852">
        <v>-0.3</v>
      </c>
      <c r="AO852">
        <v>4.95</v>
      </c>
      <c r="AP852">
        <v>7</v>
      </c>
      <c r="AQ852">
        <v>-13.9</v>
      </c>
      <c r="AR852">
        <v>-0.9</v>
      </c>
      <c r="AS852" t="s">
        <v>60</v>
      </c>
      <c r="AT852">
        <v>-0.3</v>
      </c>
      <c r="AU852">
        <v>-2.2999999999999998</v>
      </c>
      <c r="AV852">
        <v>0</v>
      </c>
      <c r="AW852">
        <v>7</v>
      </c>
      <c r="AX852">
        <v>2</v>
      </c>
      <c r="AY852">
        <v>7</v>
      </c>
      <c r="AZ852" t="s">
        <v>4600</v>
      </c>
      <c r="BA852">
        <v>13</v>
      </c>
      <c r="BB852" t="s">
        <v>36</v>
      </c>
      <c r="BC852" t="s">
        <v>35</v>
      </c>
      <c r="BD852" s="4">
        <f>HYPERLINK("http://mlb.mlb.com/team/player.jsp?player_id=666128",666128)</f>
        <v>666128</v>
      </c>
      <c r="BE852">
        <v>0</v>
      </c>
      <c r="BF852">
        <v>0</v>
      </c>
      <c r="BG852">
        <v>0</v>
      </c>
      <c r="BH852">
        <v>0</v>
      </c>
    </row>
    <row r="853" spans="1:60" x14ac:dyDescent="0.3">
      <c r="A853" s="4">
        <f>HYPERLINK("http://legacy.baseballprospectus.com/p/109033",109033)</f>
        <v>109033</v>
      </c>
      <c r="B853" t="s">
        <v>915</v>
      </c>
      <c r="C853" t="s">
        <v>202</v>
      </c>
      <c r="D853" s="10">
        <v>34599</v>
      </c>
      <c r="E853" t="s">
        <v>65</v>
      </c>
      <c r="F853" t="s">
        <v>9</v>
      </c>
      <c r="G853" t="s">
        <v>9</v>
      </c>
      <c r="H853">
        <v>71</v>
      </c>
      <c r="I853">
        <v>185</v>
      </c>
      <c r="J853">
        <v>2018</v>
      </c>
      <c r="K853" s="4" t="str">
        <f>HYPERLINK("http://legacy.baseballprospectus.com/fantasy/dc/index.php?tm=MIL","MIL")</f>
        <v>MIL</v>
      </c>
      <c r="L853" t="s">
        <v>100</v>
      </c>
      <c r="M853" t="s">
        <v>34</v>
      </c>
      <c r="N853">
        <v>23</v>
      </c>
      <c r="O853">
        <v>250</v>
      </c>
      <c r="P853" t="s">
        <v>1680</v>
      </c>
      <c r="Q853">
        <v>228</v>
      </c>
      <c r="R853">
        <v>31</v>
      </c>
      <c r="S853">
        <v>29</v>
      </c>
      <c r="T853">
        <v>11</v>
      </c>
      <c r="U853">
        <v>1</v>
      </c>
      <c r="V853">
        <v>7</v>
      </c>
      <c r="W853">
        <v>48</v>
      </c>
      <c r="X853">
        <v>82</v>
      </c>
      <c r="Y853">
        <v>23</v>
      </c>
      <c r="Z853">
        <v>19</v>
      </c>
      <c r="AA853">
        <v>2</v>
      </c>
      <c r="AB853">
        <v>1</v>
      </c>
      <c r="AC853">
        <v>82</v>
      </c>
      <c r="AD853">
        <v>1</v>
      </c>
      <c r="AE853">
        <v>1</v>
      </c>
      <c r="AF853">
        <v>5</v>
      </c>
      <c r="AG853">
        <v>7</v>
      </c>
      <c r="AH853">
        <v>3</v>
      </c>
      <c r="AI853" s="5">
        <v>0.20899999999999999</v>
      </c>
      <c r="AJ853" s="5">
        <v>0.27200000000000002</v>
      </c>
      <c r="AK853" s="5">
        <v>0.35299999999999998</v>
      </c>
      <c r="AL853" s="5">
        <v>0.21099999999999999</v>
      </c>
      <c r="AM853" s="5">
        <v>0.29099999999999998</v>
      </c>
      <c r="AN853">
        <v>0.2</v>
      </c>
      <c r="AO853">
        <v>2.38</v>
      </c>
      <c r="AP853">
        <v>7</v>
      </c>
      <c r="AQ853">
        <v>-12.96</v>
      </c>
      <c r="AR853">
        <v>1</v>
      </c>
      <c r="AS853" t="s">
        <v>3807</v>
      </c>
      <c r="AT853">
        <v>-0.3</v>
      </c>
      <c r="AU853">
        <v>-3.4</v>
      </c>
      <c r="AV853">
        <v>0</v>
      </c>
      <c r="AW853">
        <v>7</v>
      </c>
      <c r="AX853">
        <v>3</v>
      </c>
      <c r="AY853">
        <v>9</v>
      </c>
      <c r="AZ853" t="s">
        <v>4601</v>
      </c>
      <c r="BA853">
        <v>10</v>
      </c>
      <c r="BB853" t="s">
        <v>36</v>
      </c>
      <c r="BC853" t="s">
        <v>35</v>
      </c>
      <c r="BD853" s="4">
        <f>HYPERLINK("http://mlb.mlb.com/team/player.jsp?player_id=641999",641999)</f>
        <v>641999</v>
      </c>
      <c r="BE853">
        <v>1652</v>
      </c>
      <c r="BF853">
        <v>652</v>
      </c>
      <c r="BG853">
        <v>0</v>
      </c>
      <c r="BH853">
        <v>0</v>
      </c>
    </row>
    <row r="854" spans="1:60" x14ac:dyDescent="0.3">
      <c r="A854" s="4">
        <f>HYPERLINK("http://legacy.baseballprospectus.com/p/109713",109713)</f>
        <v>109713</v>
      </c>
      <c r="B854" t="s">
        <v>4602</v>
      </c>
      <c r="C854" t="s">
        <v>302</v>
      </c>
      <c r="D854" s="10">
        <v>34850</v>
      </c>
      <c r="E854" t="s">
        <v>57</v>
      </c>
      <c r="F854" t="s">
        <v>9</v>
      </c>
      <c r="G854" t="s">
        <v>33</v>
      </c>
      <c r="H854">
        <v>74</v>
      </c>
      <c r="I854">
        <v>190</v>
      </c>
      <c r="J854">
        <v>2018</v>
      </c>
      <c r="K854" s="4" t="str">
        <f>HYPERLINK("http://legacy.baseballprospectus.com/fantasy/dc/index.php?tm=OAK","OAK")</f>
        <v>OAK</v>
      </c>
      <c r="L854" t="s">
        <v>95</v>
      </c>
      <c r="M854" t="s">
        <v>34</v>
      </c>
      <c r="N854">
        <v>23</v>
      </c>
      <c r="O854">
        <v>250</v>
      </c>
      <c r="P854" t="s">
        <v>1680</v>
      </c>
      <c r="Q854">
        <v>224</v>
      </c>
      <c r="R854">
        <v>26</v>
      </c>
      <c r="S854">
        <v>28</v>
      </c>
      <c r="T854">
        <v>9</v>
      </c>
      <c r="U854">
        <v>1</v>
      </c>
      <c r="V854">
        <v>9</v>
      </c>
      <c r="W854">
        <v>47</v>
      </c>
      <c r="X854">
        <v>85</v>
      </c>
      <c r="Y854">
        <v>30</v>
      </c>
      <c r="Z854">
        <v>22</v>
      </c>
      <c r="AA854">
        <v>1</v>
      </c>
      <c r="AB854">
        <v>2</v>
      </c>
      <c r="AC854">
        <v>73</v>
      </c>
      <c r="AD854">
        <v>1</v>
      </c>
      <c r="AE854">
        <v>1</v>
      </c>
      <c r="AF854">
        <v>6</v>
      </c>
      <c r="AG854">
        <v>1</v>
      </c>
      <c r="AH854">
        <v>0</v>
      </c>
      <c r="AI854" s="5">
        <v>0.21199999999999999</v>
      </c>
      <c r="AJ854" s="5">
        <v>0.28499999999999998</v>
      </c>
      <c r="AK854" s="5">
        <v>0.379</v>
      </c>
      <c r="AL854" s="5">
        <v>0.223</v>
      </c>
      <c r="AM854" s="5">
        <v>0.26800000000000002</v>
      </c>
      <c r="AN854">
        <v>-0.2</v>
      </c>
      <c r="AO854">
        <v>-0.22</v>
      </c>
      <c r="AP854">
        <v>7</v>
      </c>
      <c r="AQ854">
        <v>-9.7200000000000006</v>
      </c>
      <c r="AR854">
        <v>0.6</v>
      </c>
      <c r="AS854" t="s">
        <v>1229</v>
      </c>
      <c r="AT854">
        <v>-0.3</v>
      </c>
      <c r="AU854">
        <v>-3.2</v>
      </c>
      <c r="AV854">
        <v>0</v>
      </c>
      <c r="AW854">
        <v>1</v>
      </c>
      <c r="AX854">
        <v>2</v>
      </c>
      <c r="AY854">
        <v>2</v>
      </c>
      <c r="AZ854" t="s">
        <v>4591</v>
      </c>
      <c r="BA854">
        <v>2</v>
      </c>
      <c r="BB854" t="s">
        <v>36</v>
      </c>
      <c r="BC854" t="s">
        <v>35</v>
      </c>
      <c r="BD854" s="4">
        <f>HYPERLINK("http://mlb.mlb.com/team/player.jsp?player_id=656364",656364)</f>
        <v>656364</v>
      </c>
      <c r="BE854">
        <v>0</v>
      </c>
      <c r="BF854">
        <v>0</v>
      </c>
      <c r="BG854">
        <v>0</v>
      </c>
      <c r="BH854">
        <v>0</v>
      </c>
    </row>
    <row r="855" spans="1:60" x14ac:dyDescent="0.3">
      <c r="A855" s="4">
        <f>HYPERLINK("http://legacy.baseballprospectus.com/p/55773",55773)</f>
        <v>55773</v>
      </c>
      <c r="B855" t="s">
        <v>275</v>
      </c>
      <c r="C855" t="s">
        <v>175</v>
      </c>
      <c r="D855" s="10">
        <v>32608</v>
      </c>
      <c r="E855" t="s">
        <v>58</v>
      </c>
      <c r="F855" t="s">
        <v>33</v>
      </c>
      <c r="G855" t="s">
        <v>33</v>
      </c>
      <c r="H855">
        <v>72</v>
      </c>
      <c r="I855">
        <v>200</v>
      </c>
      <c r="J855">
        <v>2018</v>
      </c>
      <c r="K855" s="4" t="str">
        <f>HYPERLINK("http://legacy.baseballprospectus.com/fantasy/dc/index.php?tm=ATL","ATL")</f>
        <v>ATL</v>
      </c>
      <c r="L855" t="s">
        <v>100</v>
      </c>
      <c r="M855" t="s">
        <v>34</v>
      </c>
      <c r="N855">
        <v>29</v>
      </c>
      <c r="O855">
        <v>196</v>
      </c>
      <c r="P855">
        <v>103</v>
      </c>
      <c r="Q855">
        <v>183</v>
      </c>
      <c r="R855">
        <v>21</v>
      </c>
      <c r="S855">
        <v>30</v>
      </c>
      <c r="T855">
        <v>8</v>
      </c>
      <c r="U855">
        <v>1</v>
      </c>
      <c r="V855">
        <v>4</v>
      </c>
      <c r="W855">
        <v>43</v>
      </c>
      <c r="X855">
        <v>65</v>
      </c>
      <c r="Y855">
        <v>17</v>
      </c>
      <c r="Z855">
        <v>10</v>
      </c>
      <c r="AA855">
        <v>1</v>
      </c>
      <c r="AB855">
        <v>1</v>
      </c>
      <c r="AC855">
        <v>45</v>
      </c>
      <c r="AD855">
        <v>1</v>
      </c>
      <c r="AE855">
        <v>1</v>
      </c>
      <c r="AF855">
        <v>6</v>
      </c>
      <c r="AG855">
        <v>2</v>
      </c>
      <c r="AH855">
        <v>1</v>
      </c>
      <c r="AI855" s="5">
        <v>0.23499999999999999</v>
      </c>
      <c r="AJ855" s="5">
        <v>0.27700000000000002</v>
      </c>
      <c r="AK855" s="5">
        <v>0.35499999999999998</v>
      </c>
      <c r="AL855" s="5">
        <v>0.218</v>
      </c>
      <c r="AM855" s="5">
        <v>0.28599999999999998</v>
      </c>
      <c r="AN855">
        <v>-0.2</v>
      </c>
      <c r="AO855">
        <v>-0.11</v>
      </c>
      <c r="AP855">
        <v>5.26</v>
      </c>
      <c r="AQ855">
        <v>-8.66</v>
      </c>
      <c r="AR855">
        <v>0</v>
      </c>
      <c r="AS855" t="s">
        <v>1333</v>
      </c>
      <c r="AT855">
        <v>-0.4</v>
      </c>
      <c r="AU855">
        <v>-3.7</v>
      </c>
      <c r="AV855">
        <v>1</v>
      </c>
      <c r="AW855">
        <v>15</v>
      </c>
      <c r="AX855">
        <v>13</v>
      </c>
      <c r="AY855">
        <v>21</v>
      </c>
      <c r="AZ855" t="s">
        <v>4513</v>
      </c>
      <c r="BA855">
        <v>49</v>
      </c>
      <c r="BB855" t="s">
        <v>35</v>
      </c>
      <c r="BC855" t="s">
        <v>36</v>
      </c>
      <c r="BD855" s="4">
        <f>HYPERLINK("http://mlb.mlb.com/team/player.jsp?player_id=518586",518586)</f>
        <v>518586</v>
      </c>
      <c r="BE855">
        <v>1547</v>
      </c>
      <c r="BF855">
        <v>547</v>
      </c>
      <c r="BG855">
        <v>15</v>
      </c>
      <c r="BH855">
        <v>13</v>
      </c>
    </row>
    <row r="856" spans="1:60" x14ac:dyDescent="0.3">
      <c r="A856" s="4">
        <f>HYPERLINK("http://legacy.baseballprospectus.com/p/49076",49076)</f>
        <v>49076</v>
      </c>
      <c r="B856" t="s">
        <v>656</v>
      </c>
      <c r="C856" t="s">
        <v>657</v>
      </c>
      <c r="D856" s="10">
        <v>30593</v>
      </c>
      <c r="E856" t="s">
        <v>54</v>
      </c>
      <c r="F856" t="s">
        <v>33</v>
      </c>
      <c r="G856" t="s">
        <v>33</v>
      </c>
      <c r="H856">
        <v>71</v>
      </c>
      <c r="I856">
        <v>205</v>
      </c>
      <c r="J856">
        <v>2018</v>
      </c>
      <c r="K856" s="4" t="str">
        <f>HYPERLINK("http://legacy.baseballprospectus.com/fantasy/dc/index.php?tm=ATL","ATL")</f>
        <v>ATL</v>
      </c>
      <c r="L856" t="s">
        <v>100</v>
      </c>
      <c r="M856" t="s">
        <v>34</v>
      </c>
      <c r="N856">
        <v>34</v>
      </c>
      <c r="O856">
        <v>263</v>
      </c>
      <c r="P856">
        <v>71</v>
      </c>
      <c r="Q856">
        <v>239</v>
      </c>
      <c r="R856">
        <v>25</v>
      </c>
      <c r="S856">
        <v>42</v>
      </c>
      <c r="T856">
        <v>13</v>
      </c>
      <c r="U856">
        <v>0</v>
      </c>
      <c r="V856">
        <v>5</v>
      </c>
      <c r="W856">
        <v>60</v>
      </c>
      <c r="X856">
        <v>88</v>
      </c>
      <c r="Y856">
        <v>27</v>
      </c>
      <c r="Z856">
        <v>16</v>
      </c>
      <c r="AA856">
        <v>2</v>
      </c>
      <c r="AB856">
        <v>5</v>
      </c>
      <c r="AC856">
        <v>34</v>
      </c>
      <c r="AD856">
        <v>1</v>
      </c>
      <c r="AE856">
        <v>2</v>
      </c>
      <c r="AF856">
        <v>7</v>
      </c>
      <c r="AG856">
        <v>0</v>
      </c>
      <c r="AH856">
        <v>0</v>
      </c>
      <c r="AI856" s="5">
        <v>0.251</v>
      </c>
      <c r="AJ856" s="5">
        <v>0.309</v>
      </c>
      <c r="AK856" s="5">
        <v>0.36799999999999999</v>
      </c>
      <c r="AL856" s="5">
        <v>0.23699999999999999</v>
      </c>
      <c r="AM856" s="5">
        <v>0.27100000000000002</v>
      </c>
      <c r="AN856">
        <v>-0.7</v>
      </c>
      <c r="AO856">
        <v>2</v>
      </c>
      <c r="AP856">
        <v>7.06</v>
      </c>
      <c r="AQ856">
        <v>-6.34</v>
      </c>
      <c r="AR856">
        <v>-6</v>
      </c>
      <c r="AS856" t="s">
        <v>2182</v>
      </c>
      <c r="AT856">
        <v>-0.4</v>
      </c>
      <c r="AU856">
        <v>2.1</v>
      </c>
      <c r="AV856">
        <v>1</v>
      </c>
      <c r="AW856">
        <v>27</v>
      </c>
      <c r="AX856">
        <v>18</v>
      </c>
      <c r="AY856">
        <v>24</v>
      </c>
      <c r="AZ856" t="s">
        <v>4514</v>
      </c>
      <c r="BA856">
        <v>86</v>
      </c>
      <c r="BB856" t="s">
        <v>35</v>
      </c>
      <c r="BC856" t="s">
        <v>36</v>
      </c>
      <c r="BD856" s="4">
        <f>HYPERLINK("http://mlb.mlb.com/team/player.jsp?player_id=435559",435559)</f>
        <v>435559</v>
      </c>
      <c r="BE856">
        <v>1382</v>
      </c>
      <c r="BF856">
        <v>382</v>
      </c>
      <c r="BG856">
        <v>309</v>
      </c>
      <c r="BH856">
        <v>276</v>
      </c>
    </row>
    <row r="857" spans="1:60" x14ac:dyDescent="0.3">
      <c r="A857" s="4">
        <f>HYPERLINK("http://legacy.baseballprospectus.com/p/59818",59818)</f>
        <v>59818</v>
      </c>
      <c r="B857" t="s">
        <v>1396</v>
      </c>
      <c r="C857" t="s">
        <v>1397</v>
      </c>
      <c r="D857" s="10">
        <v>33407</v>
      </c>
      <c r="E857" t="s">
        <v>54</v>
      </c>
      <c r="F857" t="s">
        <v>37</v>
      </c>
      <c r="G857" t="s">
        <v>33</v>
      </c>
      <c r="H857">
        <v>68</v>
      </c>
      <c r="I857">
        <v>220</v>
      </c>
      <c r="J857">
        <v>2018</v>
      </c>
      <c r="K857" s="4" t="str">
        <f>HYPERLINK("http://legacy.baseballprospectus.com/fantasy/dc/index.php?tm=MIA","MIA")</f>
        <v>MIA</v>
      </c>
      <c r="L857" t="s">
        <v>100</v>
      </c>
      <c r="M857" t="s">
        <v>34</v>
      </c>
      <c r="N857">
        <v>27</v>
      </c>
      <c r="O857">
        <v>96</v>
      </c>
      <c r="P857">
        <v>29</v>
      </c>
      <c r="Q857">
        <v>89</v>
      </c>
      <c r="R857">
        <v>10</v>
      </c>
      <c r="S857">
        <v>18</v>
      </c>
      <c r="T857">
        <v>4</v>
      </c>
      <c r="U857">
        <v>1</v>
      </c>
      <c r="V857">
        <v>2</v>
      </c>
      <c r="W857">
        <v>25</v>
      </c>
      <c r="X857">
        <v>37</v>
      </c>
      <c r="Y857">
        <v>10</v>
      </c>
      <c r="Z857">
        <v>5</v>
      </c>
      <c r="AA857">
        <v>1</v>
      </c>
      <c r="AB857">
        <v>1</v>
      </c>
      <c r="AC857">
        <v>13</v>
      </c>
      <c r="AD857">
        <v>1</v>
      </c>
      <c r="AE857">
        <v>1</v>
      </c>
      <c r="AF857">
        <v>3</v>
      </c>
      <c r="AG857">
        <v>1</v>
      </c>
      <c r="AH857">
        <v>0</v>
      </c>
      <c r="AI857" s="5">
        <v>0.28100000000000003</v>
      </c>
      <c r="AJ857" s="5">
        <v>0.32300000000000001</v>
      </c>
      <c r="AK857" s="5">
        <v>0.41599999999999998</v>
      </c>
      <c r="AL857" s="5">
        <v>0.24199999999999999</v>
      </c>
      <c r="AM857" s="5">
        <v>0.29099999999999998</v>
      </c>
      <c r="AN857">
        <v>0</v>
      </c>
      <c r="AO857">
        <v>0.73</v>
      </c>
      <c r="AP857">
        <v>2.58</v>
      </c>
      <c r="AQ857">
        <v>-1.78</v>
      </c>
      <c r="AR857">
        <v>-5.9</v>
      </c>
      <c r="AS857" t="s">
        <v>2182</v>
      </c>
      <c r="AT857">
        <v>-0.4</v>
      </c>
      <c r="AU857">
        <v>1.5</v>
      </c>
      <c r="AV857">
        <v>6</v>
      </c>
      <c r="AW857">
        <v>15</v>
      </c>
      <c r="AX857">
        <v>18</v>
      </c>
      <c r="AY857">
        <v>32</v>
      </c>
      <c r="AZ857" t="s">
        <v>4606</v>
      </c>
      <c r="BA857">
        <v>55</v>
      </c>
      <c r="BB857" t="s">
        <v>35</v>
      </c>
      <c r="BC857" t="s">
        <v>36</v>
      </c>
      <c r="BD857" s="4">
        <f>HYPERLINK("http://mlb.mlb.com/team/player.jsp?player_id=542513",542513)</f>
        <v>542513</v>
      </c>
      <c r="BE857">
        <v>1397</v>
      </c>
      <c r="BF857">
        <v>397</v>
      </c>
      <c r="BG857">
        <v>111</v>
      </c>
      <c r="BH857">
        <v>104</v>
      </c>
    </row>
    <row r="858" spans="1:60" x14ac:dyDescent="0.3">
      <c r="A858" s="4">
        <f>HYPERLINK("http://legacy.baseballprospectus.com/p/65906",65906)</f>
        <v>65906</v>
      </c>
      <c r="B858" t="s">
        <v>1247</v>
      </c>
      <c r="C858" t="s">
        <v>224</v>
      </c>
      <c r="D858" s="10">
        <v>32414</v>
      </c>
      <c r="E858" t="s">
        <v>54</v>
      </c>
      <c r="F858" t="s">
        <v>33</v>
      </c>
      <c r="G858" t="s">
        <v>33</v>
      </c>
      <c r="H858">
        <v>74</v>
      </c>
      <c r="I858">
        <v>260</v>
      </c>
      <c r="J858">
        <v>2018</v>
      </c>
      <c r="K858" s="4" t="str">
        <f>HYPERLINK("http://legacy.baseballprospectus.com/fantasy/dc/index.php?tm=PHI","PHI")</f>
        <v>PHI</v>
      </c>
      <c r="L858" t="s">
        <v>100</v>
      </c>
      <c r="M858" t="s">
        <v>34</v>
      </c>
      <c r="N858">
        <v>29</v>
      </c>
      <c r="O858">
        <v>209</v>
      </c>
      <c r="P858">
        <v>67</v>
      </c>
      <c r="Q858">
        <v>191</v>
      </c>
      <c r="R858">
        <v>24</v>
      </c>
      <c r="S858">
        <v>26</v>
      </c>
      <c r="T858">
        <v>9</v>
      </c>
      <c r="U858">
        <v>0</v>
      </c>
      <c r="V858">
        <v>8</v>
      </c>
      <c r="W858">
        <v>43</v>
      </c>
      <c r="X858">
        <v>76</v>
      </c>
      <c r="Y858">
        <v>25</v>
      </c>
      <c r="Z858">
        <v>15</v>
      </c>
      <c r="AA858">
        <v>1</v>
      </c>
      <c r="AB858">
        <v>2</v>
      </c>
      <c r="AC858">
        <v>62</v>
      </c>
      <c r="AD858">
        <v>0</v>
      </c>
      <c r="AE858">
        <v>1</v>
      </c>
      <c r="AF858">
        <v>7</v>
      </c>
      <c r="AG858">
        <v>0</v>
      </c>
      <c r="AH858">
        <v>0</v>
      </c>
      <c r="AI858" s="5">
        <v>0.22500000000000001</v>
      </c>
      <c r="AJ858" s="5">
        <v>0.28699999999999998</v>
      </c>
      <c r="AK858" s="5">
        <v>0.39800000000000002</v>
      </c>
      <c r="AL858" s="5">
        <v>0.23799999999999999</v>
      </c>
      <c r="AM858" s="5">
        <v>0.28599999999999998</v>
      </c>
      <c r="AN858">
        <v>-0.4</v>
      </c>
      <c r="AO858">
        <v>1.26</v>
      </c>
      <c r="AP858">
        <v>5.61</v>
      </c>
      <c r="AQ858">
        <v>-4.92</v>
      </c>
      <c r="AR858">
        <v>-5.0999999999999996</v>
      </c>
      <c r="AS858" t="s">
        <v>1687</v>
      </c>
      <c r="AT858">
        <v>-0.4</v>
      </c>
      <c r="AU858">
        <v>1.5</v>
      </c>
      <c r="AV858">
        <v>8</v>
      </c>
      <c r="AW858">
        <v>37</v>
      </c>
      <c r="AX858">
        <v>7</v>
      </c>
      <c r="AY858">
        <v>16</v>
      </c>
      <c r="AZ858" t="s">
        <v>4523</v>
      </c>
      <c r="BA858">
        <v>85</v>
      </c>
      <c r="BB858" t="s">
        <v>35</v>
      </c>
      <c r="BC858" t="s">
        <v>36</v>
      </c>
      <c r="BD858" s="4">
        <f>HYPERLINK("http://mlb.mlb.com/team/player.jsp?player_id=519237",519237)</f>
        <v>519237</v>
      </c>
      <c r="BE858">
        <v>1380</v>
      </c>
      <c r="BF858">
        <v>380</v>
      </c>
      <c r="BG858">
        <v>331</v>
      </c>
      <c r="BH858">
        <v>295</v>
      </c>
    </row>
    <row r="859" spans="1:60" x14ac:dyDescent="0.3">
      <c r="A859" s="4">
        <f>HYPERLINK("http://legacy.baseballprospectus.com/p/102775",102775)</f>
        <v>102775</v>
      </c>
      <c r="B859" t="s">
        <v>1926</v>
      </c>
      <c r="C859" t="s">
        <v>767</v>
      </c>
      <c r="D859" s="10">
        <v>33856</v>
      </c>
      <c r="E859" t="s">
        <v>53</v>
      </c>
      <c r="F859" t="s">
        <v>33</v>
      </c>
      <c r="G859" t="s">
        <v>33</v>
      </c>
      <c r="H859">
        <v>71</v>
      </c>
      <c r="I859">
        <v>200</v>
      </c>
      <c r="J859">
        <v>2018</v>
      </c>
      <c r="K859" s="4" t="str">
        <f>HYPERLINK("http://legacy.baseballprospectus.com/fantasy/dc/index.php?tm=COL","COL")</f>
        <v>COL</v>
      </c>
      <c r="L859" t="s">
        <v>100</v>
      </c>
      <c r="M859" t="s">
        <v>34</v>
      </c>
      <c r="N859">
        <v>25</v>
      </c>
      <c r="O859">
        <v>342</v>
      </c>
      <c r="P859">
        <v>141</v>
      </c>
      <c r="Q859">
        <v>318</v>
      </c>
      <c r="R859">
        <v>37</v>
      </c>
      <c r="S859">
        <v>44</v>
      </c>
      <c r="T859">
        <v>17</v>
      </c>
      <c r="U859">
        <v>2</v>
      </c>
      <c r="V859">
        <v>11</v>
      </c>
      <c r="W859">
        <v>74</v>
      </c>
      <c r="X859">
        <v>128</v>
      </c>
      <c r="Y859">
        <v>41</v>
      </c>
      <c r="Z859">
        <v>17</v>
      </c>
      <c r="AA859">
        <v>1</v>
      </c>
      <c r="AB859">
        <v>1</v>
      </c>
      <c r="AC859">
        <v>92</v>
      </c>
      <c r="AD859">
        <v>4</v>
      </c>
      <c r="AE859">
        <v>2</v>
      </c>
      <c r="AF859">
        <v>6</v>
      </c>
      <c r="AG859">
        <v>4</v>
      </c>
      <c r="AH859">
        <v>2</v>
      </c>
      <c r="AI859" s="5">
        <v>0.23300000000000001</v>
      </c>
      <c r="AJ859" s="5">
        <v>0.27200000000000002</v>
      </c>
      <c r="AK859" s="5">
        <v>0.40300000000000002</v>
      </c>
      <c r="AL859" s="5">
        <v>0.223</v>
      </c>
      <c r="AM859" s="5">
        <v>0.28799999999999998</v>
      </c>
      <c r="AN859">
        <v>-0.2</v>
      </c>
      <c r="AO859">
        <v>-0.19</v>
      </c>
      <c r="AP859">
        <v>9.18</v>
      </c>
      <c r="AQ859">
        <v>-13.16</v>
      </c>
      <c r="AR859">
        <v>0.5</v>
      </c>
      <c r="AS859" t="s">
        <v>4926</v>
      </c>
      <c r="AT859">
        <v>-0.4</v>
      </c>
      <c r="AU859">
        <v>-4.3</v>
      </c>
      <c r="AV859">
        <v>3</v>
      </c>
      <c r="AW859">
        <v>22</v>
      </c>
      <c r="AX859">
        <v>7</v>
      </c>
      <c r="AY859">
        <v>25</v>
      </c>
      <c r="AZ859" t="s">
        <v>4528</v>
      </c>
      <c r="BA859">
        <v>46</v>
      </c>
      <c r="BB859" t="s">
        <v>35</v>
      </c>
      <c r="BC859" t="s">
        <v>36</v>
      </c>
      <c r="BD859" s="4">
        <f>HYPERLINK("http://mlb.mlb.com/team/player.jsp?player_id=642162",642162)</f>
        <v>642162</v>
      </c>
      <c r="BE859">
        <v>1540</v>
      </c>
      <c r="BF859">
        <v>540</v>
      </c>
      <c r="BG859">
        <v>195</v>
      </c>
      <c r="BH859">
        <v>182</v>
      </c>
    </row>
    <row r="860" spans="1:60" x14ac:dyDescent="0.3">
      <c r="A860" s="4">
        <f>HYPERLINK("http://legacy.baseballprospectus.com/p/45744",45744)</f>
        <v>45744</v>
      </c>
      <c r="B860" t="s">
        <v>186</v>
      </c>
      <c r="C860" t="s">
        <v>187</v>
      </c>
      <c r="D860" s="10">
        <v>31160</v>
      </c>
      <c r="E860" t="s">
        <v>65</v>
      </c>
      <c r="F860" t="s">
        <v>37</v>
      </c>
      <c r="G860" t="s">
        <v>33</v>
      </c>
      <c r="H860">
        <v>70</v>
      </c>
      <c r="I860">
        <v>210</v>
      </c>
      <c r="J860">
        <v>2018</v>
      </c>
      <c r="K860" s="4" t="str">
        <f>HYPERLINK("http://legacy.baseballprospectus.com/fantasy/dc/index.php?tm=ARI","ARI")</f>
        <v>ARI</v>
      </c>
      <c r="L860" t="s">
        <v>100</v>
      </c>
      <c r="M860" t="s">
        <v>34</v>
      </c>
      <c r="N860">
        <v>33</v>
      </c>
      <c r="O860">
        <v>250</v>
      </c>
      <c r="P860" t="s">
        <v>1680</v>
      </c>
      <c r="Q860">
        <v>226</v>
      </c>
      <c r="R860">
        <v>30</v>
      </c>
      <c r="S860">
        <v>41</v>
      </c>
      <c r="T860">
        <v>11</v>
      </c>
      <c r="U860">
        <v>2</v>
      </c>
      <c r="V860">
        <v>3</v>
      </c>
      <c r="W860">
        <v>57</v>
      </c>
      <c r="X860">
        <v>81</v>
      </c>
      <c r="Y860">
        <v>18</v>
      </c>
      <c r="Z860">
        <v>17</v>
      </c>
      <c r="AA860">
        <v>1</v>
      </c>
      <c r="AB860">
        <v>1</v>
      </c>
      <c r="AC860">
        <v>56</v>
      </c>
      <c r="AD860">
        <v>5</v>
      </c>
      <c r="AE860">
        <v>1</v>
      </c>
      <c r="AF860">
        <v>4</v>
      </c>
      <c r="AG860">
        <v>12</v>
      </c>
      <c r="AH860">
        <v>4</v>
      </c>
      <c r="AI860" s="5">
        <v>0.249</v>
      </c>
      <c r="AJ860" s="5">
        <v>0.30099999999999999</v>
      </c>
      <c r="AK860" s="5">
        <v>0.35</v>
      </c>
      <c r="AL860" s="5">
        <v>0.22</v>
      </c>
      <c r="AM860" s="5">
        <v>0.31</v>
      </c>
      <c r="AN860">
        <v>0.9</v>
      </c>
      <c r="AO860">
        <v>2.72</v>
      </c>
      <c r="AP860">
        <v>7</v>
      </c>
      <c r="AQ860">
        <v>-10.44</v>
      </c>
      <c r="AR860">
        <v>-3.4</v>
      </c>
      <c r="AS860" t="s">
        <v>4928</v>
      </c>
      <c r="AT860">
        <v>-0.4</v>
      </c>
      <c r="AU860">
        <v>0.1</v>
      </c>
      <c r="AV860">
        <v>2</v>
      </c>
      <c r="AW860">
        <v>28</v>
      </c>
      <c r="AX860">
        <v>14</v>
      </c>
      <c r="AY860">
        <v>27</v>
      </c>
      <c r="AZ860" t="s">
        <v>4576</v>
      </c>
      <c r="BA860">
        <v>74</v>
      </c>
      <c r="BB860" t="s">
        <v>36</v>
      </c>
      <c r="BC860" t="s">
        <v>36</v>
      </c>
      <c r="BD860" s="4">
        <f>HYPERLINK("http://mlb.mlb.com/team/player.jsp?player_id=466988",466988)</f>
        <v>466988</v>
      </c>
      <c r="BE860">
        <v>0</v>
      </c>
      <c r="BF860">
        <v>0</v>
      </c>
      <c r="BG860">
        <v>44</v>
      </c>
      <c r="BH860">
        <v>38</v>
      </c>
    </row>
    <row r="861" spans="1:60" x14ac:dyDescent="0.3">
      <c r="A861" s="4">
        <f>HYPERLINK("http://legacy.baseballprospectus.com/p/48633",48633)</f>
        <v>48633</v>
      </c>
      <c r="B861" t="s">
        <v>599</v>
      </c>
      <c r="C861" t="s">
        <v>227</v>
      </c>
      <c r="D861" s="10">
        <v>30531</v>
      </c>
      <c r="E861" t="s">
        <v>50</v>
      </c>
      <c r="F861" t="s">
        <v>33</v>
      </c>
      <c r="G861" t="s">
        <v>33</v>
      </c>
      <c r="H861">
        <v>74</v>
      </c>
      <c r="I861">
        <v>220</v>
      </c>
      <c r="J861">
        <v>2018</v>
      </c>
      <c r="K861" s="4" t="str">
        <f>HYPERLINK("http://legacy.baseballprospectus.com/fantasy/dc/index.php?tm=COL","COL")</f>
        <v>COL</v>
      </c>
      <c r="L861" t="s">
        <v>100</v>
      </c>
      <c r="M861" t="s">
        <v>34</v>
      </c>
      <c r="N861">
        <v>34</v>
      </c>
      <c r="O861">
        <v>527</v>
      </c>
      <c r="P861" t="s">
        <v>1680</v>
      </c>
      <c r="Q861">
        <v>463</v>
      </c>
      <c r="R861">
        <v>64</v>
      </c>
      <c r="S861">
        <v>67</v>
      </c>
      <c r="T861">
        <v>20</v>
      </c>
      <c r="U861">
        <v>1</v>
      </c>
      <c r="V861">
        <v>22</v>
      </c>
      <c r="W861">
        <v>110</v>
      </c>
      <c r="X861">
        <v>198</v>
      </c>
      <c r="Y861">
        <v>72</v>
      </c>
      <c r="Z861">
        <v>57</v>
      </c>
      <c r="AA861">
        <v>1</v>
      </c>
      <c r="AB861">
        <v>3</v>
      </c>
      <c r="AC861">
        <v>153</v>
      </c>
      <c r="AD861">
        <v>0</v>
      </c>
      <c r="AE861">
        <v>3</v>
      </c>
      <c r="AF861">
        <v>12</v>
      </c>
      <c r="AG861">
        <v>2</v>
      </c>
      <c r="AH861">
        <v>2</v>
      </c>
      <c r="AI861" s="5">
        <v>0.23699999999999999</v>
      </c>
      <c r="AJ861" s="5">
        <v>0.32400000000000001</v>
      </c>
      <c r="AK861" s="5">
        <v>0.42899999999999999</v>
      </c>
      <c r="AL861" s="5">
        <v>0.247</v>
      </c>
      <c r="AM861" s="5">
        <v>0.30099999999999999</v>
      </c>
      <c r="AN861">
        <v>-2.7</v>
      </c>
      <c r="AO861">
        <v>-4.71</v>
      </c>
      <c r="AP861">
        <v>14.76</v>
      </c>
      <c r="AQ861">
        <v>-7.29</v>
      </c>
      <c r="AR861">
        <v>-3.4</v>
      </c>
      <c r="AS861" t="s">
        <v>4577</v>
      </c>
      <c r="AT861">
        <v>-0.4</v>
      </c>
      <c r="AU861">
        <v>0</v>
      </c>
      <c r="AV861">
        <v>1</v>
      </c>
      <c r="AW861">
        <v>29</v>
      </c>
      <c r="AX861">
        <v>14</v>
      </c>
      <c r="AY861">
        <v>23</v>
      </c>
      <c r="AZ861" t="s">
        <v>4578</v>
      </c>
      <c r="BA861">
        <v>88</v>
      </c>
      <c r="BB861" t="s">
        <v>36</v>
      </c>
      <c r="BC861" t="s">
        <v>36</v>
      </c>
      <c r="BD861" s="4">
        <f>HYPERLINK("http://mlb.mlb.com/team/player.jsp?player_id=448602",448602)</f>
        <v>448602</v>
      </c>
      <c r="BE861">
        <v>0</v>
      </c>
      <c r="BF861">
        <v>0</v>
      </c>
      <c r="BG861">
        <v>593</v>
      </c>
      <c r="BH861">
        <v>520</v>
      </c>
    </row>
    <row r="862" spans="1:60" x14ac:dyDescent="0.3">
      <c r="A862" s="4">
        <f>HYPERLINK("http://legacy.baseballprospectus.com/p/57426",57426)</f>
        <v>57426</v>
      </c>
      <c r="B862" t="s">
        <v>2209</v>
      </c>
      <c r="C862" t="s">
        <v>464</v>
      </c>
      <c r="D862" s="10">
        <v>32244</v>
      </c>
      <c r="E862" t="s">
        <v>53</v>
      </c>
      <c r="F862" t="s">
        <v>33</v>
      </c>
      <c r="G862" t="s">
        <v>33</v>
      </c>
      <c r="H862">
        <v>72</v>
      </c>
      <c r="I862">
        <v>190</v>
      </c>
      <c r="J862">
        <v>2018</v>
      </c>
      <c r="K862" s="4" t="str">
        <f>HYPERLINK("http://legacy.baseballprospectus.com/fantasy/dc/index.php?tm=DET","DET")</f>
        <v>DET</v>
      </c>
      <c r="L862" t="s">
        <v>95</v>
      </c>
      <c r="M862" t="s">
        <v>34</v>
      </c>
      <c r="N862">
        <v>30</v>
      </c>
      <c r="O862">
        <v>250</v>
      </c>
      <c r="P862" t="s">
        <v>1680</v>
      </c>
      <c r="Q862">
        <v>223</v>
      </c>
      <c r="R862">
        <v>25</v>
      </c>
      <c r="S862">
        <v>34</v>
      </c>
      <c r="T862">
        <v>11</v>
      </c>
      <c r="U862">
        <v>0</v>
      </c>
      <c r="V862">
        <v>4</v>
      </c>
      <c r="W862">
        <v>49</v>
      </c>
      <c r="X862">
        <v>72</v>
      </c>
      <c r="Y862">
        <v>21</v>
      </c>
      <c r="Z862">
        <v>21</v>
      </c>
      <c r="AA862">
        <v>2</v>
      </c>
      <c r="AB862">
        <v>3</v>
      </c>
      <c r="AC862">
        <v>52</v>
      </c>
      <c r="AD862">
        <v>2</v>
      </c>
      <c r="AE862">
        <v>1</v>
      </c>
      <c r="AF862">
        <v>6</v>
      </c>
      <c r="AG862">
        <v>4</v>
      </c>
      <c r="AH862">
        <v>2</v>
      </c>
      <c r="AI862" s="5">
        <v>0.219</v>
      </c>
      <c r="AJ862" s="5">
        <v>0.29299999999999998</v>
      </c>
      <c r="AK862" s="5">
        <v>0.318</v>
      </c>
      <c r="AL862" s="5">
        <v>0.20499999999999999</v>
      </c>
      <c r="AM862" s="5">
        <v>0.26500000000000001</v>
      </c>
      <c r="AN862">
        <v>-0.3</v>
      </c>
      <c r="AO862">
        <v>2.85</v>
      </c>
      <c r="AP862">
        <v>7</v>
      </c>
      <c r="AQ862">
        <v>-14.53</v>
      </c>
      <c r="AR862">
        <v>1.4</v>
      </c>
      <c r="AS862" t="s">
        <v>4015</v>
      </c>
      <c r="AT862">
        <v>-0.4</v>
      </c>
      <c r="AU862">
        <v>-5</v>
      </c>
      <c r="AV862">
        <v>3</v>
      </c>
      <c r="AW862">
        <v>21</v>
      </c>
      <c r="AX862">
        <v>12</v>
      </c>
      <c r="AY862">
        <v>33</v>
      </c>
      <c r="AZ862" t="s">
        <v>4609</v>
      </c>
      <c r="BA862">
        <v>54</v>
      </c>
      <c r="BB862" t="s">
        <v>36</v>
      </c>
      <c r="BC862" t="s">
        <v>36</v>
      </c>
      <c r="BD862" s="4">
        <f>HYPERLINK("http://mlb.mlb.com/team/player.jsp?player_id=518902",518902)</f>
        <v>518902</v>
      </c>
      <c r="BE862">
        <v>0</v>
      </c>
      <c r="BF862">
        <v>0</v>
      </c>
      <c r="BG862">
        <v>51</v>
      </c>
      <c r="BH862">
        <v>45</v>
      </c>
    </row>
    <row r="863" spans="1:60" x14ac:dyDescent="0.3">
      <c r="A863" s="4">
        <f>HYPERLINK("http://legacy.baseballprospectus.com/p/58470",58470)</f>
        <v>58470</v>
      </c>
      <c r="B863" t="s">
        <v>522</v>
      </c>
      <c r="C863" t="s">
        <v>258</v>
      </c>
      <c r="D863" s="10">
        <v>31807</v>
      </c>
      <c r="E863" t="s">
        <v>50</v>
      </c>
      <c r="F863" t="s">
        <v>33</v>
      </c>
      <c r="G863" t="s">
        <v>33</v>
      </c>
      <c r="H863">
        <v>74</v>
      </c>
      <c r="I863">
        <v>220</v>
      </c>
      <c r="J863">
        <v>2018</v>
      </c>
      <c r="K863" s="4" t="str">
        <f>HYPERLINK("http://legacy.baseballprospectus.com/fantasy/dc/index.php?tm=MIA","MIA")</f>
        <v>MIA</v>
      </c>
      <c r="L863" t="s">
        <v>100</v>
      </c>
      <c r="M863" t="s">
        <v>34</v>
      </c>
      <c r="N863">
        <v>31</v>
      </c>
      <c r="O863">
        <v>250</v>
      </c>
      <c r="P863" t="s">
        <v>1680</v>
      </c>
      <c r="Q863">
        <v>225</v>
      </c>
      <c r="R863">
        <v>26</v>
      </c>
      <c r="S863">
        <v>31</v>
      </c>
      <c r="T863">
        <v>12</v>
      </c>
      <c r="U863">
        <v>0</v>
      </c>
      <c r="V863">
        <v>9</v>
      </c>
      <c r="W863">
        <v>52</v>
      </c>
      <c r="X863">
        <v>91</v>
      </c>
      <c r="Y863">
        <v>31</v>
      </c>
      <c r="Z863">
        <v>21</v>
      </c>
      <c r="AA863">
        <v>1</v>
      </c>
      <c r="AB863">
        <v>2</v>
      </c>
      <c r="AC863">
        <v>68</v>
      </c>
      <c r="AD863">
        <v>1</v>
      </c>
      <c r="AE863">
        <v>2</v>
      </c>
      <c r="AF863">
        <v>5</v>
      </c>
      <c r="AG863">
        <v>0</v>
      </c>
      <c r="AH863">
        <v>0</v>
      </c>
      <c r="AI863" s="5">
        <v>0.23100000000000001</v>
      </c>
      <c r="AJ863" s="5">
        <v>0.29899999999999999</v>
      </c>
      <c r="AK863" s="5">
        <v>0.40100000000000002</v>
      </c>
      <c r="AL863" s="5">
        <v>0.23799999999999999</v>
      </c>
      <c r="AM863" s="5">
        <v>0.28699999999999998</v>
      </c>
      <c r="AN863">
        <v>-0.5</v>
      </c>
      <c r="AO863">
        <v>-1.77</v>
      </c>
      <c r="AP863">
        <v>7</v>
      </c>
      <c r="AQ863">
        <v>-5.71</v>
      </c>
      <c r="AR863">
        <v>-2.5</v>
      </c>
      <c r="AS863" t="s">
        <v>2183</v>
      </c>
      <c r="AT863">
        <v>-0.4</v>
      </c>
      <c r="AU863">
        <v>-1</v>
      </c>
      <c r="AV863">
        <v>6</v>
      </c>
      <c r="AW863">
        <v>25</v>
      </c>
      <c r="AX863">
        <v>12</v>
      </c>
      <c r="AY863">
        <v>27</v>
      </c>
      <c r="AZ863" t="s">
        <v>4610</v>
      </c>
      <c r="BA863">
        <v>67</v>
      </c>
      <c r="BB863" t="s">
        <v>36</v>
      </c>
      <c r="BC863" t="s">
        <v>36</v>
      </c>
      <c r="BD863" s="4">
        <f>HYPERLINK("http://mlb.mlb.com/team/player.jsp?player_id=489138",489138)</f>
        <v>489138</v>
      </c>
      <c r="BE863">
        <v>0</v>
      </c>
      <c r="BF863">
        <v>0</v>
      </c>
      <c r="BG863">
        <v>203</v>
      </c>
      <c r="BH863">
        <v>187</v>
      </c>
    </row>
    <row r="864" spans="1:60" x14ac:dyDescent="0.3">
      <c r="A864" s="4">
        <f>HYPERLINK("http://legacy.baseballprospectus.com/p/66689",66689)</f>
        <v>66689</v>
      </c>
      <c r="B864" t="s">
        <v>4611</v>
      </c>
      <c r="C864" t="s">
        <v>181</v>
      </c>
      <c r="D864" s="10">
        <v>32822</v>
      </c>
      <c r="E864" t="s">
        <v>57</v>
      </c>
      <c r="F864" t="s">
        <v>33</v>
      </c>
      <c r="G864" t="s">
        <v>33</v>
      </c>
      <c r="H864">
        <v>72</v>
      </c>
      <c r="I864">
        <v>230</v>
      </c>
      <c r="J864">
        <v>2018</v>
      </c>
      <c r="K864" s="4" t="str">
        <f>HYPERLINK("http://legacy.baseballprospectus.com/fantasy/dc/index.php?tm=MIL","MIL")</f>
        <v>MIL</v>
      </c>
      <c r="L864" t="s">
        <v>100</v>
      </c>
      <c r="M864" t="s">
        <v>34</v>
      </c>
      <c r="N864">
        <v>28</v>
      </c>
      <c r="O864">
        <v>250</v>
      </c>
      <c r="P864" t="s">
        <v>1680</v>
      </c>
      <c r="Q864">
        <v>223</v>
      </c>
      <c r="R864">
        <v>28</v>
      </c>
      <c r="S864">
        <v>31</v>
      </c>
      <c r="T864">
        <v>11</v>
      </c>
      <c r="U864">
        <v>0</v>
      </c>
      <c r="V864">
        <v>9</v>
      </c>
      <c r="W864">
        <v>51</v>
      </c>
      <c r="X864">
        <v>89</v>
      </c>
      <c r="Y864">
        <v>32</v>
      </c>
      <c r="Z864">
        <v>21</v>
      </c>
      <c r="AA864">
        <v>1</v>
      </c>
      <c r="AB864">
        <v>5</v>
      </c>
      <c r="AC864">
        <v>70</v>
      </c>
      <c r="AD864">
        <v>0</v>
      </c>
      <c r="AE864">
        <v>1</v>
      </c>
      <c r="AF864">
        <v>6</v>
      </c>
      <c r="AG864">
        <v>0</v>
      </c>
      <c r="AH864">
        <v>0</v>
      </c>
      <c r="AI864" s="5">
        <v>0.23</v>
      </c>
      <c r="AJ864" s="5">
        <v>0.308</v>
      </c>
      <c r="AK864" s="5">
        <v>0.40500000000000003</v>
      </c>
      <c r="AL864" s="5">
        <v>0.24299999999999999</v>
      </c>
      <c r="AM864" s="5">
        <v>0.28999999999999998</v>
      </c>
      <c r="AN864">
        <v>-0.5</v>
      </c>
      <c r="AO864">
        <v>7.0000000000000007E-2</v>
      </c>
      <c r="AP864">
        <v>7</v>
      </c>
      <c r="AQ864">
        <v>-4.5</v>
      </c>
      <c r="AR864">
        <v>-5.4</v>
      </c>
      <c r="AS864" t="s">
        <v>4929</v>
      </c>
      <c r="AT864">
        <v>-0.4</v>
      </c>
      <c r="AU864">
        <v>2.1</v>
      </c>
      <c r="AV864">
        <v>1</v>
      </c>
      <c r="AW864">
        <v>9</v>
      </c>
      <c r="AX864">
        <v>16</v>
      </c>
      <c r="AY864">
        <v>30</v>
      </c>
      <c r="AZ864" t="s">
        <v>4612</v>
      </c>
      <c r="BA864">
        <v>41</v>
      </c>
      <c r="BB864" t="s">
        <v>36</v>
      </c>
      <c r="BC864" t="s">
        <v>35</v>
      </c>
      <c r="BD864" s="4">
        <f>HYPERLINK("http://mlb.mlb.com/team/player.jsp?player_id=574831",574831)</f>
        <v>574831</v>
      </c>
      <c r="BE864">
        <v>0</v>
      </c>
      <c r="BF864">
        <v>0</v>
      </c>
      <c r="BG864">
        <v>0</v>
      </c>
      <c r="BH864">
        <v>0</v>
      </c>
    </row>
    <row r="865" spans="1:60" x14ac:dyDescent="0.3">
      <c r="A865" s="4">
        <f>HYPERLINK("http://legacy.baseballprospectus.com/p/67147",67147)</f>
        <v>67147</v>
      </c>
      <c r="B865" t="s">
        <v>4613</v>
      </c>
      <c r="C865" t="s">
        <v>182</v>
      </c>
      <c r="D865" s="10">
        <v>33568</v>
      </c>
      <c r="E865" t="s">
        <v>57</v>
      </c>
      <c r="F865" t="s">
        <v>9</v>
      </c>
      <c r="G865" t="s">
        <v>9</v>
      </c>
      <c r="H865">
        <v>74</v>
      </c>
      <c r="I865">
        <v>215</v>
      </c>
      <c r="J865">
        <v>2018</v>
      </c>
      <c r="K865" s="4" t="str">
        <f>HYPERLINK("http://legacy.baseballprospectus.com/fantasy/dc/index.php?tm=SEA","SEA")</f>
        <v>SEA</v>
      </c>
      <c r="L865" t="s">
        <v>95</v>
      </c>
      <c r="M865" t="s">
        <v>34</v>
      </c>
      <c r="N865">
        <v>26</v>
      </c>
      <c r="O865">
        <v>250</v>
      </c>
      <c r="P865" t="s">
        <v>1680</v>
      </c>
      <c r="Q865">
        <v>230</v>
      </c>
      <c r="R865">
        <v>25</v>
      </c>
      <c r="S865">
        <v>36</v>
      </c>
      <c r="T865">
        <v>12</v>
      </c>
      <c r="U865">
        <v>0</v>
      </c>
      <c r="V865">
        <v>7</v>
      </c>
      <c r="W865">
        <v>55</v>
      </c>
      <c r="X865">
        <v>88</v>
      </c>
      <c r="Y865">
        <v>29</v>
      </c>
      <c r="Z865">
        <v>15</v>
      </c>
      <c r="AA865">
        <v>2</v>
      </c>
      <c r="AB865">
        <v>2</v>
      </c>
      <c r="AC865">
        <v>62</v>
      </c>
      <c r="AD865">
        <v>0</v>
      </c>
      <c r="AE865">
        <v>2</v>
      </c>
      <c r="AF865">
        <v>6</v>
      </c>
      <c r="AG865">
        <v>1</v>
      </c>
      <c r="AH865">
        <v>1</v>
      </c>
      <c r="AI865" s="5">
        <v>0.23799999999999999</v>
      </c>
      <c r="AJ865" s="5">
        <v>0.28999999999999998</v>
      </c>
      <c r="AK865" s="5">
        <v>0.38400000000000001</v>
      </c>
      <c r="AL865" s="5">
        <v>0.22900000000000001</v>
      </c>
      <c r="AM865" s="5">
        <v>0.29399999999999998</v>
      </c>
      <c r="AN865">
        <v>-0.5</v>
      </c>
      <c r="AO865">
        <v>-0.56000000000000005</v>
      </c>
      <c r="AP865">
        <v>7</v>
      </c>
      <c r="AQ865">
        <v>-8.09</v>
      </c>
      <c r="AR865">
        <v>-1.1000000000000001</v>
      </c>
      <c r="AS865" t="s">
        <v>4614</v>
      </c>
      <c r="AT865">
        <v>-0.4</v>
      </c>
      <c r="AU865">
        <v>-2.2000000000000002</v>
      </c>
      <c r="AV865">
        <v>0</v>
      </c>
      <c r="AW865">
        <v>5</v>
      </c>
      <c r="AX865">
        <v>5</v>
      </c>
      <c r="AY865">
        <v>12</v>
      </c>
      <c r="AZ865" t="s">
        <v>4615</v>
      </c>
      <c r="BA865">
        <v>14</v>
      </c>
      <c r="BB865" t="s">
        <v>36</v>
      </c>
      <c r="BC865" t="s">
        <v>35</v>
      </c>
      <c r="BD865" s="4">
        <f>HYPERLINK("http://mlb.mlb.com/team/player.jsp?player_id=592835",592835)</f>
        <v>592835</v>
      </c>
      <c r="BE865">
        <v>0</v>
      </c>
      <c r="BF865">
        <v>0</v>
      </c>
      <c r="BG865">
        <v>0</v>
      </c>
      <c r="BH865">
        <v>0</v>
      </c>
    </row>
    <row r="866" spans="1:60" x14ac:dyDescent="0.3">
      <c r="A866" s="4">
        <f>HYPERLINK("http://legacy.baseballprospectus.com/p/68737",68737)</f>
        <v>68737</v>
      </c>
      <c r="B866" t="s">
        <v>869</v>
      </c>
      <c r="C866" t="s">
        <v>125</v>
      </c>
      <c r="D866" s="10">
        <v>33626</v>
      </c>
      <c r="E866" t="s">
        <v>65</v>
      </c>
      <c r="F866" t="s">
        <v>37</v>
      </c>
      <c r="G866" t="s">
        <v>33</v>
      </c>
      <c r="H866">
        <v>70</v>
      </c>
      <c r="I866">
        <v>180</v>
      </c>
      <c r="J866">
        <v>2018</v>
      </c>
      <c r="K866" s="4" t="str">
        <f>HYPERLINK("http://legacy.baseballprospectus.com/fantasy/dc/index.php?tm=CHA","CHA")</f>
        <v>CHA</v>
      </c>
      <c r="L866" t="s">
        <v>95</v>
      </c>
      <c r="M866" t="s">
        <v>34</v>
      </c>
      <c r="N866">
        <v>26</v>
      </c>
      <c r="O866">
        <v>250</v>
      </c>
      <c r="P866" t="s">
        <v>1680</v>
      </c>
      <c r="Q866">
        <v>226</v>
      </c>
      <c r="R866">
        <v>32</v>
      </c>
      <c r="S866">
        <v>38</v>
      </c>
      <c r="T866">
        <v>9</v>
      </c>
      <c r="U866">
        <v>1</v>
      </c>
      <c r="V866">
        <v>5</v>
      </c>
      <c r="W866">
        <v>53</v>
      </c>
      <c r="X866">
        <v>79</v>
      </c>
      <c r="Y866">
        <v>20</v>
      </c>
      <c r="Z866">
        <v>15</v>
      </c>
      <c r="AA866">
        <v>1</v>
      </c>
      <c r="AB866">
        <v>3</v>
      </c>
      <c r="AC866">
        <v>65</v>
      </c>
      <c r="AD866">
        <v>5</v>
      </c>
      <c r="AE866">
        <v>1</v>
      </c>
      <c r="AF866">
        <v>6</v>
      </c>
      <c r="AG866">
        <v>13</v>
      </c>
      <c r="AH866">
        <v>4</v>
      </c>
      <c r="AI866" s="5">
        <v>0.23300000000000001</v>
      </c>
      <c r="AJ866" s="5">
        <v>0.28899999999999998</v>
      </c>
      <c r="AK866" s="5">
        <v>0.34799999999999998</v>
      </c>
      <c r="AL866" s="5">
        <v>0.21199999999999999</v>
      </c>
      <c r="AM866" s="5">
        <v>0.29599999999999999</v>
      </c>
      <c r="AN866">
        <v>1</v>
      </c>
      <c r="AO866">
        <v>2.9</v>
      </c>
      <c r="AP866">
        <v>7</v>
      </c>
      <c r="AQ866">
        <v>-12.66</v>
      </c>
      <c r="AR866">
        <v>-2.2000000000000002</v>
      </c>
      <c r="AS866" t="s">
        <v>1006</v>
      </c>
      <c r="AT866">
        <v>-0.4</v>
      </c>
      <c r="AU866">
        <v>-1.8</v>
      </c>
      <c r="AV866">
        <v>1</v>
      </c>
      <c r="AW866">
        <v>9</v>
      </c>
      <c r="AX866">
        <v>11</v>
      </c>
      <c r="AY866">
        <v>17</v>
      </c>
      <c r="AZ866" t="s">
        <v>4616</v>
      </c>
      <c r="BA866">
        <v>24</v>
      </c>
      <c r="BB866" t="s">
        <v>36</v>
      </c>
      <c r="BC866" t="s">
        <v>35</v>
      </c>
      <c r="BD866" s="4">
        <f>HYPERLINK("http://mlb.mlb.com/team/player.jsp?player_id=594576",594576)</f>
        <v>594576</v>
      </c>
      <c r="BE866">
        <v>0</v>
      </c>
      <c r="BF866">
        <v>0</v>
      </c>
      <c r="BG866">
        <v>42</v>
      </c>
      <c r="BH866">
        <v>36</v>
      </c>
    </row>
    <row r="867" spans="1:60" x14ac:dyDescent="0.3">
      <c r="A867" s="4">
        <f>HYPERLINK("http://legacy.baseballprospectus.com/p/100899",100899)</f>
        <v>100899</v>
      </c>
      <c r="B867" t="s">
        <v>93</v>
      </c>
      <c r="C867" t="s">
        <v>1432</v>
      </c>
      <c r="D867" s="10">
        <v>34498</v>
      </c>
      <c r="E867" t="s">
        <v>53</v>
      </c>
      <c r="F867" t="s">
        <v>33</v>
      </c>
      <c r="G867" t="s">
        <v>33</v>
      </c>
      <c r="H867">
        <v>72</v>
      </c>
      <c r="I867">
        <v>170</v>
      </c>
      <c r="J867">
        <v>2018</v>
      </c>
      <c r="K867" s="4" t="str">
        <f>HYPERLINK("http://legacy.baseballprospectus.com/fantasy/dc/index.php?tm=WAS","WAS")</f>
        <v>WAS</v>
      </c>
      <c r="L867" t="s">
        <v>100</v>
      </c>
      <c r="M867" t="s">
        <v>34</v>
      </c>
      <c r="N867">
        <v>24</v>
      </c>
      <c r="O867">
        <v>250</v>
      </c>
      <c r="P867" t="s">
        <v>1680</v>
      </c>
      <c r="Q867">
        <v>227</v>
      </c>
      <c r="R867">
        <v>28</v>
      </c>
      <c r="S867">
        <v>35</v>
      </c>
      <c r="T867">
        <v>10</v>
      </c>
      <c r="U867">
        <v>1</v>
      </c>
      <c r="V867">
        <v>5</v>
      </c>
      <c r="W867">
        <v>51</v>
      </c>
      <c r="X867">
        <v>78</v>
      </c>
      <c r="Y867">
        <v>23</v>
      </c>
      <c r="Z867">
        <v>17</v>
      </c>
      <c r="AA867">
        <v>1</v>
      </c>
      <c r="AB867">
        <v>3</v>
      </c>
      <c r="AC867">
        <v>67</v>
      </c>
      <c r="AD867">
        <v>2</v>
      </c>
      <c r="AE867">
        <v>1</v>
      </c>
      <c r="AF867">
        <v>6</v>
      </c>
      <c r="AG867">
        <v>2</v>
      </c>
      <c r="AH867">
        <v>2</v>
      </c>
      <c r="AI867" s="5">
        <v>0.22800000000000001</v>
      </c>
      <c r="AJ867" s="5">
        <v>0.28899999999999998</v>
      </c>
      <c r="AK867" s="5">
        <v>0.35299999999999998</v>
      </c>
      <c r="AL867" s="5">
        <v>0.215</v>
      </c>
      <c r="AM867" s="5">
        <v>0.29399999999999998</v>
      </c>
      <c r="AN867">
        <v>-0.5</v>
      </c>
      <c r="AO867">
        <v>4.2699999999999996</v>
      </c>
      <c r="AP867">
        <v>7</v>
      </c>
      <c r="AQ867">
        <v>-11.76</v>
      </c>
      <c r="AR867">
        <v>-2.7</v>
      </c>
      <c r="AS867" t="s">
        <v>63</v>
      </c>
      <c r="AT867">
        <v>-0.4</v>
      </c>
      <c r="AU867">
        <v>-1</v>
      </c>
      <c r="AV867">
        <v>4</v>
      </c>
      <c r="AW867">
        <v>10</v>
      </c>
      <c r="AX867">
        <v>2</v>
      </c>
      <c r="AY867">
        <v>23</v>
      </c>
      <c r="AZ867" t="s">
        <v>4584</v>
      </c>
      <c r="BA867">
        <v>25</v>
      </c>
      <c r="BB867" t="s">
        <v>36</v>
      </c>
      <c r="BC867" t="s">
        <v>35</v>
      </c>
      <c r="BD867" s="4">
        <f>HYPERLINK("http://mlb.mlb.com/team/player.jsp?player_id=622435",622435)</f>
        <v>622435</v>
      </c>
      <c r="BE867">
        <v>0</v>
      </c>
      <c r="BF867">
        <v>0</v>
      </c>
      <c r="BG867">
        <v>0</v>
      </c>
      <c r="BH867">
        <v>0</v>
      </c>
    </row>
    <row r="868" spans="1:60" x14ac:dyDescent="0.3">
      <c r="A868" s="4">
        <f>HYPERLINK("http://legacy.baseballprospectus.com/p/103402",103402)</f>
        <v>103402</v>
      </c>
      <c r="B868" t="s">
        <v>430</v>
      </c>
      <c r="C868" t="s">
        <v>126</v>
      </c>
      <c r="D868" s="10">
        <v>34740</v>
      </c>
      <c r="E868" t="s">
        <v>59</v>
      </c>
      <c r="F868" t="s">
        <v>9</v>
      </c>
      <c r="G868" t="s">
        <v>33</v>
      </c>
      <c r="H868">
        <v>73</v>
      </c>
      <c r="I868">
        <v>185</v>
      </c>
      <c r="J868">
        <v>2018</v>
      </c>
      <c r="K868" s="4" t="str">
        <f>HYPERLINK("http://legacy.baseballprospectus.com/fantasy/dc/index.php?tm=BOS","BOS")</f>
        <v>BOS</v>
      </c>
      <c r="L868" t="s">
        <v>95</v>
      </c>
      <c r="M868" t="s">
        <v>34</v>
      </c>
      <c r="N868">
        <v>23</v>
      </c>
      <c r="O868">
        <v>250</v>
      </c>
      <c r="P868" t="s">
        <v>1680</v>
      </c>
      <c r="Q868">
        <v>215</v>
      </c>
      <c r="R868">
        <v>29</v>
      </c>
      <c r="S868">
        <v>36</v>
      </c>
      <c r="T868">
        <v>9</v>
      </c>
      <c r="U868">
        <v>0</v>
      </c>
      <c r="V868">
        <v>3</v>
      </c>
      <c r="W868">
        <v>48</v>
      </c>
      <c r="X868">
        <v>66</v>
      </c>
      <c r="Y868">
        <v>19</v>
      </c>
      <c r="Z868">
        <v>32</v>
      </c>
      <c r="AA868">
        <v>1</v>
      </c>
      <c r="AB868">
        <v>1</v>
      </c>
      <c r="AC868">
        <v>67</v>
      </c>
      <c r="AD868">
        <v>2</v>
      </c>
      <c r="AE868">
        <v>1</v>
      </c>
      <c r="AF868">
        <v>5</v>
      </c>
      <c r="AG868">
        <v>12</v>
      </c>
      <c r="AH868">
        <v>3</v>
      </c>
      <c r="AI868" s="5">
        <v>0.224</v>
      </c>
      <c r="AJ868" s="5">
        <v>0.32500000000000001</v>
      </c>
      <c r="AK868" s="5">
        <v>0.31</v>
      </c>
      <c r="AL868" s="5">
        <v>0.224</v>
      </c>
      <c r="AM868" s="5">
        <v>0.307</v>
      </c>
      <c r="AN868">
        <v>0.7</v>
      </c>
      <c r="AO868">
        <v>1.38</v>
      </c>
      <c r="AP868">
        <v>7</v>
      </c>
      <c r="AQ868">
        <v>-9.3699999999999992</v>
      </c>
      <c r="AR868">
        <v>-3.6</v>
      </c>
      <c r="AS868" t="s">
        <v>4058</v>
      </c>
      <c r="AT868">
        <v>-0.4</v>
      </c>
      <c r="AU868">
        <v>-0.3</v>
      </c>
      <c r="AV868">
        <v>4</v>
      </c>
      <c r="AW868">
        <v>6</v>
      </c>
      <c r="AX868">
        <v>3</v>
      </c>
      <c r="AY868">
        <v>10</v>
      </c>
      <c r="AZ868" t="s">
        <v>4618</v>
      </c>
      <c r="BA868">
        <v>12</v>
      </c>
      <c r="BB868" t="s">
        <v>36</v>
      </c>
      <c r="BC868" t="s">
        <v>35</v>
      </c>
      <c r="BD868" s="4">
        <f>HYPERLINK("http://mlb.mlb.com/team/player.jsp?player_id=643372",643372)</f>
        <v>643372</v>
      </c>
      <c r="BE868">
        <v>0</v>
      </c>
      <c r="BF868">
        <v>0</v>
      </c>
      <c r="BG868">
        <v>0</v>
      </c>
      <c r="BH868">
        <v>0</v>
      </c>
    </row>
    <row r="869" spans="1:60" x14ac:dyDescent="0.3">
      <c r="A869" s="4">
        <f>HYPERLINK("http://legacy.baseballprospectus.com/p/104025",104025)</f>
        <v>104025</v>
      </c>
      <c r="B869" t="s">
        <v>616</v>
      </c>
      <c r="C869" t="s">
        <v>1955</v>
      </c>
      <c r="D869" s="10">
        <v>35450</v>
      </c>
      <c r="E869" t="s">
        <v>54</v>
      </c>
      <c r="F869" t="s">
        <v>33</v>
      </c>
      <c r="G869" t="s">
        <v>33</v>
      </c>
      <c r="H869">
        <v>73</v>
      </c>
      <c r="I869">
        <v>196</v>
      </c>
      <c r="J869">
        <v>2018</v>
      </c>
      <c r="K869" s="4" t="str">
        <f>HYPERLINK("http://legacy.baseballprospectus.com/fantasy/dc/index.php?tm=NYN","NYN")</f>
        <v>NYN</v>
      </c>
      <c r="L869" t="s">
        <v>100</v>
      </c>
      <c r="M869" t="s">
        <v>34</v>
      </c>
      <c r="N869">
        <v>21</v>
      </c>
      <c r="O869">
        <v>250</v>
      </c>
      <c r="P869" t="s">
        <v>1680</v>
      </c>
      <c r="Q869">
        <v>233</v>
      </c>
      <c r="R869">
        <v>21</v>
      </c>
      <c r="S869">
        <v>36</v>
      </c>
      <c r="T869">
        <v>9</v>
      </c>
      <c r="U869">
        <v>0</v>
      </c>
      <c r="V869">
        <v>5</v>
      </c>
      <c r="W869">
        <v>50</v>
      </c>
      <c r="X869">
        <v>74</v>
      </c>
      <c r="Y869">
        <v>25</v>
      </c>
      <c r="Z869">
        <v>12</v>
      </c>
      <c r="AA869">
        <v>1</v>
      </c>
      <c r="AB869">
        <v>2</v>
      </c>
      <c r="AC869">
        <v>59</v>
      </c>
      <c r="AD869">
        <v>1</v>
      </c>
      <c r="AE869">
        <v>1</v>
      </c>
      <c r="AF869">
        <v>6</v>
      </c>
      <c r="AG869">
        <v>0</v>
      </c>
      <c r="AH869">
        <v>0</v>
      </c>
      <c r="AI869" s="5">
        <v>0.217</v>
      </c>
      <c r="AJ869" s="5">
        <v>0.26100000000000001</v>
      </c>
      <c r="AK869" s="5">
        <v>0.33</v>
      </c>
      <c r="AL869" s="5">
        <v>0.20200000000000001</v>
      </c>
      <c r="AM869" s="5">
        <v>0.26400000000000001</v>
      </c>
      <c r="AN869">
        <v>-0.5</v>
      </c>
      <c r="AO869">
        <v>5.48</v>
      </c>
      <c r="AP869">
        <v>7</v>
      </c>
      <c r="AQ869">
        <v>-15.24</v>
      </c>
      <c r="AR869">
        <v>-0.8</v>
      </c>
      <c r="AS869" t="s">
        <v>60</v>
      </c>
      <c r="AT869">
        <v>-0.4</v>
      </c>
      <c r="AU869">
        <v>-3.3</v>
      </c>
      <c r="AV869">
        <v>8</v>
      </c>
      <c r="AW869">
        <v>8</v>
      </c>
      <c r="AX869">
        <v>1</v>
      </c>
      <c r="AY869">
        <v>7</v>
      </c>
      <c r="AZ869" t="s">
        <v>4619</v>
      </c>
      <c r="BA869">
        <v>12</v>
      </c>
      <c r="BB869" t="s">
        <v>36</v>
      </c>
      <c r="BC869" t="s">
        <v>35</v>
      </c>
      <c r="BD869" s="4">
        <f>HYPERLINK("http://mlb.mlb.com/team/player.jsp?player_id=645305",645305)</f>
        <v>645305</v>
      </c>
      <c r="BE869">
        <v>0</v>
      </c>
      <c r="BF869">
        <v>0</v>
      </c>
      <c r="BG869">
        <v>0</v>
      </c>
      <c r="BH869">
        <v>0</v>
      </c>
    </row>
    <row r="870" spans="1:60" x14ac:dyDescent="0.3">
      <c r="A870" s="4">
        <f>HYPERLINK("http://legacy.baseballprospectus.com/p/104174",104174)</f>
        <v>104174</v>
      </c>
      <c r="B870" t="s">
        <v>4620</v>
      </c>
      <c r="C870" t="s">
        <v>4621</v>
      </c>
      <c r="D870" s="10">
        <v>35375</v>
      </c>
      <c r="E870" t="s">
        <v>51</v>
      </c>
      <c r="F870" t="s">
        <v>33</v>
      </c>
      <c r="G870" t="s">
        <v>33</v>
      </c>
      <c r="H870">
        <v>75</v>
      </c>
      <c r="I870">
        <v>210</v>
      </c>
      <c r="J870">
        <v>2018</v>
      </c>
      <c r="K870" s="4" t="str">
        <f>HYPERLINK("http://legacy.baseballprospectus.com/fantasy/dc/index.php?tm=CHN","CHN")</f>
        <v>CHN</v>
      </c>
      <c r="L870" t="s">
        <v>100</v>
      </c>
      <c r="M870" t="s">
        <v>34</v>
      </c>
      <c r="N870">
        <v>21</v>
      </c>
      <c r="O870">
        <v>250</v>
      </c>
      <c r="P870" t="s">
        <v>1680</v>
      </c>
      <c r="Q870">
        <v>229</v>
      </c>
      <c r="R870">
        <v>25</v>
      </c>
      <c r="S870">
        <v>31</v>
      </c>
      <c r="T870">
        <v>11</v>
      </c>
      <c r="U870">
        <v>1</v>
      </c>
      <c r="V870">
        <v>8</v>
      </c>
      <c r="W870">
        <v>51</v>
      </c>
      <c r="X870">
        <v>88</v>
      </c>
      <c r="Y870">
        <v>30</v>
      </c>
      <c r="Z870">
        <v>17</v>
      </c>
      <c r="AA870">
        <v>1</v>
      </c>
      <c r="AB870">
        <v>2</v>
      </c>
      <c r="AC870">
        <v>78</v>
      </c>
      <c r="AD870">
        <v>1</v>
      </c>
      <c r="AE870">
        <v>1</v>
      </c>
      <c r="AF870">
        <v>7</v>
      </c>
      <c r="AG870">
        <v>0</v>
      </c>
      <c r="AH870">
        <v>0</v>
      </c>
      <c r="AI870" s="5">
        <v>0.219</v>
      </c>
      <c r="AJ870" s="5">
        <v>0.27800000000000002</v>
      </c>
      <c r="AK870" s="5">
        <v>0.377</v>
      </c>
      <c r="AL870" s="5">
        <v>0.217</v>
      </c>
      <c r="AM870" s="5">
        <v>0.29099999999999998</v>
      </c>
      <c r="AN870">
        <v>-0.4</v>
      </c>
      <c r="AO870">
        <v>0.09</v>
      </c>
      <c r="AP870">
        <v>7</v>
      </c>
      <c r="AQ870">
        <v>-11.39</v>
      </c>
      <c r="AR870">
        <v>1.2</v>
      </c>
      <c r="AS870" t="s">
        <v>1701</v>
      </c>
      <c r="AT870">
        <v>-0.4</v>
      </c>
      <c r="AU870">
        <v>-4.7</v>
      </c>
      <c r="AV870">
        <v>1</v>
      </c>
      <c r="AW870">
        <v>1</v>
      </c>
      <c r="AX870">
        <v>0</v>
      </c>
      <c r="AY870">
        <v>8</v>
      </c>
      <c r="AZ870" t="s">
        <v>4622</v>
      </c>
      <c r="BA870">
        <v>10</v>
      </c>
      <c r="BB870" t="s">
        <v>36</v>
      </c>
      <c r="BC870" t="s">
        <v>35</v>
      </c>
      <c r="BD870" s="4">
        <f>HYPERLINK("http://mlb.mlb.com/team/player.jsp?player_id=650389",650389)</f>
        <v>650389</v>
      </c>
      <c r="BE870">
        <v>0</v>
      </c>
      <c r="BF870">
        <v>0</v>
      </c>
      <c r="BG870">
        <v>0</v>
      </c>
      <c r="BH870">
        <v>0</v>
      </c>
    </row>
    <row r="871" spans="1:60" x14ac:dyDescent="0.3">
      <c r="A871" s="4">
        <f>HYPERLINK("http://legacy.baseballprospectus.com/p/104287",104287)</f>
        <v>104287</v>
      </c>
      <c r="B871" t="s">
        <v>543</v>
      </c>
      <c r="C871" t="s">
        <v>897</v>
      </c>
      <c r="D871" s="10">
        <v>34751</v>
      </c>
      <c r="E871" t="s">
        <v>51</v>
      </c>
      <c r="F871" t="s">
        <v>37</v>
      </c>
      <c r="G871" t="s">
        <v>33</v>
      </c>
      <c r="H871">
        <v>70</v>
      </c>
      <c r="I871">
        <v>170</v>
      </c>
      <c r="J871">
        <v>2018</v>
      </c>
      <c r="K871" s="4" t="str">
        <f>HYPERLINK("http://legacy.baseballprospectus.com/fantasy/dc/index.php?tm=KCA","KCA")</f>
        <v>KCA</v>
      </c>
      <c r="L871" t="s">
        <v>95</v>
      </c>
      <c r="M871" t="s">
        <v>34</v>
      </c>
      <c r="N871">
        <v>23</v>
      </c>
      <c r="O871">
        <v>250</v>
      </c>
      <c r="P871" t="s">
        <v>1680</v>
      </c>
      <c r="Q871">
        <v>226</v>
      </c>
      <c r="R871">
        <v>27</v>
      </c>
      <c r="S871">
        <v>34</v>
      </c>
      <c r="T871">
        <v>9</v>
      </c>
      <c r="U871">
        <v>1</v>
      </c>
      <c r="V871">
        <v>5</v>
      </c>
      <c r="W871">
        <v>49</v>
      </c>
      <c r="X871">
        <v>75</v>
      </c>
      <c r="Y871">
        <v>21</v>
      </c>
      <c r="Z871">
        <v>20</v>
      </c>
      <c r="AA871">
        <v>1</v>
      </c>
      <c r="AB871">
        <v>1</v>
      </c>
      <c r="AC871">
        <v>64</v>
      </c>
      <c r="AD871">
        <v>2</v>
      </c>
      <c r="AE871">
        <v>1</v>
      </c>
      <c r="AF871">
        <v>6</v>
      </c>
      <c r="AG871">
        <v>4</v>
      </c>
      <c r="AH871">
        <v>2</v>
      </c>
      <c r="AI871" s="5">
        <v>0.218</v>
      </c>
      <c r="AJ871" s="5">
        <v>0.28299999999999997</v>
      </c>
      <c r="AK871" s="5">
        <v>0.32900000000000001</v>
      </c>
      <c r="AL871" s="5">
        <v>0.20799999999999999</v>
      </c>
      <c r="AM871" s="5">
        <v>0.27800000000000002</v>
      </c>
      <c r="AN871">
        <v>0.1</v>
      </c>
      <c r="AO871">
        <v>2.72</v>
      </c>
      <c r="AP871">
        <v>7</v>
      </c>
      <c r="AQ871">
        <v>-13.56</v>
      </c>
      <c r="AR871">
        <v>-0.1</v>
      </c>
      <c r="AS871" t="s">
        <v>4623</v>
      </c>
      <c r="AT871">
        <v>-0.4</v>
      </c>
      <c r="AU871">
        <v>-3.8</v>
      </c>
      <c r="AV871">
        <v>0</v>
      </c>
      <c r="AW871">
        <v>3</v>
      </c>
      <c r="AX871">
        <v>0</v>
      </c>
      <c r="AY871">
        <v>4</v>
      </c>
      <c r="AZ871" t="s">
        <v>4624</v>
      </c>
      <c r="BA871">
        <v>5</v>
      </c>
      <c r="BB871" t="s">
        <v>36</v>
      </c>
      <c r="BC871" t="s">
        <v>35</v>
      </c>
      <c r="BD871" s="4">
        <f>HYPERLINK("http://mlb.mlb.com/team/player.jsp?player_id=650615",650615)</f>
        <v>650615</v>
      </c>
      <c r="BE871">
        <v>0</v>
      </c>
      <c r="BF871">
        <v>0</v>
      </c>
      <c r="BG871">
        <v>0</v>
      </c>
      <c r="BH871">
        <v>0</v>
      </c>
    </row>
    <row r="872" spans="1:60" x14ac:dyDescent="0.3">
      <c r="A872" s="4">
        <f>HYPERLINK("http://legacy.baseballprospectus.com/p/105708",105708)</f>
        <v>105708</v>
      </c>
      <c r="B872" t="s">
        <v>4625</v>
      </c>
      <c r="C872" t="s">
        <v>220</v>
      </c>
      <c r="D872" s="10">
        <v>35807</v>
      </c>
      <c r="E872" t="s">
        <v>65</v>
      </c>
      <c r="F872" t="s">
        <v>33</v>
      </c>
      <c r="G872" t="s">
        <v>33</v>
      </c>
      <c r="H872">
        <v>71</v>
      </c>
      <c r="I872">
        <v>170</v>
      </c>
      <c r="J872">
        <v>2018</v>
      </c>
      <c r="K872" s="4" t="str">
        <f>HYPERLINK("http://legacy.baseballprospectus.com/fantasy/dc/index.php?tm=BOS","BOS")</f>
        <v>BOS</v>
      </c>
      <c r="L872" t="s">
        <v>95</v>
      </c>
      <c r="M872" t="s">
        <v>34</v>
      </c>
      <c r="N872">
        <v>20</v>
      </c>
      <c r="O872">
        <v>250</v>
      </c>
      <c r="P872" t="s">
        <v>1680</v>
      </c>
      <c r="Q872">
        <v>235</v>
      </c>
      <c r="R872">
        <v>28</v>
      </c>
      <c r="S872">
        <v>40</v>
      </c>
      <c r="T872">
        <v>11</v>
      </c>
      <c r="U872">
        <v>1</v>
      </c>
      <c r="V872">
        <v>5</v>
      </c>
      <c r="W872">
        <v>57</v>
      </c>
      <c r="X872">
        <v>85</v>
      </c>
      <c r="Y872">
        <v>22</v>
      </c>
      <c r="Z872">
        <v>7</v>
      </c>
      <c r="AA872">
        <v>1</v>
      </c>
      <c r="AB872">
        <v>5</v>
      </c>
      <c r="AC872">
        <v>57</v>
      </c>
      <c r="AD872">
        <v>2</v>
      </c>
      <c r="AE872">
        <v>1</v>
      </c>
      <c r="AF872">
        <v>6</v>
      </c>
      <c r="AG872">
        <v>6</v>
      </c>
      <c r="AH872">
        <v>2</v>
      </c>
      <c r="AI872" s="5">
        <v>0.24299999999999999</v>
      </c>
      <c r="AJ872" s="5">
        <v>0.27900000000000003</v>
      </c>
      <c r="AK872" s="5">
        <v>0.36199999999999999</v>
      </c>
      <c r="AL872" s="5">
        <v>0.217</v>
      </c>
      <c r="AM872" s="5">
        <v>0.29599999999999999</v>
      </c>
      <c r="AN872">
        <v>0.1</v>
      </c>
      <c r="AO872">
        <v>2.68</v>
      </c>
      <c r="AP872">
        <v>7</v>
      </c>
      <c r="AQ872">
        <v>-11.21</v>
      </c>
      <c r="AR872">
        <v>-2.4</v>
      </c>
      <c r="AS872" t="s">
        <v>4871</v>
      </c>
      <c r="AT872">
        <v>-0.4</v>
      </c>
      <c r="AU872">
        <v>-1.4</v>
      </c>
      <c r="AV872">
        <v>2</v>
      </c>
      <c r="AW872">
        <v>9</v>
      </c>
      <c r="AX872">
        <v>0</v>
      </c>
      <c r="AY872">
        <v>3</v>
      </c>
      <c r="AZ872" t="s">
        <v>4626</v>
      </c>
      <c r="BA872">
        <v>10</v>
      </c>
      <c r="BB872" t="s">
        <v>36</v>
      </c>
      <c r="BC872" t="s">
        <v>35</v>
      </c>
      <c r="BD872" s="4">
        <f>HYPERLINK("http://mlb.mlb.com/team/player.jsp?player_id=661411",661411)</f>
        <v>661411</v>
      </c>
      <c r="BE872">
        <v>0</v>
      </c>
      <c r="BF872">
        <v>0</v>
      </c>
      <c r="BG872">
        <v>0</v>
      </c>
      <c r="BH872">
        <v>0</v>
      </c>
    </row>
    <row r="873" spans="1:60" x14ac:dyDescent="0.3">
      <c r="A873" s="4">
        <f>HYPERLINK("http://legacy.baseballprospectus.com/p/105735",105735)</f>
        <v>105735</v>
      </c>
      <c r="B873" t="s">
        <v>4627</v>
      </c>
      <c r="C873" t="s">
        <v>1772</v>
      </c>
      <c r="D873" s="10">
        <v>35370</v>
      </c>
      <c r="E873" t="s">
        <v>57</v>
      </c>
      <c r="F873" t="s">
        <v>9</v>
      </c>
      <c r="G873" t="s">
        <v>9</v>
      </c>
      <c r="H873">
        <v>72</v>
      </c>
      <c r="I873">
        <v>205</v>
      </c>
      <c r="J873">
        <v>2018</v>
      </c>
      <c r="K873" s="4" t="str">
        <f>HYPERLINK("http://legacy.baseballprospectus.com/fantasy/dc/index.php?tm=MIL","MIL")</f>
        <v>MIL</v>
      </c>
      <c r="L873" t="s">
        <v>100</v>
      </c>
      <c r="M873" t="s">
        <v>34</v>
      </c>
      <c r="N873">
        <v>21</v>
      </c>
      <c r="O873">
        <v>250</v>
      </c>
      <c r="P873" t="s">
        <v>1680</v>
      </c>
      <c r="Q873">
        <v>212</v>
      </c>
      <c r="R873">
        <v>32</v>
      </c>
      <c r="S873">
        <v>27</v>
      </c>
      <c r="T873">
        <v>9</v>
      </c>
      <c r="U873">
        <v>1</v>
      </c>
      <c r="V873">
        <v>5</v>
      </c>
      <c r="W873">
        <v>42</v>
      </c>
      <c r="X873">
        <v>68</v>
      </c>
      <c r="Y873">
        <v>21</v>
      </c>
      <c r="Z873">
        <v>34</v>
      </c>
      <c r="AA873">
        <v>1</v>
      </c>
      <c r="AB873">
        <v>1</v>
      </c>
      <c r="AC873">
        <v>76</v>
      </c>
      <c r="AD873">
        <v>2</v>
      </c>
      <c r="AE873">
        <v>1</v>
      </c>
      <c r="AF873">
        <v>5</v>
      </c>
      <c r="AG873">
        <v>8</v>
      </c>
      <c r="AH873">
        <v>3</v>
      </c>
      <c r="AI873" s="5">
        <v>0.2</v>
      </c>
      <c r="AJ873" s="5">
        <v>0.312</v>
      </c>
      <c r="AK873" s="5">
        <v>0.33</v>
      </c>
      <c r="AL873" s="5">
        <v>0.222</v>
      </c>
      <c r="AM873" s="5">
        <v>0.27700000000000002</v>
      </c>
      <c r="AN873">
        <v>0.6</v>
      </c>
      <c r="AO873">
        <v>1.04</v>
      </c>
      <c r="AP873">
        <v>7</v>
      </c>
      <c r="AQ873">
        <v>-10.08</v>
      </c>
      <c r="AR873">
        <v>-2</v>
      </c>
      <c r="AS873" t="s">
        <v>4930</v>
      </c>
      <c r="AT873">
        <v>-0.4</v>
      </c>
      <c r="AU873">
        <v>-1.5</v>
      </c>
      <c r="AV873">
        <v>0</v>
      </c>
      <c r="AW873">
        <v>3</v>
      </c>
      <c r="AX873">
        <v>0</v>
      </c>
      <c r="AY873">
        <v>0</v>
      </c>
      <c r="AZ873" t="s">
        <v>4628</v>
      </c>
      <c r="BA873">
        <v>3</v>
      </c>
      <c r="BB873" t="s">
        <v>36</v>
      </c>
      <c r="BC873" t="s">
        <v>35</v>
      </c>
      <c r="BD873" s="4">
        <f>HYPERLINK("http://mlb.mlb.com/team/player.jsp?player_id=663757",663757)</f>
        <v>663757</v>
      </c>
      <c r="BE873">
        <v>0</v>
      </c>
      <c r="BF873">
        <v>0</v>
      </c>
      <c r="BG873">
        <v>0</v>
      </c>
      <c r="BH873">
        <v>0</v>
      </c>
    </row>
    <row r="874" spans="1:60" x14ac:dyDescent="0.3">
      <c r="A874" s="4">
        <f>HYPERLINK("http://legacy.baseballprospectus.com/p/106007",106007)</f>
        <v>106007</v>
      </c>
      <c r="B874" t="s">
        <v>2048</v>
      </c>
      <c r="C874" t="s">
        <v>4931</v>
      </c>
      <c r="D874" s="10">
        <v>35696</v>
      </c>
      <c r="E874" t="s">
        <v>53</v>
      </c>
      <c r="F874" t="s">
        <v>37</v>
      </c>
      <c r="G874" t="s">
        <v>33</v>
      </c>
      <c r="H874">
        <v>72</v>
      </c>
      <c r="I874">
        <v>175</v>
      </c>
      <c r="J874">
        <v>2018</v>
      </c>
      <c r="K874" s="4" t="str">
        <f>HYPERLINK("http://legacy.baseballprospectus.com/fantasy/dc/index.php?tm=PHI","PHI")</f>
        <v>PHI</v>
      </c>
      <c r="L874" t="s">
        <v>100</v>
      </c>
      <c r="M874" t="s">
        <v>34</v>
      </c>
      <c r="N874">
        <v>20</v>
      </c>
      <c r="O874">
        <v>250</v>
      </c>
      <c r="P874" t="s">
        <v>1680</v>
      </c>
      <c r="Q874">
        <v>227</v>
      </c>
      <c r="R874">
        <v>28</v>
      </c>
      <c r="S874">
        <v>32</v>
      </c>
      <c r="T874">
        <v>9</v>
      </c>
      <c r="U874">
        <v>1</v>
      </c>
      <c r="V874">
        <v>7</v>
      </c>
      <c r="W874">
        <v>49</v>
      </c>
      <c r="X874">
        <v>81</v>
      </c>
      <c r="Y874">
        <v>26</v>
      </c>
      <c r="Z874">
        <v>18</v>
      </c>
      <c r="AA874">
        <v>1</v>
      </c>
      <c r="AB874">
        <v>1</v>
      </c>
      <c r="AC874">
        <v>65</v>
      </c>
      <c r="AD874">
        <v>3</v>
      </c>
      <c r="AE874">
        <v>2</v>
      </c>
      <c r="AF874">
        <v>6</v>
      </c>
      <c r="AG874">
        <v>1</v>
      </c>
      <c r="AH874">
        <v>0</v>
      </c>
      <c r="AI874" s="5">
        <v>0.22</v>
      </c>
      <c r="AJ874" s="5">
        <v>0.27700000000000002</v>
      </c>
      <c r="AK874" s="5">
        <v>0.36699999999999999</v>
      </c>
      <c r="AL874" s="5">
        <v>0.214</v>
      </c>
      <c r="AM874" s="5">
        <v>0.26600000000000001</v>
      </c>
      <c r="AN874">
        <v>-0.2</v>
      </c>
      <c r="AO874">
        <v>4.2699999999999996</v>
      </c>
      <c r="AP874">
        <v>7</v>
      </c>
      <c r="AQ874">
        <v>-12.06</v>
      </c>
      <c r="AR874">
        <v>-2.2999999999999998</v>
      </c>
      <c r="AS874" t="s">
        <v>1013</v>
      </c>
      <c r="AT874">
        <v>-0.4</v>
      </c>
      <c r="AU874">
        <v>-1</v>
      </c>
      <c r="AV874">
        <v>2</v>
      </c>
      <c r="AW874">
        <v>13</v>
      </c>
      <c r="AX874">
        <v>0</v>
      </c>
      <c r="AY874">
        <v>3</v>
      </c>
      <c r="AZ874" t="s">
        <v>4589</v>
      </c>
      <c r="BA874">
        <v>14</v>
      </c>
      <c r="BB874" t="s">
        <v>36</v>
      </c>
      <c r="BC874" t="s">
        <v>35</v>
      </c>
      <c r="BD874" s="4">
        <f>HYPERLINK("http://mlb.mlb.com/team/player.jsp?player_id=660614",660614)</f>
        <v>660614</v>
      </c>
      <c r="BE874">
        <v>0</v>
      </c>
      <c r="BF874">
        <v>0</v>
      </c>
      <c r="BG874">
        <v>0</v>
      </c>
      <c r="BH874">
        <v>0</v>
      </c>
    </row>
    <row r="875" spans="1:60" x14ac:dyDescent="0.3">
      <c r="A875" s="4">
        <f>HYPERLINK("http://legacy.baseballprospectus.com/p/106217",106217)</f>
        <v>106217</v>
      </c>
      <c r="B875" t="s">
        <v>450</v>
      </c>
      <c r="C875" t="s">
        <v>1964</v>
      </c>
      <c r="D875" s="10">
        <v>35646</v>
      </c>
      <c r="E875" t="s">
        <v>65</v>
      </c>
      <c r="F875" t="s">
        <v>33</v>
      </c>
      <c r="G875" t="s">
        <v>33</v>
      </c>
      <c r="H875">
        <v>72</v>
      </c>
      <c r="I875">
        <v>215</v>
      </c>
      <c r="J875">
        <v>2018</v>
      </c>
      <c r="K875" s="4" t="str">
        <f>HYPERLINK("http://legacy.baseballprospectus.com/fantasy/dc/index.php?tm=ANA","ANA")</f>
        <v>ANA</v>
      </c>
      <c r="L875" t="s">
        <v>95</v>
      </c>
      <c r="M875" t="s">
        <v>34</v>
      </c>
      <c r="N875">
        <v>20</v>
      </c>
      <c r="O875">
        <v>250</v>
      </c>
      <c r="P875" t="s">
        <v>1680</v>
      </c>
      <c r="Q875">
        <v>228</v>
      </c>
      <c r="R875">
        <v>31</v>
      </c>
      <c r="S875">
        <v>34</v>
      </c>
      <c r="T875">
        <v>10</v>
      </c>
      <c r="U875">
        <v>1</v>
      </c>
      <c r="V875">
        <v>8</v>
      </c>
      <c r="W875">
        <v>53</v>
      </c>
      <c r="X875">
        <v>89</v>
      </c>
      <c r="Y875">
        <v>25</v>
      </c>
      <c r="Z875">
        <v>16</v>
      </c>
      <c r="AA875">
        <v>1</v>
      </c>
      <c r="AB875">
        <v>3</v>
      </c>
      <c r="AC875">
        <v>64</v>
      </c>
      <c r="AD875">
        <v>2</v>
      </c>
      <c r="AE875">
        <v>1</v>
      </c>
      <c r="AF875">
        <v>6</v>
      </c>
      <c r="AG875">
        <v>6</v>
      </c>
      <c r="AH875">
        <v>3</v>
      </c>
      <c r="AI875" s="5">
        <v>0.23</v>
      </c>
      <c r="AJ875" s="5">
        <v>0.28599999999999998</v>
      </c>
      <c r="AK875" s="5">
        <v>0.379</v>
      </c>
      <c r="AL875" s="5">
        <v>0.22800000000000001</v>
      </c>
      <c r="AM875" s="5">
        <v>0.28000000000000003</v>
      </c>
      <c r="AN875">
        <v>0</v>
      </c>
      <c r="AO875">
        <v>2.92</v>
      </c>
      <c r="AP875">
        <v>7</v>
      </c>
      <c r="AQ875">
        <v>-8.51</v>
      </c>
      <c r="AR875">
        <v>-5</v>
      </c>
      <c r="AS875" t="s">
        <v>4872</v>
      </c>
      <c r="AT875">
        <v>-0.4</v>
      </c>
      <c r="AU875">
        <v>1.4</v>
      </c>
      <c r="AV875">
        <v>4</v>
      </c>
      <c r="AW875">
        <v>18</v>
      </c>
      <c r="AX875">
        <v>0</v>
      </c>
      <c r="AY875">
        <v>9</v>
      </c>
      <c r="AZ875" t="s">
        <v>4629</v>
      </c>
      <c r="BA875">
        <v>20</v>
      </c>
      <c r="BB875" t="s">
        <v>36</v>
      </c>
      <c r="BC875" t="s">
        <v>35</v>
      </c>
      <c r="BD875" s="4">
        <f>HYPERLINK("http://mlb.mlb.com/team/player.jsp?player_id=663330",663330)</f>
        <v>663330</v>
      </c>
      <c r="BE875">
        <v>638</v>
      </c>
      <c r="BF875">
        <v>1638</v>
      </c>
      <c r="BG875">
        <v>0</v>
      </c>
      <c r="BH875">
        <v>0</v>
      </c>
    </row>
    <row r="876" spans="1:60" x14ac:dyDescent="0.3">
      <c r="A876" s="4">
        <f>HYPERLINK("http://legacy.baseballprospectus.com/p/107006",107006)</f>
        <v>107006</v>
      </c>
      <c r="B876" t="s">
        <v>1636</v>
      </c>
      <c r="C876" t="s">
        <v>124</v>
      </c>
      <c r="D876" s="10">
        <v>35916</v>
      </c>
      <c r="E876" t="s">
        <v>53</v>
      </c>
      <c r="F876" t="s">
        <v>9</v>
      </c>
      <c r="G876" t="s">
        <v>33</v>
      </c>
      <c r="H876">
        <v>71</v>
      </c>
      <c r="I876">
        <v>185</v>
      </c>
      <c r="J876">
        <v>2018</v>
      </c>
      <c r="K876" s="4" t="str">
        <f>HYPERLINK("http://legacy.baseballprospectus.com/fantasy/dc/index.php?tm=TEX","TEX")</f>
        <v>TEX</v>
      </c>
      <c r="L876" t="s">
        <v>95</v>
      </c>
      <c r="M876" t="s">
        <v>34</v>
      </c>
      <c r="N876">
        <v>20</v>
      </c>
      <c r="O876">
        <v>250</v>
      </c>
      <c r="P876" t="s">
        <v>1680</v>
      </c>
      <c r="Q876">
        <v>229</v>
      </c>
      <c r="R876">
        <v>25</v>
      </c>
      <c r="S876">
        <v>29</v>
      </c>
      <c r="T876">
        <v>10</v>
      </c>
      <c r="U876">
        <v>2</v>
      </c>
      <c r="V876">
        <v>7</v>
      </c>
      <c r="W876">
        <v>48</v>
      </c>
      <c r="X876">
        <v>83</v>
      </c>
      <c r="Y876">
        <v>28</v>
      </c>
      <c r="Z876">
        <v>17</v>
      </c>
      <c r="AA876">
        <v>1</v>
      </c>
      <c r="AB876">
        <v>1</v>
      </c>
      <c r="AC876">
        <v>85</v>
      </c>
      <c r="AD876">
        <v>1</v>
      </c>
      <c r="AE876">
        <v>1</v>
      </c>
      <c r="AF876">
        <v>6</v>
      </c>
      <c r="AG876">
        <v>2</v>
      </c>
      <c r="AH876">
        <v>1</v>
      </c>
      <c r="AI876" s="5">
        <v>0.21099999999999999</v>
      </c>
      <c r="AJ876" s="5">
        <v>0.26900000000000002</v>
      </c>
      <c r="AK876" s="5">
        <v>0.36799999999999999</v>
      </c>
      <c r="AL876" s="5">
        <v>0.20799999999999999</v>
      </c>
      <c r="AM876" s="5">
        <v>0.29499999999999998</v>
      </c>
      <c r="AN876">
        <v>-0.1</v>
      </c>
      <c r="AO876">
        <v>4</v>
      </c>
      <c r="AP876">
        <v>7</v>
      </c>
      <c r="AQ876">
        <v>-13.75</v>
      </c>
      <c r="AR876">
        <v>-0.4</v>
      </c>
      <c r="AS876" t="s">
        <v>1337</v>
      </c>
      <c r="AT876">
        <v>-0.4</v>
      </c>
      <c r="AU876">
        <v>-2.9</v>
      </c>
      <c r="AV876">
        <v>2</v>
      </c>
      <c r="AW876">
        <v>7</v>
      </c>
      <c r="AX876">
        <v>0</v>
      </c>
      <c r="AY876">
        <v>3</v>
      </c>
      <c r="AZ876" t="s">
        <v>4590</v>
      </c>
      <c r="BA876">
        <v>9</v>
      </c>
      <c r="BB876" t="s">
        <v>36</v>
      </c>
      <c r="BC876" t="s">
        <v>35</v>
      </c>
      <c r="BD876" s="4">
        <f>HYPERLINK("http://mlb.mlb.com/team/player.jsp?player_id=660731",660731)</f>
        <v>660731</v>
      </c>
      <c r="BE876">
        <v>0</v>
      </c>
      <c r="BF876">
        <v>0</v>
      </c>
      <c r="BG876">
        <v>0</v>
      </c>
      <c r="BH876">
        <v>0</v>
      </c>
    </row>
    <row r="877" spans="1:60" x14ac:dyDescent="0.3">
      <c r="A877" s="4">
        <f>HYPERLINK("http://legacy.baseballprospectus.com/p/107383",107383)</f>
        <v>107383</v>
      </c>
      <c r="B877" t="s">
        <v>1958</v>
      </c>
      <c r="C877" t="s">
        <v>308</v>
      </c>
      <c r="D877" s="10">
        <v>34801</v>
      </c>
      <c r="E877" t="s">
        <v>53</v>
      </c>
      <c r="F877" t="s">
        <v>33</v>
      </c>
      <c r="G877" t="s">
        <v>33</v>
      </c>
      <c r="H877">
        <v>72</v>
      </c>
      <c r="I877">
        <v>190</v>
      </c>
      <c r="J877">
        <v>2018</v>
      </c>
      <c r="K877" s="4" t="str">
        <f>HYPERLINK("http://legacy.baseballprospectus.com/fantasy/dc/index.php?tm=PIT","PIT")</f>
        <v>PIT</v>
      </c>
      <c r="L877" t="s">
        <v>100</v>
      </c>
      <c r="M877" t="s">
        <v>34</v>
      </c>
      <c r="N877">
        <v>23</v>
      </c>
      <c r="O877">
        <v>250</v>
      </c>
      <c r="P877" t="s">
        <v>1680</v>
      </c>
      <c r="Q877">
        <v>228</v>
      </c>
      <c r="R877">
        <v>29</v>
      </c>
      <c r="S877">
        <v>35</v>
      </c>
      <c r="T877">
        <v>10</v>
      </c>
      <c r="U877">
        <v>1</v>
      </c>
      <c r="V877">
        <v>6</v>
      </c>
      <c r="W877">
        <v>52</v>
      </c>
      <c r="X877">
        <v>82</v>
      </c>
      <c r="Y877">
        <v>23</v>
      </c>
      <c r="Z877">
        <v>14</v>
      </c>
      <c r="AA877">
        <v>1</v>
      </c>
      <c r="AB877">
        <v>2</v>
      </c>
      <c r="AC877">
        <v>61</v>
      </c>
      <c r="AD877">
        <v>5</v>
      </c>
      <c r="AE877">
        <v>1</v>
      </c>
      <c r="AF877">
        <v>6</v>
      </c>
      <c r="AG877">
        <v>5</v>
      </c>
      <c r="AH877">
        <v>3</v>
      </c>
      <c r="AI877" s="5">
        <v>0.22800000000000001</v>
      </c>
      <c r="AJ877" s="5">
        <v>0.27700000000000002</v>
      </c>
      <c r="AK877" s="5">
        <v>0.35799999999999998</v>
      </c>
      <c r="AL877" s="5">
        <v>0.21099999999999999</v>
      </c>
      <c r="AM877" s="5">
        <v>0.27500000000000002</v>
      </c>
      <c r="AN877">
        <v>-0.2</v>
      </c>
      <c r="AO877">
        <v>4.21</v>
      </c>
      <c r="AP877">
        <v>7</v>
      </c>
      <c r="AQ877">
        <v>-12.85</v>
      </c>
      <c r="AR877">
        <v>-1.8</v>
      </c>
      <c r="AS877" t="s">
        <v>4932</v>
      </c>
      <c r="AT877">
        <v>-0.4</v>
      </c>
      <c r="AU877">
        <v>-1.8</v>
      </c>
      <c r="AV877">
        <v>5</v>
      </c>
      <c r="AW877">
        <v>17</v>
      </c>
      <c r="AX877">
        <v>8</v>
      </c>
      <c r="AY877">
        <v>23</v>
      </c>
      <c r="AZ877" t="s">
        <v>4592</v>
      </c>
      <c r="BA877">
        <v>27</v>
      </c>
      <c r="BB877" t="s">
        <v>36</v>
      </c>
      <c r="BC877" t="s">
        <v>35</v>
      </c>
      <c r="BD877" s="4">
        <f>HYPERLINK("http://mlb.mlb.com/team/player.jsp?player_id=641301",641301)</f>
        <v>641301</v>
      </c>
      <c r="BE877">
        <v>0</v>
      </c>
      <c r="BF877">
        <v>0</v>
      </c>
      <c r="BG877">
        <v>0</v>
      </c>
      <c r="BH877">
        <v>0</v>
      </c>
    </row>
    <row r="878" spans="1:60" x14ac:dyDescent="0.3">
      <c r="A878" s="4">
        <f>HYPERLINK("http://legacy.baseballprospectus.com/p/107978",107978)</f>
        <v>107978</v>
      </c>
      <c r="B878" t="s">
        <v>429</v>
      </c>
      <c r="C878" t="s">
        <v>102</v>
      </c>
      <c r="D878" s="10">
        <v>34540</v>
      </c>
      <c r="E878" t="s">
        <v>53</v>
      </c>
      <c r="F878" t="s">
        <v>33</v>
      </c>
      <c r="G878" t="s">
        <v>33</v>
      </c>
      <c r="H878">
        <v>74</v>
      </c>
      <c r="I878">
        <v>195</v>
      </c>
      <c r="J878">
        <v>2018</v>
      </c>
      <c r="K878" s="4" t="str">
        <f>HYPERLINK("http://legacy.baseballprospectus.com/fantasy/dc/index.php?tm=SFN","SFN")</f>
        <v>SFN</v>
      </c>
      <c r="L878" t="s">
        <v>100</v>
      </c>
      <c r="M878" t="s">
        <v>34</v>
      </c>
      <c r="N878">
        <v>23</v>
      </c>
      <c r="O878">
        <v>250</v>
      </c>
      <c r="P878" t="s">
        <v>1680</v>
      </c>
      <c r="Q878">
        <v>235</v>
      </c>
      <c r="R878">
        <v>26</v>
      </c>
      <c r="S878">
        <v>42</v>
      </c>
      <c r="T878">
        <v>10</v>
      </c>
      <c r="U878">
        <v>0</v>
      </c>
      <c r="V878">
        <v>5</v>
      </c>
      <c r="W878">
        <v>57</v>
      </c>
      <c r="X878">
        <v>82</v>
      </c>
      <c r="Y878">
        <v>23</v>
      </c>
      <c r="Z878">
        <v>9</v>
      </c>
      <c r="AA878">
        <v>1</v>
      </c>
      <c r="AB878">
        <v>2</v>
      </c>
      <c r="AC878">
        <v>49</v>
      </c>
      <c r="AD878">
        <v>2</v>
      </c>
      <c r="AE878">
        <v>2</v>
      </c>
      <c r="AF878">
        <v>6</v>
      </c>
      <c r="AG878">
        <v>0</v>
      </c>
      <c r="AH878">
        <v>0</v>
      </c>
      <c r="AI878" s="5">
        <v>0.248</v>
      </c>
      <c r="AJ878" s="5">
        <v>0.28100000000000003</v>
      </c>
      <c r="AK878" s="5">
        <v>0.36199999999999999</v>
      </c>
      <c r="AL878" s="5">
        <v>0.223</v>
      </c>
      <c r="AM878" s="5">
        <v>0.28799999999999998</v>
      </c>
      <c r="AN878">
        <v>-0.4</v>
      </c>
      <c r="AO878">
        <v>3.74</v>
      </c>
      <c r="AP878">
        <v>7</v>
      </c>
      <c r="AQ878">
        <v>-9.68</v>
      </c>
      <c r="AR878">
        <v>-4.5</v>
      </c>
      <c r="AS878" t="s">
        <v>4633</v>
      </c>
      <c r="AT878">
        <v>-0.4</v>
      </c>
      <c r="AU878">
        <v>0.6</v>
      </c>
      <c r="AV878">
        <v>11</v>
      </c>
      <c r="AW878">
        <v>29</v>
      </c>
      <c r="AX878">
        <v>18</v>
      </c>
      <c r="AY878">
        <v>31</v>
      </c>
      <c r="AZ878" t="s">
        <v>4634</v>
      </c>
      <c r="BA878">
        <v>55</v>
      </c>
      <c r="BB878" t="s">
        <v>36</v>
      </c>
      <c r="BC878" t="s">
        <v>35</v>
      </c>
      <c r="BD878" s="4">
        <f>HYPERLINK("http://mlb.mlb.com/team/player.jsp?player_id=664031",664031)</f>
        <v>664031</v>
      </c>
      <c r="BE878">
        <v>0</v>
      </c>
      <c r="BF878">
        <v>0</v>
      </c>
      <c r="BG878">
        <v>0</v>
      </c>
      <c r="BH878">
        <v>0</v>
      </c>
    </row>
    <row r="879" spans="1:60" x14ac:dyDescent="0.3">
      <c r="A879" s="4">
        <f>HYPERLINK("http://legacy.baseballprospectus.com/p/108236",108236)</f>
        <v>108236</v>
      </c>
      <c r="B879" t="s">
        <v>2046</v>
      </c>
      <c r="C879" t="s">
        <v>119</v>
      </c>
      <c r="D879" s="10">
        <v>35975</v>
      </c>
      <c r="E879" t="s">
        <v>58</v>
      </c>
      <c r="F879" t="s">
        <v>33</v>
      </c>
      <c r="G879" t="s">
        <v>33</v>
      </c>
      <c r="H879">
        <v>74</v>
      </c>
      <c r="I879">
        <v>180</v>
      </c>
      <c r="J879">
        <v>2018</v>
      </c>
      <c r="K879" s="4" t="str">
        <f>HYPERLINK("http://legacy.baseballprospectus.com/fantasy/dc/index.php?tm=MIN","MIN")</f>
        <v>MIN</v>
      </c>
      <c r="L879" t="s">
        <v>95</v>
      </c>
      <c r="M879" t="s">
        <v>34</v>
      </c>
      <c r="N879">
        <v>20</v>
      </c>
      <c r="O879">
        <v>250</v>
      </c>
      <c r="P879" t="s">
        <v>1680</v>
      </c>
      <c r="Q879">
        <v>233</v>
      </c>
      <c r="R879">
        <v>23</v>
      </c>
      <c r="S879">
        <v>32</v>
      </c>
      <c r="T879">
        <v>9</v>
      </c>
      <c r="U879">
        <v>1</v>
      </c>
      <c r="V879">
        <v>8</v>
      </c>
      <c r="W879">
        <v>50</v>
      </c>
      <c r="X879">
        <v>85</v>
      </c>
      <c r="Y879">
        <v>29</v>
      </c>
      <c r="Z879">
        <v>13</v>
      </c>
      <c r="AA879">
        <v>2</v>
      </c>
      <c r="AB879">
        <v>2</v>
      </c>
      <c r="AC879">
        <v>69</v>
      </c>
      <c r="AD879">
        <v>1</v>
      </c>
      <c r="AE879">
        <v>1</v>
      </c>
      <c r="AF879">
        <v>6</v>
      </c>
      <c r="AG879">
        <v>0</v>
      </c>
      <c r="AH879">
        <v>0</v>
      </c>
      <c r="AI879" s="5">
        <v>0.217</v>
      </c>
      <c r="AJ879" s="5">
        <v>0.26100000000000001</v>
      </c>
      <c r="AK879" s="5">
        <v>0.36499999999999999</v>
      </c>
      <c r="AL879" s="5">
        <v>0.20300000000000001</v>
      </c>
      <c r="AM879" s="5">
        <v>0.26900000000000002</v>
      </c>
      <c r="AN879">
        <v>-0.4</v>
      </c>
      <c r="AO879">
        <v>2.95</v>
      </c>
      <c r="AP879">
        <v>7</v>
      </c>
      <c r="AQ879">
        <v>-14.99</v>
      </c>
      <c r="AR879">
        <v>2.2000000000000002</v>
      </c>
      <c r="AS879" t="s">
        <v>2189</v>
      </c>
      <c r="AT879">
        <v>-0.4</v>
      </c>
      <c r="AU879">
        <v>-5.5</v>
      </c>
      <c r="AV879">
        <v>3</v>
      </c>
      <c r="AW879">
        <v>10</v>
      </c>
      <c r="AX879">
        <v>0</v>
      </c>
      <c r="AY879">
        <v>5</v>
      </c>
      <c r="AZ879" t="s">
        <v>4635</v>
      </c>
      <c r="BA879">
        <v>11</v>
      </c>
      <c r="BB879" t="s">
        <v>36</v>
      </c>
      <c r="BC879" t="s">
        <v>35</v>
      </c>
      <c r="BD879" s="4">
        <f>HYPERLINK("http://mlb.mlb.com/team/player.jsp?player_id=669304",669304)</f>
        <v>669304</v>
      </c>
      <c r="BE879">
        <v>0</v>
      </c>
      <c r="BF879">
        <v>0</v>
      </c>
      <c r="BG879">
        <v>0</v>
      </c>
      <c r="BH879">
        <v>0</v>
      </c>
    </row>
    <row r="880" spans="1:60" x14ac:dyDescent="0.3">
      <c r="A880" s="4">
        <f>HYPERLINK("http://legacy.baseballprospectus.com/p/108481",108481)</f>
        <v>108481</v>
      </c>
      <c r="B880" t="s">
        <v>605</v>
      </c>
      <c r="C880" t="s">
        <v>169</v>
      </c>
      <c r="D880" s="10">
        <v>35885</v>
      </c>
      <c r="E880" t="s">
        <v>51</v>
      </c>
      <c r="F880" t="s">
        <v>9</v>
      </c>
      <c r="G880" t="s">
        <v>33</v>
      </c>
      <c r="H880">
        <v>69</v>
      </c>
      <c r="I880">
        <v>194</v>
      </c>
      <c r="J880">
        <v>2018</v>
      </c>
      <c r="K880" s="4" t="str">
        <f>HYPERLINK("http://legacy.baseballprospectus.com/fantasy/dc/index.php?tm=SEA","SEA")</f>
        <v>SEA</v>
      </c>
      <c r="L880" t="s">
        <v>95</v>
      </c>
      <c r="M880" t="s">
        <v>34</v>
      </c>
      <c r="N880">
        <v>20</v>
      </c>
      <c r="O880">
        <v>250</v>
      </c>
      <c r="P880" t="s">
        <v>1680</v>
      </c>
      <c r="Q880">
        <v>223</v>
      </c>
      <c r="R880">
        <v>23</v>
      </c>
      <c r="S880">
        <v>32</v>
      </c>
      <c r="T880">
        <v>8</v>
      </c>
      <c r="U880">
        <v>0</v>
      </c>
      <c r="V880">
        <v>6</v>
      </c>
      <c r="W880">
        <v>46</v>
      </c>
      <c r="X880">
        <v>72</v>
      </c>
      <c r="Y880">
        <v>26</v>
      </c>
      <c r="Z880">
        <v>24</v>
      </c>
      <c r="AA880">
        <v>1</v>
      </c>
      <c r="AB880">
        <v>1</v>
      </c>
      <c r="AC880">
        <v>77</v>
      </c>
      <c r="AD880">
        <v>0</v>
      </c>
      <c r="AE880">
        <v>1</v>
      </c>
      <c r="AF880">
        <v>6</v>
      </c>
      <c r="AG880">
        <v>0</v>
      </c>
      <c r="AH880">
        <v>0</v>
      </c>
      <c r="AI880" s="5">
        <v>0.21</v>
      </c>
      <c r="AJ880" s="5">
        <v>0.28899999999999998</v>
      </c>
      <c r="AK880" s="5">
        <v>0.33</v>
      </c>
      <c r="AL880" s="5">
        <v>0.217</v>
      </c>
      <c r="AM880" s="5">
        <v>0.28699999999999998</v>
      </c>
      <c r="AN880">
        <v>-0.4</v>
      </c>
      <c r="AO880">
        <v>1.49</v>
      </c>
      <c r="AP880">
        <v>7</v>
      </c>
      <c r="AQ880">
        <v>-11.27</v>
      </c>
      <c r="AR880">
        <v>-0.6</v>
      </c>
      <c r="AS880" t="s">
        <v>56</v>
      </c>
      <c r="AT880">
        <v>-0.4</v>
      </c>
      <c r="AU880">
        <v>-3.2</v>
      </c>
      <c r="AV880">
        <v>2</v>
      </c>
      <c r="AW880">
        <v>8</v>
      </c>
      <c r="AX880">
        <v>0</v>
      </c>
      <c r="AY880">
        <v>4</v>
      </c>
      <c r="AZ880" t="s">
        <v>4656</v>
      </c>
      <c r="BA880">
        <v>10</v>
      </c>
      <c r="BB880" t="s">
        <v>36</v>
      </c>
      <c r="BC880" t="s">
        <v>35</v>
      </c>
      <c r="BD880" s="4">
        <f>HYPERLINK("http://mlb.mlb.com/team/player.jsp?player_id=666143",666143)</f>
        <v>666143</v>
      </c>
      <c r="BE880">
        <v>491</v>
      </c>
      <c r="BF880">
        <v>1491</v>
      </c>
      <c r="BG880">
        <v>0</v>
      </c>
      <c r="BH880">
        <v>0</v>
      </c>
    </row>
    <row r="881" spans="1:60" x14ac:dyDescent="0.3">
      <c r="A881" s="4">
        <f>HYPERLINK("http://legacy.baseballprospectus.com/p/108498",108498)</f>
        <v>108498</v>
      </c>
      <c r="B881" t="s">
        <v>607</v>
      </c>
      <c r="C881" t="s">
        <v>190</v>
      </c>
      <c r="D881" s="10">
        <v>35592</v>
      </c>
      <c r="E881" t="s">
        <v>54</v>
      </c>
      <c r="F881" t="s">
        <v>33</v>
      </c>
      <c r="G881" t="s">
        <v>33</v>
      </c>
      <c r="H881">
        <v>72</v>
      </c>
      <c r="I881">
        <v>197</v>
      </c>
      <c r="J881">
        <v>2018</v>
      </c>
      <c r="K881" s="4" t="str">
        <f>HYPERLINK("http://legacy.baseballprospectus.com/fantasy/dc/index.php?tm=SLN","SLN")</f>
        <v>SLN</v>
      </c>
      <c r="L881" t="s">
        <v>100</v>
      </c>
      <c r="M881" t="s">
        <v>34</v>
      </c>
      <c r="N881">
        <v>21</v>
      </c>
      <c r="O881">
        <v>250</v>
      </c>
      <c r="P881" t="s">
        <v>1680</v>
      </c>
      <c r="Q881">
        <v>232</v>
      </c>
      <c r="R881">
        <v>23</v>
      </c>
      <c r="S881">
        <v>31</v>
      </c>
      <c r="T881">
        <v>10</v>
      </c>
      <c r="U881">
        <v>1</v>
      </c>
      <c r="V881">
        <v>8</v>
      </c>
      <c r="W881">
        <v>50</v>
      </c>
      <c r="X881">
        <v>86</v>
      </c>
      <c r="Y881">
        <v>29</v>
      </c>
      <c r="Z881">
        <v>14</v>
      </c>
      <c r="AA881">
        <v>1</v>
      </c>
      <c r="AB881">
        <v>1</v>
      </c>
      <c r="AC881">
        <v>72</v>
      </c>
      <c r="AD881">
        <v>1</v>
      </c>
      <c r="AE881">
        <v>2</v>
      </c>
      <c r="AF881">
        <v>7</v>
      </c>
      <c r="AG881">
        <v>0</v>
      </c>
      <c r="AH881">
        <v>0</v>
      </c>
      <c r="AI881" s="5">
        <v>0.21199999999999999</v>
      </c>
      <c r="AJ881" s="5">
        <v>0.25800000000000001</v>
      </c>
      <c r="AK881" s="5">
        <v>0.35899999999999999</v>
      </c>
      <c r="AL881" s="5">
        <v>0.20499999999999999</v>
      </c>
      <c r="AM881" s="5">
        <v>0.26800000000000002</v>
      </c>
      <c r="AN881">
        <v>-0.4</v>
      </c>
      <c r="AO881">
        <v>4.3</v>
      </c>
      <c r="AP881">
        <v>7</v>
      </c>
      <c r="AQ881">
        <v>-14.37</v>
      </c>
      <c r="AR881">
        <v>-0.2</v>
      </c>
      <c r="AS881" t="s">
        <v>4636</v>
      </c>
      <c r="AT881">
        <v>-0.4</v>
      </c>
      <c r="AU881">
        <v>-3.5</v>
      </c>
      <c r="AV881">
        <v>2</v>
      </c>
      <c r="AW881">
        <v>2</v>
      </c>
      <c r="AX881">
        <v>1</v>
      </c>
      <c r="AY881">
        <v>3</v>
      </c>
      <c r="AZ881" t="s">
        <v>4637</v>
      </c>
      <c r="BA881">
        <v>5</v>
      </c>
      <c r="BB881" t="s">
        <v>36</v>
      </c>
      <c r="BC881" t="s">
        <v>35</v>
      </c>
      <c r="BD881" s="4">
        <f>HYPERLINK("http://mlb.mlb.com/team/player.jsp?player_id=667372",667372)</f>
        <v>667372</v>
      </c>
      <c r="BE881">
        <v>0</v>
      </c>
      <c r="BF881">
        <v>0</v>
      </c>
      <c r="BG881">
        <v>0</v>
      </c>
      <c r="BH881">
        <v>0</v>
      </c>
    </row>
    <row r="882" spans="1:60" x14ac:dyDescent="0.3">
      <c r="A882" s="4">
        <f>HYPERLINK("http://legacy.baseballprospectus.com/p/108855",108855)</f>
        <v>108855</v>
      </c>
      <c r="B882" t="s">
        <v>1954</v>
      </c>
      <c r="C882" t="s">
        <v>94</v>
      </c>
      <c r="D882" s="10">
        <v>34879</v>
      </c>
      <c r="E882" t="s">
        <v>51</v>
      </c>
      <c r="F882" t="s">
        <v>33</v>
      </c>
      <c r="G882" t="s">
        <v>33</v>
      </c>
      <c r="H882">
        <v>76</v>
      </c>
      <c r="I882">
        <v>225</v>
      </c>
      <c r="J882">
        <v>2018</v>
      </c>
      <c r="K882" s="4" t="str">
        <f>HYPERLINK("http://legacy.baseballprospectus.com/fantasy/dc/index.php?tm=BOS","BOS")</f>
        <v>BOS</v>
      </c>
      <c r="L882" t="s">
        <v>95</v>
      </c>
      <c r="M882" t="s">
        <v>34</v>
      </c>
      <c r="N882">
        <v>23</v>
      </c>
      <c r="O882">
        <v>250</v>
      </c>
      <c r="P882" t="s">
        <v>1680</v>
      </c>
      <c r="Q882">
        <v>225</v>
      </c>
      <c r="R882">
        <v>25</v>
      </c>
      <c r="S882">
        <v>27</v>
      </c>
      <c r="T882">
        <v>9</v>
      </c>
      <c r="U882">
        <v>0</v>
      </c>
      <c r="V882">
        <v>9</v>
      </c>
      <c r="W882">
        <v>45</v>
      </c>
      <c r="X882">
        <v>81</v>
      </c>
      <c r="Y882">
        <v>30</v>
      </c>
      <c r="Z882">
        <v>21</v>
      </c>
      <c r="AA882">
        <v>1</v>
      </c>
      <c r="AB882">
        <v>2</v>
      </c>
      <c r="AC882">
        <v>100</v>
      </c>
      <c r="AD882">
        <v>0</v>
      </c>
      <c r="AE882">
        <v>1</v>
      </c>
      <c r="AF882">
        <v>6</v>
      </c>
      <c r="AG882">
        <v>1</v>
      </c>
      <c r="AH882">
        <v>0</v>
      </c>
      <c r="AI882" s="5">
        <v>0.19900000000000001</v>
      </c>
      <c r="AJ882" s="5">
        <v>0.27300000000000002</v>
      </c>
      <c r="AK882" s="5">
        <v>0.35799999999999998</v>
      </c>
      <c r="AL882" s="5">
        <v>0.216</v>
      </c>
      <c r="AM882" s="5">
        <v>0.30599999999999999</v>
      </c>
      <c r="AN882">
        <v>-0.5</v>
      </c>
      <c r="AO882">
        <v>1.46</v>
      </c>
      <c r="AP882">
        <v>7</v>
      </c>
      <c r="AQ882">
        <v>-11.52</v>
      </c>
      <c r="AR882">
        <v>-0.3</v>
      </c>
      <c r="AS882" t="s">
        <v>1327</v>
      </c>
      <c r="AT882">
        <v>-0.4</v>
      </c>
      <c r="AU882">
        <v>-3.6</v>
      </c>
      <c r="AV882">
        <v>3</v>
      </c>
      <c r="AW882">
        <v>8</v>
      </c>
      <c r="AX882">
        <v>1</v>
      </c>
      <c r="AY882">
        <v>4</v>
      </c>
      <c r="AZ882" t="s">
        <v>4657</v>
      </c>
      <c r="BA882">
        <v>15</v>
      </c>
      <c r="BB882" t="s">
        <v>36</v>
      </c>
      <c r="BC882" t="s">
        <v>35</v>
      </c>
      <c r="BD882" s="4">
        <f>HYPERLINK("http://mlb.mlb.com/team/player.jsp?player_id=666915",666915)</f>
        <v>666915</v>
      </c>
      <c r="BE882">
        <v>487</v>
      </c>
      <c r="BF882">
        <v>1487</v>
      </c>
      <c r="BG882">
        <v>0</v>
      </c>
      <c r="BH882">
        <v>0</v>
      </c>
    </row>
    <row r="883" spans="1:60" x14ac:dyDescent="0.3">
      <c r="A883" s="4">
        <f>HYPERLINK("http://legacy.baseballprospectus.com/p/111039",111039)</f>
        <v>111039</v>
      </c>
      <c r="B883" t="s">
        <v>4603</v>
      </c>
      <c r="C883" t="s">
        <v>341</v>
      </c>
      <c r="D883" s="10">
        <v>34948</v>
      </c>
      <c r="E883" t="s">
        <v>53</v>
      </c>
      <c r="F883" t="s">
        <v>33</v>
      </c>
      <c r="G883" t="s">
        <v>33</v>
      </c>
      <c r="H883">
        <v>72</v>
      </c>
      <c r="I883">
        <v>190</v>
      </c>
      <c r="J883">
        <v>2018</v>
      </c>
      <c r="K883" s="4" t="str">
        <f>HYPERLINK("http://legacy.baseballprospectus.com/fantasy/dc/index.php?tm=TOR","TOR")</f>
        <v>TOR</v>
      </c>
      <c r="L883" t="s">
        <v>95</v>
      </c>
      <c r="M883" t="s">
        <v>34</v>
      </c>
      <c r="N883">
        <v>22</v>
      </c>
      <c r="O883">
        <v>250</v>
      </c>
      <c r="P883" t="s">
        <v>1680</v>
      </c>
      <c r="Q883">
        <v>233</v>
      </c>
      <c r="R883">
        <v>22</v>
      </c>
      <c r="S883">
        <v>33</v>
      </c>
      <c r="T883">
        <v>10</v>
      </c>
      <c r="U883">
        <v>1</v>
      </c>
      <c r="V883">
        <v>6</v>
      </c>
      <c r="W883">
        <v>50</v>
      </c>
      <c r="X883">
        <v>80</v>
      </c>
      <c r="Y883">
        <v>26</v>
      </c>
      <c r="Z883">
        <v>12</v>
      </c>
      <c r="AA883">
        <v>1</v>
      </c>
      <c r="AB883">
        <v>3</v>
      </c>
      <c r="AC883">
        <v>71</v>
      </c>
      <c r="AD883">
        <v>1</v>
      </c>
      <c r="AE883">
        <v>1</v>
      </c>
      <c r="AF883">
        <v>6</v>
      </c>
      <c r="AG883">
        <v>2</v>
      </c>
      <c r="AH883">
        <v>1</v>
      </c>
      <c r="AI883" s="5">
        <v>0.21299999999999999</v>
      </c>
      <c r="AJ883" s="5">
        <v>0.25700000000000001</v>
      </c>
      <c r="AK883" s="5">
        <v>0.34100000000000003</v>
      </c>
      <c r="AL883" s="5">
        <v>0.20100000000000001</v>
      </c>
      <c r="AM883" s="5">
        <v>0.27600000000000002</v>
      </c>
      <c r="AN883">
        <v>-0.3</v>
      </c>
      <c r="AO883">
        <v>4.0999999999999996</v>
      </c>
      <c r="AP883">
        <v>7</v>
      </c>
      <c r="AQ883">
        <v>-15.49</v>
      </c>
      <c r="AR883">
        <v>1.1000000000000001</v>
      </c>
      <c r="AS883" t="s">
        <v>75</v>
      </c>
      <c r="AT883">
        <v>-0.4</v>
      </c>
      <c r="AU883">
        <v>-4.5999999999999996</v>
      </c>
      <c r="AV883">
        <v>1</v>
      </c>
      <c r="AW883">
        <v>5</v>
      </c>
      <c r="AX883">
        <v>2</v>
      </c>
      <c r="AY883">
        <v>7</v>
      </c>
      <c r="AZ883" t="s">
        <v>4604</v>
      </c>
      <c r="BA883">
        <v>8</v>
      </c>
      <c r="BB883" t="s">
        <v>36</v>
      </c>
      <c r="BC883" t="s">
        <v>35</v>
      </c>
      <c r="BD883" s="4">
        <f>HYPERLINK("http://mlb.mlb.com/team/player.jsp?player_id=657089",657089)</f>
        <v>657089</v>
      </c>
      <c r="BE883">
        <v>549</v>
      </c>
      <c r="BF883">
        <v>1549</v>
      </c>
      <c r="BG883">
        <v>0</v>
      </c>
      <c r="BH883">
        <v>0</v>
      </c>
    </row>
    <row r="884" spans="1:60" x14ac:dyDescent="0.3">
      <c r="A884" s="4">
        <f>HYPERLINK("http://legacy.baseballprospectus.com/p/45945",45945)</f>
        <v>45945</v>
      </c>
      <c r="B884" t="s">
        <v>296</v>
      </c>
      <c r="C884" t="s">
        <v>297</v>
      </c>
      <c r="D884" s="10">
        <v>31310</v>
      </c>
      <c r="E884" t="s">
        <v>59</v>
      </c>
      <c r="F884" t="s">
        <v>33</v>
      </c>
      <c r="G884" t="s">
        <v>33</v>
      </c>
      <c r="H884">
        <v>75</v>
      </c>
      <c r="I884">
        <v>215</v>
      </c>
      <c r="J884">
        <v>2018</v>
      </c>
      <c r="K884" s="4" t="str">
        <f>HYPERLINK("http://legacy.baseballprospectus.com/fantasy/dc/index.php?tm=COL","COL")</f>
        <v>COL</v>
      </c>
      <c r="L884" t="s">
        <v>100</v>
      </c>
      <c r="M884" t="s">
        <v>34</v>
      </c>
      <c r="N884">
        <v>32</v>
      </c>
      <c r="O884">
        <v>576</v>
      </c>
      <c r="P884">
        <v>141</v>
      </c>
      <c r="Q884">
        <v>528</v>
      </c>
      <c r="R884">
        <v>71</v>
      </c>
      <c r="S884">
        <v>91</v>
      </c>
      <c r="T884">
        <v>26</v>
      </c>
      <c r="U884">
        <v>3</v>
      </c>
      <c r="V884">
        <v>18</v>
      </c>
      <c r="W884">
        <v>138</v>
      </c>
      <c r="X884">
        <v>224</v>
      </c>
      <c r="Y884">
        <v>69</v>
      </c>
      <c r="Z884">
        <v>40</v>
      </c>
      <c r="AA884">
        <v>1</v>
      </c>
      <c r="AB884">
        <v>4</v>
      </c>
      <c r="AC884">
        <v>146</v>
      </c>
      <c r="AD884">
        <v>2</v>
      </c>
      <c r="AE884">
        <v>3</v>
      </c>
      <c r="AF884">
        <v>15</v>
      </c>
      <c r="AG884">
        <v>17</v>
      </c>
      <c r="AH884">
        <v>5</v>
      </c>
      <c r="AI884" s="5">
        <v>0.26100000000000001</v>
      </c>
      <c r="AJ884" s="5">
        <v>0.317</v>
      </c>
      <c r="AK884" s="5">
        <v>0.42399999999999999</v>
      </c>
      <c r="AL884" s="5">
        <v>0.245</v>
      </c>
      <c r="AM884" s="5">
        <v>0.32400000000000001</v>
      </c>
      <c r="AN884">
        <v>1.4</v>
      </c>
      <c r="AO884">
        <v>-3.37</v>
      </c>
      <c r="AP884">
        <v>15.46</v>
      </c>
      <c r="AQ884">
        <v>-8.7799999999999994</v>
      </c>
      <c r="AR884">
        <v>-9.8000000000000007</v>
      </c>
      <c r="AS884" t="s">
        <v>4933</v>
      </c>
      <c r="AT884">
        <v>-0.5</v>
      </c>
      <c r="AU884">
        <v>4.7</v>
      </c>
      <c r="AV884">
        <v>4</v>
      </c>
      <c r="AW884">
        <v>32</v>
      </c>
      <c r="AX884">
        <v>11</v>
      </c>
      <c r="AY884">
        <v>24</v>
      </c>
      <c r="AZ884" t="s">
        <v>4793</v>
      </c>
      <c r="BA884">
        <v>91</v>
      </c>
      <c r="BB884" t="s">
        <v>35</v>
      </c>
      <c r="BC884" t="s">
        <v>36</v>
      </c>
      <c r="BD884" s="4">
        <f>HYPERLINK("http://mlb.mlb.com/team/player.jsp?player_id=435622",435622)</f>
        <v>435622</v>
      </c>
      <c r="BE884">
        <v>1604</v>
      </c>
      <c r="BF884">
        <v>604</v>
      </c>
      <c r="BG884">
        <v>373</v>
      </c>
      <c r="BH884">
        <v>339</v>
      </c>
    </row>
    <row r="885" spans="1:60" x14ac:dyDescent="0.3">
      <c r="A885" s="4">
        <f>HYPERLINK("http://legacy.baseballprospectus.com/p/37145",37145)</f>
        <v>37145</v>
      </c>
      <c r="B885" t="s">
        <v>429</v>
      </c>
      <c r="C885" t="s">
        <v>102</v>
      </c>
      <c r="D885" s="10">
        <v>29178</v>
      </c>
      <c r="E885" t="s">
        <v>50</v>
      </c>
      <c r="F885" t="s">
        <v>9</v>
      </c>
      <c r="G885" t="s">
        <v>9</v>
      </c>
      <c r="H885">
        <v>76</v>
      </c>
      <c r="I885">
        <v>250</v>
      </c>
      <c r="J885">
        <v>2018</v>
      </c>
      <c r="K885" s="4" t="str">
        <f>HYPERLINK("http://legacy.baseballprospectus.com/fantasy/dc/index.php?tm=COL","COL")</f>
        <v>COL</v>
      </c>
      <c r="L885" t="s">
        <v>100</v>
      </c>
      <c r="M885" t="s">
        <v>34</v>
      </c>
      <c r="N885">
        <v>38</v>
      </c>
      <c r="O885">
        <v>250</v>
      </c>
      <c r="P885" t="s">
        <v>1680</v>
      </c>
      <c r="Q885">
        <v>226</v>
      </c>
      <c r="R885">
        <v>28</v>
      </c>
      <c r="S885">
        <v>29</v>
      </c>
      <c r="T885">
        <v>11</v>
      </c>
      <c r="U885">
        <v>1</v>
      </c>
      <c r="V885">
        <v>11</v>
      </c>
      <c r="W885">
        <v>52</v>
      </c>
      <c r="X885">
        <v>98</v>
      </c>
      <c r="Y885">
        <v>35</v>
      </c>
      <c r="Z885">
        <v>20</v>
      </c>
      <c r="AA885">
        <v>2</v>
      </c>
      <c r="AB885">
        <v>2</v>
      </c>
      <c r="AC885">
        <v>73</v>
      </c>
      <c r="AD885">
        <v>0</v>
      </c>
      <c r="AE885">
        <v>2</v>
      </c>
      <c r="AF885">
        <v>7</v>
      </c>
      <c r="AG885">
        <v>0</v>
      </c>
      <c r="AH885">
        <v>0</v>
      </c>
      <c r="AI885" s="5">
        <v>0.22600000000000001</v>
      </c>
      <c r="AJ885" s="5">
        <v>0.29199999999999998</v>
      </c>
      <c r="AK885" s="5">
        <v>0.42799999999999999</v>
      </c>
      <c r="AL885" s="5">
        <v>0.23</v>
      </c>
      <c r="AM885" s="5">
        <v>0.27900000000000003</v>
      </c>
      <c r="AN885">
        <v>-0.7</v>
      </c>
      <c r="AO885">
        <v>-2.13</v>
      </c>
      <c r="AP885">
        <v>7</v>
      </c>
      <c r="AQ885">
        <v>-7.92</v>
      </c>
      <c r="AR885">
        <v>-0.4</v>
      </c>
      <c r="AS885" t="s">
        <v>1004</v>
      </c>
      <c r="AT885">
        <v>-0.5</v>
      </c>
      <c r="AU885">
        <v>-3.7</v>
      </c>
      <c r="AV885">
        <v>1</v>
      </c>
      <c r="AW885">
        <v>19</v>
      </c>
      <c r="AX885">
        <v>16</v>
      </c>
      <c r="AY885">
        <v>28</v>
      </c>
      <c r="AZ885" t="s">
        <v>4608</v>
      </c>
      <c r="BA885">
        <v>68</v>
      </c>
      <c r="BB885" t="s">
        <v>36</v>
      </c>
      <c r="BC885" t="s">
        <v>36</v>
      </c>
      <c r="BD885" s="4">
        <f>HYPERLINK("http://mlb.mlb.com/team/player.jsp?player_id=429667",429667)</f>
        <v>429667</v>
      </c>
      <c r="BE885">
        <v>0</v>
      </c>
      <c r="BF885">
        <v>0</v>
      </c>
      <c r="BG885">
        <v>0</v>
      </c>
      <c r="BH885">
        <v>0</v>
      </c>
    </row>
    <row r="886" spans="1:60" x14ac:dyDescent="0.3">
      <c r="A886" s="4">
        <f>HYPERLINK("http://legacy.baseballprospectus.com/p/67886",67886)</f>
        <v>67886</v>
      </c>
      <c r="B886" t="s">
        <v>4642</v>
      </c>
      <c r="C886" t="s">
        <v>487</v>
      </c>
      <c r="D886" s="10">
        <v>32756</v>
      </c>
      <c r="E886" t="s">
        <v>50</v>
      </c>
      <c r="F886" t="s">
        <v>37</v>
      </c>
      <c r="G886" t="s">
        <v>33</v>
      </c>
      <c r="H886">
        <v>74</v>
      </c>
      <c r="I886">
        <v>210</v>
      </c>
      <c r="J886">
        <v>2018</v>
      </c>
      <c r="K886" s="4" t="str">
        <f>HYPERLINK("http://legacy.baseballprospectus.com/fantasy/dc/index.php?tm=KCA","KCA")</f>
        <v>KCA</v>
      </c>
      <c r="L886" t="s">
        <v>95</v>
      </c>
      <c r="M886" t="s">
        <v>34</v>
      </c>
      <c r="N886">
        <v>28</v>
      </c>
      <c r="O886">
        <v>250</v>
      </c>
      <c r="P886" t="s">
        <v>1680</v>
      </c>
      <c r="Q886">
        <v>232</v>
      </c>
      <c r="R886">
        <v>28</v>
      </c>
      <c r="S886">
        <v>30</v>
      </c>
      <c r="T886">
        <v>12</v>
      </c>
      <c r="U886">
        <v>2</v>
      </c>
      <c r="V886">
        <v>11</v>
      </c>
      <c r="W886">
        <v>55</v>
      </c>
      <c r="X886">
        <v>104</v>
      </c>
      <c r="Y886">
        <v>35</v>
      </c>
      <c r="Z886">
        <v>14</v>
      </c>
      <c r="AA886">
        <v>1</v>
      </c>
      <c r="AB886">
        <v>2</v>
      </c>
      <c r="AC886">
        <v>66</v>
      </c>
      <c r="AD886">
        <v>1</v>
      </c>
      <c r="AE886">
        <v>2</v>
      </c>
      <c r="AF886">
        <v>5</v>
      </c>
      <c r="AG886">
        <v>1</v>
      </c>
      <c r="AH886">
        <v>0</v>
      </c>
      <c r="AI886" s="5">
        <v>0.23699999999999999</v>
      </c>
      <c r="AJ886" s="5">
        <v>0.28499999999999998</v>
      </c>
      <c r="AK886" s="5">
        <v>0.44700000000000001</v>
      </c>
      <c r="AL886" s="5">
        <v>0.24</v>
      </c>
      <c r="AM886" s="5">
        <v>0.28000000000000003</v>
      </c>
      <c r="AN886">
        <v>-0.2</v>
      </c>
      <c r="AO886">
        <v>-0.43</v>
      </c>
      <c r="AP886">
        <v>7</v>
      </c>
      <c r="AQ886">
        <v>-5.29</v>
      </c>
      <c r="AR886">
        <v>-5.9</v>
      </c>
      <c r="AS886" t="s">
        <v>4643</v>
      </c>
      <c r="AT886">
        <v>-0.5</v>
      </c>
      <c r="AU886">
        <v>1.1000000000000001</v>
      </c>
      <c r="AV886">
        <v>4</v>
      </c>
      <c r="AW886">
        <v>11</v>
      </c>
      <c r="AX886">
        <v>8</v>
      </c>
      <c r="AY886">
        <v>19</v>
      </c>
      <c r="AZ886" t="s">
        <v>4644</v>
      </c>
      <c r="BA886">
        <v>27</v>
      </c>
      <c r="BB886" t="s">
        <v>36</v>
      </c>
      <c r="BC886" t="s">
        <v>36</v>
      </c>
      <c r="BD886" s="4">
        <f>HYPERLINK("http://mlb.mlb.com/team/player.jsp?player_id=595025",595025)</f>
        <v>595025</v>
      </c>
      <c r="BE886">
        <v>0</v>
      </c>
      <c r="BF886">
        <v>0</v>
      </c>
      <c r="BG886">
        <v>0</v>
      </c>
      <c r="BH886">
        <v>0</v>
      </c>
    </row>
    <row r="887" spans="1:60" x14ac:dyDescent="0.3">
      <c r="A887" s="4">
        <f>HYPERLINK("http://legacy.baseballprospectus.com/p/100263",100263)</f>
        <v>100263</v>
      </c>
      <c r="B887" t="s">
        <v>1898</v>
      </c>
      <c r="C887" t="s">
        <v>1899</v>
      </c>
      <c r="D887" s="10">
        <v>34697</v>
      </c>
      <c r="E887" t="s">
        <v>54</v>
      </c>
      <c r="F887" t="s">
        <v>33</v>
      </c>
      <c r="G887" t="s">
        <v>33</v>
      </c>
      <c r="H887">
        <v>71</v>
      </c>
      <c r="I887">
        <v>195</v>
      </c>
      <c r="J887">
        <v>2018</v>
      </c>
      <c r="K887" s="4" t="str">
        <f>HYPERLINK("http://legacy.baseballprospectus.com/fantasy/dc/index.php?tm=CIN","CIN")</f>
        <v>CIN</v>
      </c>
      <c r="L887" t="s">
        <v>100</v>
      </c>
      <c r="M887" t="s">
        <v>34</v>
      </c>
      <c r="N887">
        <v>23</v>
      </c>
      <c r="O887">
        <v>250</v>
      </c>
      <c r="P887" t="s">
        <v>1680</v>
      </c>
      <c r="Q887">
        <v>225</v>
      </c>
      <c r="R887">
        <v>23</v>
      </c>
      <c r="S887">
        <v>27</v>
      </c>
      <c r="T887">
        <v>9</v>
      </c>
      <c r="U887">
        <v>1</v>
      </c>
      <c r="V887">
        <v>7</v>
      </c>
      <c r="W887">
        <v>44</v>
      </c>
      <c r="X887">
        <v>76</v>
      </c>
      <c r="Y887">
        <v>27</v>
      </c>
      <c r="Z887">
        <v>19</v>
      </c>
      <c r="AA887">
        <v>2</v>
      </c>
      <c r="AB887">
        <v>3</v>
      </c>
      <c r="AC887">
        <v>83</v>
      </c>
      <c r="AD887">
        <v>1</v>
      </c>
      <c r="AE887">
        <v>1</v>
      </c>
      <c r="AF887">
        <v>6</v>
      </c>
      <c r="AG887">
        <v>1</v>
      </c>
      <c r="AH887">
        <v>0</v>
      </c>
      <c r="AI887" s="5">
        <v>0.191</v>
      </c>
      <c r="AJ887" s="5">
        <v>0.26200000000000001</v>
      </c>
      <c r="AK887" s="5">
        <v>0.32700000000000001</v>
      </c>
      <c r="AL887" s="5">
        <v>0.19600000000000001</v>
      </c>
      <c r="AM887" s="5">
        <v>0.26200000000000001</v>
      </c>
      <c r="AN887">
        <v>-0.3</v>
      </c>
      <c r="AO887">
        <v>5.28</v>
      </c>
      <c r="AP887">
        <v>7</v>
      </c>
      <c r="AQ887">
        <v>-16.77</v>
      </c>
      <c r="AR887">
        <v>0.1</v>
      </c>
      <c r="AS887" t="s">
        <v>4645</v>
      </c>
      <c r="AT887">
        <v>-0.5</v>
      </c>
      <c r="AU887">
        <v>-4.8</v>
      </c>
      <c r="AV887">
        <v>2</v>
      </c>
      <c r="AW887">
        <v>3</v>
      </c>
      <c r="AX887">
        <v>1</v>
      </c>
      <c r="AY887">
        <v>6</v>
      </c>
      <c r="AZ887" t="s">
        <v>4646</v>
      </c>
      <c r="BA887">
        <v>6</v>
      </c>
      <c r="BB887" t="s">
        <v>36</v>
      </c>
      <c r="BC887" t="s">
        <v>35</v>
      </c>
      <c r="BD887" s="4">
        <f>HYPERLINK("http://mlb.mlb.com/team/player.jsp?player_id=608360",608360)</f>
        <v>608360</v>
      </c>
      <c r="BE887">
        <v>0</v>
      </c>
      <c r="BF887">
        <v>0</v>
      </c>
      <c r="BG887">
        <v>0</v>
      </c>
      <c r="BH887">
        <v>0</v>
      </c>
    </row>
    <row r="888" spans="1:60" x14ac:dyDescent="0.3">
      <c r="A888" s="4">
        <f>HYPERLINK("http://legacy.baseballprospectus.com/p/100264",100264)</f>
        <v>100264</v>
      </c>
      <c r="B888" t="s">
        <v>607</v>
      </c>
      <c r="C888" t="s">
        <v>1900</v>
      </c>
      <c r="D888" s="10">
        <v>34497</v>
      </c>
      <c r="E888" t="s">
        <v>50</v>
      </c>
      <c r="F888" t="s">
        <v>33</v>
      </c>
      <c r="G888" t="s">
        <v>33</v>
      </c>
      <c r="H888">
        <v>74</v>
      </c>
      <c r="I888">
        <v>225</v>
      </c>
      <c r="J888">
        <v>2018</v>
      </c>
      <c r="K888" s="4" t="str">
        <f>HYPERLINK("http://legacy.baseballprospectus.com/fantasy/dc/index.php?tm=CLE","CLE")</f>
        <v>CLE</v>
      </c>
      <c r="L888" t="s">
        <v>95</v>
      </c>
      <c r="M888" t="s">
        <v>34</v>
      </c>
      <c r="N888">
        <v>24</v>
      </c>
      <c r="O888">
        <v>250</v>
      </c>
      <c r="P888" t="s">
        <v>1680</v>
      </c>
      <c r="Q888">
        <v>218</v>
      </c>
      <c r="R888">
        <v>28</v>
      </c>
      <c r="S888">
        <v>23</v>
      </c>
      <c r="T888">
        <v>10</v>
      </c>
      <c r="U888">
        <v>0</v>
      </c>
      <c r="V888">
        <v>11</v>
      </c>
      <c r="W888">
        <v>44</v>
      </c>
      <c r="X888">
        <v>87</v>
      </c>
      <c r="Y888">
        <v>33</v>
      </c>
      <c r="Z888">
        <v>28</v>
      </c>
      <c r="AA888">
        <v>1</v>
      </c>
      <c r="AB888">
        <v>1</v>
      </c>
      <c r="AC888">
        <v>97</v>
      </c>
      <c r="AD888">
        <v>1</v>
      </c>
      <c r="AE888">
        <v>1</v>
      </c>
      <c r="AF888">
        <v>5</v>
      </c>
      <c r="AG888">
        <v>0</v>
      </c>
      <c r="AH888">
        <v>0</v>
      </c>
      <c r="AI888" s="5">
        <v>0.2</v>
      </c>
      <c r="AJ888" s="5">
        <v>0.29399999999999998</v>
      </c>
      <c r="AK888" s="5">
        <v>0.39400000000000002</v>
      </c>
      <c r="AL888" s="5">
        <v>0.23400000000000001</v>
      </c>
      <c r="AM888" s="5">
        <v>0.29199999999999998</v>
      </c>
      <c r="AN888">
        <v>-0.5</v>
      </c>
      <c r="AO888">
        <v>-2.3199999999999998</v>
      </c>
      <c r="AP888">
        <v>7</v>
      </c>
      <c r="AQ888">
        <v>-6.91</v>
      </c>
      <c r="AR888">
        <v>-1.4</v>
      </c>
      <c r="AS888" t="s">
        <v>64</v>
      </c>
      <c r="AT888">
        <v>-0.5</v>
      </c>
      <c r="AU888">
        <v>-2.7</v>
      </c>
      <c r="AV888">
        <v>3</v>
      </c>
      <c r="AW888">
        <v>8</v>
      </c>
      <c r="AX888">
        <v>7</v>
      </c>
      <c r="AY888">
        <v>11</v>
      </c>
      <c r="AZ888" t="s">
        <v>4617</v>
      </c>
      <c r="BA888">
        <v>17</v>
      </c>
      <c r="BB888" t="s">
        <v>36</v>
      </c>
      <c r="BC888" t="s">
        <v>35</v>
      </c>
      <c r="BD888" s="4">
        <f>HYPERLINK("http://mlb.mlb.com/team/player.jsp?player_id=608364",608364)</f>
        <v>608364</v>
      </c>
      <c r="BE888">
        <v>0</v>
      </c>
      <c r="BF888">
        <v>0</v>
      </c>
      <c r="BG888">
        <v>0</v>
      </c>
      <c r="BH888">
        <v>0</v>
      </c>
    </row>
    <row r="889" spans="1:60" x14ac:dyDescent="0.3">
      <c r="A889" s="4">
        <f>HYPERLINK("http://legacy.baseballprospectus.com/p/101624",101624)</f>
        <v>101624</v>
      </c>
      <c r="B889" t="s">
        <v>1992</v>
      </c>
      <c r="C889" t="s">
        <v>1760</v>
      </c>
      <c r="D889" s="10">
        <v>34985</v>
      </c>
      <c r="E889" t="s">
        <v>65</v>
      </c>
      <c r="F889" t="s">
        <v>33</v>
      </c>
      <c r="G889" t="s">
        <v>33</v>
      </c>
      <c r="H889">
        <v>73</v>
      </c>
      <c r="I889">
        <v>180</v>
      </c>
      <c r="J889">
        <v>2018</v>
      </c>
      <c r="K889" s="4" t="str">
        <f>HYPERLINK("http://legacy.baseballprospectus.com/fantasy/dc/index.php?tm=ARI","ARI")</f>
        <v>ARI</v>
      </c>
      <c r="L889" t="s">
        <v>100</v>
      </c>
      <c r="M889" t="s">
        <v>34</v>
      </c>
      <c r="N889">
        <v>22</v>
      </c>
      <c r="O889">
        <v>250</v>
      </c>
      <c r="P889" t="s">
        <v>1680</v>
      </c>
      <c r="Q889">
        <v>225</v>
      </c>
      <c r="R889">
        <v>29</v>
      </c>
      <c r="S889">
        <v>32</v>
      </c>
      <c r="T889">
        <v>10</v>
      </c>
      <c r="U889">
        <v>1</v>
      </c>
      <c r="V889">
        <v>5</v>
      </c>
      <c r="W889">
        <v>48</v>
      </c>
      <c r="X889">
        <v>75</v>
      </c>
      <c r="Y889">
        <v>20</v>
      </c>
      <c r="Z889">
        <v>20</v>
      </c>
      <c r="AA889">
        <v>1</v>
      </c>
      <c r="AB889">
        <v>2</v>
      </c>
      <c r="AC889">
        <v>74</v>
      </c>
      <c r="AD889">
        <v>1</v>
      </c>
      <c r="AE889">
        <v>1</v>
      </c>
      <c r="AF889">
        <v>6</v>
      </c>
      <c r="AG889">
        <v>6</v>
      </c>
      <c r="AH889">
        <v>2</v>
      </c>
      <c r="AI889" s="5">
        <v>0.21299999999999999</v>
      </c>
      <c r="AJ889" s="5">
        <v>0.28199999999999997</v>
      </c>
      <c r="AK889" s="5">
        <v>0.32900000000000001</v>
      </c>
      <c r="AL889" s="5">
        <v>0.21199999999999999</v>
      </c>
      <c r="AM889" s="5">
        <v>0.28999999999999998</v>
      </c>
      <c r="AN889">
        <v>0.2</v>
      </c>
      <c r="AO889">
        <v>2.5</v>
      </c>
      <c r="AP889">
        <v>7</v>
      </c>
      <c r="AQ889">
        <v>-12.64</v>
      </c>
      <c r="AR889">
        <v>-1.5</v>
      </c>
      <c r="AS889" t="s">
        <v>4005</v>
      </c>
      <c r="AT889">
        <v>-0.5</v>
      </c>
      <c r="AU889">
        <v>-3</v>
      </c>
      <c r="AV889">
        <v>1</v>
      </c>
      <c r="AW889">
        <v>6</v>
      </c>
      <c r="AX889">
        <v>2</v>
      </c>
      <c r="AY889">
        <v>8</v>
      </c>
      <c r="AZ889" t="s">
        <v>1930</v>
      </c>
      <c r="BA889">
        <v>10</v>
      </c>
      <c r="BB889" t="s">
        <v>36</v>
      </c>
      <c r="BC889" t="s">
        <v>35</v>
      </c>
      <c r="BD889" s="4">
        <f>HYPERLINK("http://mlb.mlb.com/team/player.jsp?player_id=624505",624505)</f>
        <v>624505</v>
      </c>
      <c r="BE889">
        <v>0</v>
      </c>
      <c r="BF889">
        <v>0</v>
      </c>
      <c r="BG889">
        <v>0</v>
      </c>
      <c r="BH889">
        <v>0</v>
      </c>
    </row>
    <row r="890" spans="1:60" x14ac:dyDescent="0.3">
      <c r="A890" s="4">
        <f>HYPERLINK("http://legacy.baseballprospectus.com/p/103296",103296)</f>
        <v>103296</v>
      </c>
      <c r="B890" t="s">
        <v>133</v>
      </c>
      <c r="C890" t="s">
        <v>1773</v>
      </c>
      <c r="D890" s="10">
        <v>34733</v>
      </c>
      <c r="E890" t="s">
        <v>51</v>
      </c>
      <c r="F890" t="s">
        <v>33</v>
      </c>
      <c r="G890" t="s">
        <v>33</v>
      </c>
      <c r="H890">
        <v>76</v>
      </c>
      <c r="I890">
        <v>230</v>
      </c>
      <c r="J890">
        <v>2018</v>
      </c>
      <c r="K890" s="4" t="str">
        <f>HYPERLINK("http://legacy.baseballprospectus.com/fantasy/dc/index.php?tm=SFN","SFN")</f>
        <v>SFN</v>
      </c>
      <c r="L890" t="s">
        <v>100</v>
      </c>
      <c r="M890" t="s">
        <v>34</v>
      </c>
      <c r="N890">
        <v>23</v>
      </c>
      <c r="O890">
        <v>250</v>
      </c>
      <c r="P890" t="s">
        <v>1680</v>
      </c>
      <c r="Q890">
        <v>239</v>
      </c>
      <c r="R890">
        <v>22</v>
      </c>
      <c r="S890">
        <v>34</v>
      </c>
      <c r="T890">
        <v>13</v>
      </c>
      <c r="U890">
        <v>1</v>
      </c>
      <c r="V890">
        <v>7</v>
      </c>
      <c r="W890">
        <v>55</v>
      </c>
      <c r="X890">
        <v>91</v>
      </c>
      <c r="Y890">
        <v>28</v>
      </c>
      <c r="Z890">
        <v>8</v>
      </c>
      <c r="AA890">
        <v>1</v>
      </c>
      <c r="AB890">
        <v>1</v>
      </c>
      <c r="AC890">
        <v>62</v>
      </c>
      <c r="AD890">
        <v>1</v>
      </c>
      <c r="AE890">
        <v>2</v>
      </c>
      <c r="AF890">
        <v>7</v>
      </c>
      <c r="AG890">
        <v>0</v>
      </c>
      <c r="AH890">
        <v>0</v>
      </c>
      <c r="AI890" s="5">
        <v>0.22700000000000001</v>
      </c>
      <c r="AJ890" s="5">
        <v>0.253</v>
      </c>
      <c r="AK890" s="5">
        <v>0.371</v>
      </c>
      <c r="AL890" s="5">
        <v>0.214</v>
      </c>
      <c r="AM890" s="5">
        <v>0.27400000000000002</v>
      </c>
      <c r="AN890">
        <v>-0.5</v>
      </c>
      <c r="AO890">
        <v>0.66</v>
      </c>
      <c r="AP890">
        <v>7</v>
      </c>
      <c r="AQ890">
        <v>-12.07</v>
      </c>
      <c r="AR890">
        <v>0</v>
      </c>
      <c r="AS890" t="s">
        <v>4134</v>
      </c>
      <c r="AT890">
        <v>-0.5</v>
      </c>
      <c r="AU890">
        <v>-4.9000000000000004</v>
      </c>
      <c r="AV890">
        <v>0</v>
      </c>
      <c r="AW890">
        <v>4</v>
      </c>
      <c r="AX890">
        <v>5</v>
      </c>
      <c r="AY890">
        <v>10</v>
      </c>
      <c r="AZ890" t="s">
        <v>4672</v>
      </c>
      <c r="BA890">
        <v>23</v>
      </c>
      <c r="BB890" t="s">
        <v>36</v>
      </c>
      <c r="BC890" t="s">
        <v>35</v>
      </c>
      <c r="BD890" s="4">
        <f>HYPERLINK("http://mlb.mlb.com/team/player.jsp?player_id=643198",643198)</f>
        <v>643198</v>
      </c>
      <c r="BE890">
        <v>0</v>
      </c>
      <c r="BF890">
        <v>0</v>
      </c>
      <c r="BG890">
        <v>0</v>
      </c>
      <c r="BH890">
        <v>0</v>
      </c>
    </row>
    <row r="891" spans="1:60" x14ac:dyDescent="0.3">
      <c r="A891" s="4">
        <f>HYPERLINK("http://legacy.baseballprospectus.com/p/104814",104814)</f>
        <v>104814</v>
      </c>
      <c r="B891" t="s">
        <v>440</v>
      </c>
      <c r="C891" t="s">
        <v>141</v>
      </c>
      <c r="D891" s="10">
        <v>35058</v>
      </c>
      <c r="E891" t="s">
        <v>54</v>
      </c>
      <c r="F891" t="s">
        <v>33</v>
      </c>
      <c r="G891" t="s">
        <v>33</v>
      </c>
      <c r="H891">
        <v>74</v>
      </c>
      <c r="I891">
        <v>215</v>
      </c>
      <c r="J891">
        <v>2018</v>
      </c>
      <c r="K891" s="4" t="str">
        <f>HYPERLINK("http://legacy.baseballprospectus.com/fantasy/dc/index.php?tm=ATL","ATL")</f>
        <v>ATL</v>
      </c>
      <c r="L891" t="s">
        <v>100</v>
      </c>
      <c r="M891" t="s">
        <v>34</v>
      </c>
      <c r="N891">
        <v>22</v>
      </c>
      <c r="O891">
        <v>250</v>
      </c>
      <c r="P891" t="s">
        <v>1680</v>
      </c>
      <c r="Q891">
        <v>227</v>
      </c>
      <c r="R891">
        <v>27</v>
      </c>
      <c r="S891">
        <v>29</v>
      </c>
      <c r="T891">
        <v>11</v>
      </c>
      <c r="U891">
        <v>0</v>
      </c>
      <c r="V891">
        <v>10</v>
      </c>
      <c r="W891">
        <v>50</v>
      </c>
      <c r="X891">
        <v>91</v>
      </c>
      <c r="Y891">
        <v>33</v>
      </c>
      <c r="Z891">
        <v>15</v>
      </c>
      <c r="AA891">
        <v>1</v>
      </c>
      <c r="AB891">
        <v>6</v>
      </c>
      <c r="AC891">
        <v>82</v>
      </c>
      <c r="AD891">
        <v>1</v>
      </c>
      <c r="AE891">
        <v>1</v>
      </c>
      <c r="AF891">
        <v>6</v>
      </c>
      <c r="AG891">
        <v>0</v>
      </c>
      <c r="AH891">
        <v>0</v>
      </c>
      <c r="AI891" s="5">
        <v>0.217</v>
      </c>
      <c r="AJ891" s="5">
        <v>0.28199999999999997</v>
      </c>
      <c r="AK891" s="5">
        <v>0.39800000000000002</v>
      </c>
      <c r="AL891" s="5">
        <v>0.23100000000000001</v>
      </c>
      <c r="AM891" s="5">
        <v>0.28699999999999998</v>
      </c>
      <c r="AN891">
        <v>-0.6</v>
      </c>
      <c r="AO891">
        <v>4.58</v>
      </c>
      <c r="AP891">
        <v>7</v>
      </c>
      <c r="AQ891">
        <v>-7.67</v>
      </c>
      <c r="AR891">
        <v>-8.1999999999999993</v>
      </c>
      <c r="AS891" t="s">
        <v>2192</v>
      </c>
      <c r="AT891">
        <v>-0.5</v>
      </c>
      <c r="AU891">
        <v>3.3</v>
      </c>
      <c r="AV891">
        <v>0</v>
      </c>
      <c r="AW891">
        <v>12</v>
      </c>
      <c r="AX891">
        <v>4</v>
      </c>
      <c r="AY891">
        <v>14</v>
      </c>
      <c r="AZ891" t="s">
        <v>4647</v>
      </c>
      <c r="BA891">
        <v>25</v>
      </c>
      <c r="BB891" t="s">
        <v>36</v>
      </c>
      <c r="BC891" t="s">
        <v>35</v>
      </c>
      <c r="BD891" s="4">
        <f>HYPERLINK("http://mlb.mlb.com/team/player.jsp?player_id=656577",656577)</f>
        <v>656577</v>
      </c>
      <c r="BE891">
        <v>1413</v>
      </c>
      <c r="BF891">
        <v>413</v>
      </c>
      <c r="BG891">
        <v>0</v>
      </c>
      <c r="BH891">
        <v>0</v>
      </c>
    </row>
    <row r="892" spans="1:60" x14ac:dyDescent="0.3">
      <c r="A892" s="4">
        <f>HYPERLINK("http://legacy.baseballprospectus.com/p/105420",105420)</f>
        <v>105420</v>
      </c>
      <c r="B892" t="s">
        <v>424</v>
      </c>
      <c r="C892" t="s">
        <v>301</v>
      </c>
      <c r="D892" s="10">
        <v>35063</v>
      </c>
      <c r="E892" t="s">
        <v>65</v>
      </c>
      <c r="F892" t="s">
        <v>33</v>
      </c>
      <c r="G892" t="s">
        <v>33</v>
      </c>
      <c r="H892">
        <v>74</v>
      </c>
      <c r="I892">
        <v>195</v>
      </c>
      <c r="J892">
        <v>2018</v>
      </c>
      <c r="K892" s="4" t="str">
        <f>HYPERLINK("http://legacy.baseballprospectus.com/fantasy/dc/index.php?tm=DET","DET")</f>
        <v>DET</v>
      </c>
      <c r="L892" t="s">
        <v>95</v>
      </c>
      <c r="M892" t="s">
        <v>34</v>
      </c>
      <c r="N892">
        <v>22</v>
      </c>
      <c r="O892">
        <v>250</v>
      </c>
      <c r="P892" t="s">
        <v>1680</v>
      </c>
      <c r="Q892">
        <v>229</v>
      </c>
      <c r="R892">
        <v>31</v>
      </c>
      <c r="S892">
        <v>34</v>
      </c>
      <c r="T892">
        <v>9</v>
      </c>
      <c r="U892">
        <v>3</v>
      </c>
      <c r="V892">
        <v>5</v>
      </c>
      <c r="W892">
        <v>51</v>
      </c>
      <c r="X892">
        <v>81</v>
      </c>
      <c r="Y892">
        <v>20</v>
      </c>
      <c r="Z892">
        <v>15</v>
      </c>
      <c r="AA892">
        <v>1</v>
      </c>
      <c r="AB892">
        <v>2</v>
      </c>
      <c r="AC892">
        <v>73</v>
      </c>
      <c r="AD892">
        <v>2</v>
      </c>
      <c r="AE892">
        <v>2</v>
      </c>
      <c r="AF892">
        <v>5</v>
      </c>
      <c r="AG892">
        <v>13</v>
      </c>
      <c r="AH892">
        <v>3</v>
      </c>
      <c r="AI892" s="5">
        <v>0.223</v>
      </c>
      <c r="AJ892" s="5">
        <v>0.27500000000000002</v>
      </c>
      <c r="AK892" s="5">
        <v>0.34799999999999998</v>
      </c>
      <c r="AL892" s="5">
        <v>0.20899999999999999</v>
      </c>
      <c r="AM892" s="5">
        <v>0.29799999999999999</v>
      </c>
      <c r="AN892">
        <v>1.8</v>
      </c>
      <c r="AO892">
        <v>2.65</v>
      </c>
      <c r="AP892">
        <v>7</v>
      </c>
      <c r="AQ892">
        <v>-13.53</v>
      </c>
      <c r="AR892">
        <v>-2.4</v>
      </c>
      <c r="AS892" t="s">
        <v>81</v>
      </c>
      <c r="AT892">
        <v>-0.5</v>
      </c>
      <c r="AU892">
        <v>-2.1</v>
      </c>
      <c r="AV892">
        <v>2</v>
      </c>
      <c r="AW892">
        <v>13</v>
      </c>
      <c r="AX892">
        <v>2</v>
      </c>
      <c r="AY892">
        <v>15</v>
      </c>
      <c r="AZ892" t="s">
        <v>4648</v>
      </c>
      <c r="BA892">
        <v>16</v>
      </c>
      <c r="BB892" t="s">
        <v>36</v>
      </c>
      <c r="BC892" t="s">
        <v>35</v>
      </c>
      <c r="BD892" s="4">
        <f>HYPERLINK("http://mlb.mlb.com/team/player.jsp?player_id=656537",656537)</f>
        <v>656537</v>
      </c>
      <c r="BE892">
        <v>651</v>
      </c>
      <c r="BF892">
        <v>1651</v>
      </c>
      <c r="BG892">
        <v>0</v>
      </c>
      <c r="BH892">
        <v>0</v>
      </c>
    </row>
    <row r="893" spans="1:60" x14ac:dyDescent="0.3">
      <c r="A893" s="4">
        <f>HYPERLINK("http://legacy.baseballprospectus.com/p/105595",105595)</f>
        <v>105595</v>
      </c>
      <c r="B893" t="s">
        <v>1787</v>
      </c>
      <c r="C893" t="s">
        <v>207</v>
      </c>
      <c r="D893" s="10">
        <v>35280</v>
      </c>
      <c r="E893" t="s">
        <v>51</v>
      </c>
      <c r="F893" t="s">
        <v>9</v>
      </c>
      <c r="G893" t="s">
        <v>33</v>
      </c>
      <c r="H893">
        <v>74</v>
      </c>
      <c r="I893">
        <v>208</v>
      </c>
      <c r="J893">
        <v>2018</v>
      </c>
      <c r="K893" s="4" t="str">
        <f>HYPERLINK("http://legacy.baseballprospectus.com/fantasy/dc/index.php?tm=MIN","MIN")</f>
        <v>MIN</v>
      </c>
      <c r="L893" t="s">
        <v>95</v>
      </c>
      <c r="M893" t="s">
        <v>34</v>
      </c>
      <c r="N893">
        <v>21</v>
      </c>
      <c r="O893">
        <v>250</v>
      </c>
      <c r="P893" t="s">
        <v>1680</v>
      </c>
      <c r="Q893">
        <v>225</v>
      </c>
      <c r="R893">
        <v>29</v>
      </c>
      <c r="S893">
        <v>30</v>
      </c>
      <c r="T893">
        <v>9</v>
      </c>
      <c r="U893">
        <v>2</v>
      </c>
      <c r="V893">
        <v>8</v>
      </c>
      <c r="W893">
        <v>49</v>
      </c>
      <c r="X893">
        <v>86</v>
      </c>
      <c r="Y893">
        <v>26</v>
      </c>
      <c r="Z893">
        <v>18</v>
      </c>
      <c r="AA893">
        <v>2</v>
      </c>
      <c r="AB893">
        <v>5</v>
      </c>
      <c r="AC893">
        <v>76</v>
      </c>
      <c r="AD893">
        <v>1</v>
      </c>
      <c r="AE893">
        <v>1</v>
      </c>
      <c r="AF893">
        <v>5</v>
      </c>
      <c r="AG893">
        <v>1</v>
      </c>
      <c r="AH893">
        <v>0</v>
      </c>
      <c r="AI893" s="5">
        <v>0.217</v>
      </c>
      <c r="AJ893" s="5">
        <v>0.28699999999999998</v>
      </c>
      <c r="AK893" s="5">
        <v>0.379</v>
      </c>
      <c r="AL893" s="5">
        <v>0.219</v>
      </c>
      <c r="AM893" s="5">
        <v>0.28699999999999998</v>
      </c>
      <c r="AN893">
        <v>0</v>
      </c>
      <c r="AO893">
        <v>2.2200000000000002</v>
      </c>
      <c r="AP893">
        <v>7</v>
      </c>
      <c r="AQ893">
        <v>-10.87</v>
      </c>
      <c r="AR893">
        <v>-2.5</v>
      </c>
      <c r="AS893" t="s">
        <v>2177</v>
      </c>
      <c r="AT893">
        <v>-0.5</v>
      </c>
      <c r="AU893">
        <v>-1.6</v>
      </c>
      <c r="AV893">
        <v>1</v>
      </c>
      <c r="AW893">
        <v>1</v>
      </c>
      <c r="AX893">
        <v>0</v>
      </c>
      <c r="AY893">
        <v>6</v>
      </c>
      <c r="AZ893" t="s">
        <v>4649</v>
      </c>
      <c r="BA893">
        <v>7</v>
      </c>
      <c r="BB893" t="s">
        <v>36</v>
      </c>
      <c r="BC893" t="s">
        <v>35</v>
      </c>
      <c r="BD893" s="4">
        <f>HYPERLINK("http://mlb.mlb.com/team/player.jsp?player_id=663905",663905)</f>
        <v>663905</v>
      </c>
      <c r="BE893">
        <v>490</v>
      </c>
      <c r="BF893">
        <v>1490</v>
      </c>
      <c r="BG893">
        <v>0</v>
      </c>
      <c r="BH893">
        <v>0</v>
      </c>
    </row>
    <row r="894" spans="1:60" x14ac:dyDescent="0.3">
      <c r="A894" s="4">
        <f>HYPERLINK("http://legacy.baseballprospectus.com/p/106386",106386)</f>
        <v>106386</v>
      </c>
      <c r="B894" t="s">
        <v>493</v>
      </c>
      <c r="C894" t="s">
        <v>1207</v>
      </c>
      <c r="D894" s="10">
        <v>34690</v>
      </c>
      <c r="E894" t="s">
        <v>53</v>
      </c>
      <c r="F894" t="s">
        <v>33</v>
      </c>
      <c r="G894" t="s">
        <v>33</v>
      </c>
      <c r="H894">
        <v>71</v>
      </c>
      <c r="I894">
        <v>190</v>
      </c>
      <c r="J894">
        <v>2018</v>
      </c>
      <c r="K894" s="4" t="str">
        <f>HYPERLINK("http://legacy.baseballprospectus.com/fantasy/dc/index.php?tm=OAK","OAK")</f>
        <v>OAK</v>
      </c>
      <c r="L894" t="s">
        <v>95</v>
      </c>
      <c r="M894" t="s">
        <v>34</v>
      </c>
      <c r="N894">
        <v>23</v>
      </c>
      <c r="O894">
        <v>250</v>
      </c>
      <c r="P894" t="s">
        <v>1680</v>
      </c>
      <c r="Q894">
        <v>223</v>
      </c>
      <c r="R894">
        <v>29</v>
      </c>
      <c r="S894">
        <v>32</v>
      </c>
      <c r="T894">
        <v>10</v>
      </c>
      <c r="U894">
        <v>2</v>
      </c>
      <c r="V894">
        <v>5</v>
      </c>
      <c r="W894">
        <v>49</v>
      </c>
      <c r="X894">
        <v>78</v>
      </c>
      <c r="Y894">
        <v>22</v>
      </c>
      <c r="Z894">
        <v>19</v>
      </c>
      <c r="AA894">
        <v>1</v>
      </c>
      <c r="AB894">
        <v>5</v>
      </c>
      <c r="AC894">
        <v>59</v>
      </c>
      <c r="AD894">
        <v>1</v>
      </c>
      <c r="AE894">
        <v>1</v>
      </c>
      <c r="AF894">
        <v>6</v>
      </c>
      <c r="AG894">
        <v>5</v>
      </c>
      <c r="AH894">
        <v>2</v>
      </c>
      <c r="AI894" s="5">
        <v>0.216</v>
      </c>
      <c r="AJ894" s="5">
        <v>0.29099999999999998</v>
      </c>
      <c r="AK894" s="5">
        <v>0.34699999999999998</v>
      </c>
      <c r="AL894" s="5">
        <v>0.219</v>
      </c>
      <c r="AM894" s="5">
        <v>0.26700000000000002</v>
      </c>
      <c r="AN894">
        <v>0.3</v>
      </c>
      <c r="AO894">
        <v>4.1500000000000004</v>
      </c>
      <c r="AP894">
        <v>7</v>
      </c>
      <c r="AQ894">
        <v>-10.87</v>
      </c>
      <c r="AR894">
        <v>-4.7</v>
      </c>
      <c r="AS894" t="s">
        <v>1340</v>
      </c>
      <c r="AT894">
        <v>-0.5</v>
      </c>
      <c r="AU894">
        <v>0.5</v>
      </c>
      <c r="AV894">
        <v>4</v>
      </c>
      <c r="AW894">
        <v>13</v>
      </c>
      <c r="AX894">
        <v>2</v>
      </c>
      <c r="AY894">
        <v>15</v>
      </c>
      <c r="AZ894" t="s">
        <v>4630</v>
      </c>
      <c r="BA894">
        <v>17</v>
      </c>
      <c r="BB894" t="s">
        <v>36</v>
      </c>
      <c r="BC894" t="s">
        <v>35</v>
      </c>
      <c r="BD894" s="4">
        <f>HYPERLINK("http://mlb.mlb.com/team/player.jsp?player_id=621006",621006)</f>
        <v>621006</v>
      </c>
      <c r="BE894">
        <v>0</v>
      </c>
      <c r="BF894">
        <v>0</v>
      </c>
      <c r="BG894">
        <v>0</v>
      </c>
      <c r="BH894">
        <v>0</v>
      </c>
    </row>
    <row r="895" spans="1:60" x14ac:dyDescent="0.3">
      <c r="A895" s="4">
        <f>HYPERLINK("http://legacy.baseballprospectus.com/p/107032",107032)</f>
        <v>107032</v>
      </c>
      <c r="B895" t="s">
        <v>667</v>
      </c>
      <c r="C895" t="s">
        <v>1404</v>
      </c>
      <c r="D895" s="10">
        <v>35832</v>
      </c>
      <c r="E895" t="s">
        <v>53</v>
      </c>
      <c r="F895" t="s">
        <v>37</v>
      </c>
      <c r="G895" t="s">
        <v>33</v>
      </c>
      <c r="H895">
        <v>71</v>
      </c>
      <c r="I895">
        <v>170</v>
      </c>
      <c r="J895">
        <v>2018</v>
      </c>
      <c r="K895" s="4" t="str">
        <f>HYPERLINK("http://legacy.baseballprospectus.com/fantasy/dc/index.php?tm=MIA","MIA")</f>
        <v>MIA</v>
      </c>
      <c r="L895" t="s">
        <v>100</v>
      </c>
      <c r="M895" t="s">
        <v>34</v>
      </c>
      <c r="N895">
        <v>20</v>
      </c>
      <c r="O895">
        <v>250</v>
      </c>
      <c r="P895" t="s">
        <v>1680</v>
      </c>
      <c r="Q895">
        <v>223</v>
      </c>
      <c r="R895">
        <v>29</v>
      </c>
      <c r="S895">
        <v>28</v>
      </c>
      <c r="T895">
        <v>7</v>
      </c>
      <c r="U895">
        <v>1</v>
      </c>
      <c r="V895">
        <v>5</v>
      </c>
      <c r="W895">
        <v>41</v>
      </c>
      <c r="X895">
        <v>65</v>
      </c>
      <c r="Y895">
        <v>20</v>
      </c>
      <c r="Z895">
        <v>24</v>
      </c>
      <c r="AA895">
        <v>1</v>
      </c>
      <c r="AB895">
        <v>1</v>
      </c>
      <c r="AC895">
        <v>84</v>
      </c>
      <c r="AD895">
        <v>2</v>
      </c>
      <c r="AE895">
        <v>1</v>
      </c>
      <c r="AF895">
        <v>6</v>
      </c>
      <c r="AG895">
        <v>7</v>
      </c>
      <c r="AH895">
        <v>3</v>
      </c>
      <c r="AI895" s="5">
        <v>0.19</v>
      </c>
      <c r="AJ895" s="5">
        <v>0.26800000000000002</v>
      </c>
      <c r="AK895" s="5">
        <v>0.309</v>
      </c>
      <c r="AL895" s="5">
        <v>0.2</v>
      </c>
      <c r="AM895" s="5">
        <v>0.27100000000000002</v>
      </c>
      <c r="AN895">
        <v>0.5</v>
      </c>
      <c r="AO895">
        <v>4.0999999999999996</v>
      </c>
      <c r="AP895">
        <v>7</v>
      </c>
      <c r="AQ895">
        <v>-15.84</v>
      </c>
      <c r="AR895">
        <v>-0.3</v>
      </c>
      <c r="AS895" t="s">
        <v>1934</v>
      </c>
      <c r="AT895">
        <v>-0.5</v>
      </c>
      <c r="AU895">
        <v>-4.3</v>
      </c>
      <c r="AV895">
        <v>1</v>
      </c>
      <c r="AW895">
        <v>6</v>
      </c>
      <c r="AX895">
        <v>0</v>
      </c>
      <c r="AY895">
        <v>2</v>
      </c>
      <c r="AZ895" t="s">
        <v>4557</v>
      </c>
      <c r="BA895">
        <v>8</v>
      </c>
      <c r="BB895" t="s">
        <v>36</v>
      </c>
      <c r="BC895" t="s">
        <v>35</v>
      </c>
      <c r="BD895" s="4">
        <f>HYPERLINK("http://mlb.mlb.com/team/player.jsp?player_id=660618",660618)</f>
        <v>660618</v>
      </c>
      <c r="BE895">
        <v>0</v>
      </c>
      <c r="BF895">
        <v>0</v>
      </c>
      <c r="BG895">
        <v>0</v>
      </c>
      <c r="BH895">
        <v>0</v>
      </c>
    </row>
    <row r="896" spans="1:60" x14ac:dyDescent="0.3">
      <c r="A896" s="4">
        <f>HYPERLINK("http://legacy.baseballprospectus.com/p/107133",107133)</f>
        <v>107133</v>
      </c>
      <c r="B896" t="s">
        <v>171</v>
      </c>
      <c r="C896" t="s">
        <v>745</v>
      </c>
      <c r="D896" s="10">
        <v>35346</v>
      </c>
      <c r="E896" t="s">
        <v>65</v>
      </c>
      <c r="F896" t="s">
        <v>9</v>
      </c>
      <c r="G896" t="s">
        <v>9</v>
      </c>
      <c r="H896">
        <v>68</v>
      </c>
      <c r="I896">
        <v>177</v>
      </c>
      <c r="J896">
        <v>2018</v>
      </c>
      <c r="K896" s="4" t="str">
        <f>HYPERLINK("http://legacy.baseballprospectus.com/fantasy/dc/index.php?tm=CHN","CHN")</f>
        <v>CHN</v>
      </c>
      <c r="L896" t="s">
        <v>100</v>
      </c>
      <c r="M896" t="s">
        <v>34</v>
      </c>
      <c r="N896">
        <v>21</v>
      </c>
      <c r="O896">
        <v>250</v>
      </c>
      <c r="P896" t="s">
        <v>1680</v>
      </c>
      <c r="Q896">
        <v>228</v>
      </c>
      <c r="R896">
        <v>32</v>
      </c>
      <c r="S896">
        <v>30</v>
      </c>
      <c r="T896">
        <v>9</v>
      </c>
      <c r="U896">
        <v>2</v>
      </c>
      <c r="V896">
        <v>8</v>
      </c>
      <c r="W896">
        <v>49</v>
      </c>
      <c r="X896">
        <v>86</v>
      </c>
      <c r="Y896">
        <v>25</v>
      </c>
      <c r="Z896">
        <v>17</v>
      </c>
      <c r="AA896">
        <v>1</v>
      </c>
      <c r="AB896">
        <v>2</v>
      </c>
      <c r="AC896">
        <v>75</v>
      </c>
      <c r="AD896">
        <v>2</v>
      </c>
      <c r="AE896">
        <v>1</v>
      </c>
      <c r="AF896">
        <v>5</v>
      </c>
      <c r="AG896">
        <v>7</v>
      </c>
      <c r="AH896">
        <v>3</v>
      </c>
      <c r="AI896" s="5">
        <v>0.214</v>
      </c>
      <c r="AJ896" s="5">
        <v>0.27300000000000002</v>
      </c>
      <c r="AK896" s="5">
        <v>0.375</v>
      </c>
      <c r="AL896" s="5">
        <v>0.21299999999999999</v>
      </c>
      <c r="AM896" s="5">
        <v>0.27600000000000002</v>
      </c>
      <c r="AN896">
        <v>0.3</v>
      </c>
      <c r="AO896">
        <v>3.2</v>
      </c>
      <c r="AP896">
        <v>7</v>
      </c>
      <c r="AQ896">
        <v>-12.37</v>
      </c>
      <c r="AR896">
        <v>-2.8</v>
      </c>
      <c r="AS896" t="s">
        <v>2201</v>
      </c>
      <c r="AT896">
        <v>-0.5</v>
      </c>
      <c r="AU896">
        <v>-1.9</v>
      </c>
      <c r="AV896">
        <v>2</v>
      </c>
      <c r="AW896">
        <v>5</v>
      </c>
      <c r="AX896">
        <v>0</v>
      </c>
      <c r="AY896">
        <v>4</v>
      </c>
      <c r="AZ896" t="s">
        <v>4650</v>
      </c>
      <c r="BA896">
        <v>6</v>
      </c>
      <c r="BB896" t="s">
        <v>36</v>
      </c>
      <c r="BC896" t="s">
        <v>35</v>
      </c>
      <c r="BD896" s="4">
        <f>HYPERLINK("http://mlb.mlb.com/team/player.jsp?player_id=663791",663791)</f>
        <v>663791</v>
      </c>
      <c r="BE896">
        <v>1659</v>
      </c>
      <c r="BF896">
        <v>659</v>
      </c>
      <c r="BG896">
        <v>0</v>
      </c>
      <c r="BH896">
        <v>0</v>
      </c>
    </row>
    <row r="897" spans="1:60" x14ac:dyDescent="0.3">
      <c r="A897" s="4">
        <f>HYPERLINK("http://legacy.baseballprospectus.com/p/107371",107371)</f>
        <v>107371</v>
      </c>
      <c r="B897" t="s">
        <v>4631</v>
      </c>
      <c r="C897" t="s">
        <v>589</v>
      </c>
      <c r="D897" s="10">
        <v>36051</v>
      </c>
      <c r="E897" t="s">
        <v>53</v>
      </c>
      <c r="F897" t="s">
        <v>9</v>
      </c>
      <c r="G897" t="s">
        <v>33</v>
      </c>
      <c r="H897">
        <v>71</v>
      </c>
      <c r="I897">
        <v>160</v>
      </c>
      <c r="J897">
        <v>2018</v>
      </c>
      <c r="K897" s="4" t="str">
        <f>HYPERLINK("http://legacy.baseballprospectus.com/fantasy/dc/index.php?tm=CHN","CHN")</f>
        <v>CHN</v>
      </c>
      <c r="L897" t="s">
        <v>100</v>
      </c>
      <c r="M897" t="s">
        <v>34</v>
      </c>
      <c r="N897">
        <v>19</v>
      </c>
      <c r="O897">
        <v>250</v>
      </c>
      <c r="P897" t="s">
        <v>1680</v>
      </c>
      <c r="Q897">
        <v>231</v>
      </c>
      <c r="R897">
        <v>30</v>
      </c>
      <c r="S897">
        <v>33</v>
      </c>
      <c r="T897">
        <v>10</v>
      </c>
      <c r="U897">
        <v>1</v>
      </c>
      <c r="V897">
        <v>7</v>
      </c>
      <c r="W897">
        <v>51</v>
      </c>
      <c r="X897">
        <v>84</v>
      </c>
      <c r="Y897">
        <v>25</v>
      </c>
      <c r="Z897">
        <v>14</v>
      </c>
      <c r="AA897">
        <v>1</v>
      </c>
      <c r="AB897">
        <v>3</v>
      </c>
      <c r="AC897">
        <v>64</v>
      </c>
      <c r="AD897">
        <v>1</v>
      </c>
      <c r="AE897">
        <v>1</v>
      </c>
      <c r="AF897">
        <v>5</v>
      </c>
      <c r="AG897">
        <v>5</v>
      </c>
      <c r="AH897">
        <v>3</v>
      </c>
      <c r="AI897" s="5">
        <v>0.224</v>
      </c>
      <c r="AJ897" s="5">
        <v>0.27400000000000002</v>
      </c>
      <c r="AK897" s="5">
        <v>0.374</v>
      </c>
      <c r="AL897" s="5">
        <v>0.21099999999999999</v>
      </c>
      <c r="AM897" s="5">
        <v>0.27300000000000002</v>
      </c>
      <c r="AN897">
        <v>-0.1</v>
      </c>
      <c r="AO897">
        <v>4.25</v>
      </c>
      <c r="AP897">
        <v>7</v>
      </c>
      <c r="AQ897">
        <v>-12.77</v>
      </c>
      <c r="AR897">
        <v>-3.1</v>
      </c>
      <c r="AS897" t="s">
        <v>63</v>
      </c>
      <c r="AT897">
        <v>-0.5</v>
      </c>
      <c r="AU897">
        <v>-1.6</v>
      </c>
      <c r="AV897">
        <v>0</v>
      </c>
      <c r="AW897">
        <v>4</v>
      </c>
      <c r="AX897">
        <v>1</v>
      </c>
      <c r="AY897">
        <v>8</v>
      </c>
      <c r="AZ897" t="s">
        <v>4632</v>
      </c>
      <c r="BA897">
        <v>12</v>
      </c>
      <c r="BB897" t="s">
        <v>36</v>
      </c>
      <c r="BC897" t="s">
        <v>35</v>
      </c>
      <c r="BD897" s="4">
        <f>HYPERLINK("http://mlb.mlb.com/team/player.jsp?player_id=666620",666620)</f>
        <v>666620</v>
      </c>
      <c r="BE897">
        <v>1551</v>
      </c>
      <c r="BF897">
        <v>551</v>
      </c>
      <c r="BG897">
        <v>0</v>
      </c>
      <c r="BH897">
        <v>0</v>
      </c>
    </row>
    <row r="898" spans="1:60" x14ac:dyDescent="0.3">
      <c r="A898" s="4">
        <f>HYPERLINK("http://legacy.baseballprospectus.com/p/107566",107566)</f>
        <v>107566</v>
      </c>
      <c r="B898" t="s">
        <v>4651</v>
      </c>
      <c r="C898" t="s">
        <v>141</v>
      </c>
      <c r="D898" s="10">
        <v>34604</v>
      </c>
      <c r="E898" t="s">
        <v>57</v>
      </c>
      <c r="F898" t="s">
        <v>33</v>
      </c>
      <c r="G898" t="s">
        <v>33</v>
      </c>
      <c r="H898">
        <v>72</v>
      </c>
      <c r="I898">
        <v>188</v>
      </c>
      <c r="J898">
        <v>2018</v>
      </c>
      <c r="K898" s="4" t="str">
        <f>HYPERLINK("http://legacy.baseballprospectus.com/fantasy/dc/index.php?tm=CHA","CHA")</f>
        <v>CHA</v>
      </c>
      <c r="L898" t="s">
        <v>95</v>
      </c>
      <c r="M898" t="s">
        <v>34</v>
      </c>
      <c r="N898">
        <v>23</v>
      </c>
      <c r="O898">
        <v>250</v>
      </c>
      <c r="P898" t="s">
        <v>1680</v>
      </c>
      <c r="Q898">
        <v>225</v>
      </c>
      <c r="R898">
        <v>29</v>
      </c>
      <c r="S898">
        <v>32</v>
      </c>
      <c r="T898">
        <v>11</v>
      </c>
      <c r="U898">
        <v>1</v>
      </c>
      <c r="V898">
        <v>7</v>
      </c>
      <c r="W898">
        <v>51</v>
      </c>
      <c r="X898">
        <v>85</v>
      </c>
      <c r="Y898">
        <v>24</v>
      </c>
      <c r="Z898">
        <v>18</v>
      </c>
      <c r="AA898">
        <v>1</v>
      </c>
      <c r="AB898">
        <v>3</v>
      </c>
      <c r="AC898">
        <v>67</v>
      </c>
      <c r="AD898">
        <v>2</v>
      </c>
      <c r="AE898">
        <v>1</v>
      </c>
      <c r="AF898">
        <v>6</v>
      </c>
      <c r="AG898">
        <v>3</v>
      </c>
      <c r="AH898">
        <v>1</v>
      </c>
      <c r="AI898" s="5">
        <v>0.222</v>
      </c>
      <c r="AJ898" s="5">
        <v>0.28699999999999998</v>
      </c>
      <c r="AK898" s="5">
        <v>0.36699999999999999</v>
      </c>
      <c r="AL898" s="5">
        <v>0.219</v>
      </c>
      <c r="AM898" s="5">
        <v>0.27800000000000002</v>
      </c>
      <c r="AN898">
        <v>-0.2</v>
      </c>
      <c r="AO898">
        <v>1.36</v>
      </c>
      <c r="AP898">
        <v>7</v>
      </c>
      <c r="AQ898">
        <v>-10.72</v>
      </c>
      <c r="AR898">
        <v>-1.9</v>
      </c>
      <c r="AS898" t="s">
        <v>4652</v>
      </c>
      <c r="AT898">
        <v>-0.5</v>
      </c>
      <c r="AU898">
        <v>-2.5</v>
      </c>
      <c r="AV898">
        <v>0</v>
      </c>
      <c r="AW898">
        <v>0</v>
      </c>
      <c r="AX898">
        <v>1</v>
      </c>
      <c r="AY898">
        <v>2</v>
      </c>
      <c r="AZ898" t="s">
        <v>4653</v>
      </c>
      <c r="BA898">
        <v>2</v>
      </c>
      <c r="BB898" t="s">
        <v>36</v>
      </c>
      <c r="BC898" t="s">
        <v>35</v>
      </c>
      <c r="BD898" s="4">
        <f>HYPERLINK("http://mlb.mlb.com/team/player.jsp?player_id=669743",669743)</f>
        <v>669743</v>
      </c>
      <c r="BE898">
        <v>0</v>
      </c>
      <c r="BF898">
        <v>0</v>
      </c>
      <c r="BG898">
        <v>0</v>
      </c>
      <c r="BH898">
        <v>0</v>
      </c>
    </row>
    <row r="899" spans="1:60" x14ac:dyDescent="0.3">
      <c r="A899" s="4">
        <f>HYPERLINK("http://legacy.baseballprospectus.com/p/108947",108947)</f>
        <v>108947</v>
      </c>
      <c r="B899" t="s">
        <v>450</v>
      </c>
      <c r="C899" t="s">
        <v>134</v>
      </c>
      <c r="D899" s="10">
        <v>35922</v>
      </c>
      <c r="E899" t="s">
        <v>51</v>
      </c>
      <c r="F899" t="s">
        <v>9</v>
      </c>
      <c r="G899" t="s">
        <v>33</v>
      </c>
      <c r="H899">
        <v>76</v>
      </c>
      <c r="I899">
        <v>185</v>
      </c>
      <c r="J899">
        <v>2018</v>
      </c>
      <c r="K899" s="4" t="str">
        <f>HYPERLINK("http://legacy.baseballprospectus.com/fantasy/dc/index.php?tm=CLE","CLE")</f>
        <v>CLE</v>
      </c>
      <c r="L899" t="s">
        <v>95</v>
      </c>
      <c r="M899" t="s">
        <v>34</v>
      </c>
      <c r="N899">
        <v>20</v>
      </c>
      <c r="O899">
        <v>250</v>
      </c>
      <c r="P899" t="s">
        <v>1680</v>
      </c>
      <c r="Q899">
        <v>221</v>
      </c>
      <c r="R899">
        <v>23</v>
      </c>
      <c r="S899">
        <v>28</v>
      </c>
      <c r="T899">
        <v>10</v>
      </c>
      <c r="U899">
        <v>1</v>
      </c>
      <c r="V899">
        <v>6</v>
      </c>
      <c r="W899">
        <v>45</v>
      </c>
      <c r="X899">
        <v>75</v>
      </c>
      <c r="Y899">
        <v>25</v>
      </c>
      <c r="Z899">
        <v>26</v>
      </c>
      <c r="AA899">
        <v>2</v>
      </c>
      <c r="AB899">
        <v>1</v>
      </c>
      <c r="AC899">
        <v>84</v>
      </c>
      <c r="AD899">
        <v>1</v>
      </c>
      <c r="AE899">
        <v>1</v>
      </c>
      <c r="AF899">
        <v>6</v>
      </c>
      <c r="AG899">
        <v>0</v>
      </c>
      <c r="AH899">
        <v>0</v>
      </c>
      <c r="AI899" s="5">
        <v>0.2</v>
      </c>
      <c r="AJ899" s="5">
        <v>0.28699999999999998</v>
      </c>
      <c r="AK899" s="5">
        <v>0.32600000000000001</v>
      </c>
      <c r="AL899" s="5">
        <v>0.21099999999999999</v>
      </c>
      <c r="AM899" s="5">
        <v>0.28999999999999998</v>
      </c>
      <c r="AN899">
        <v>-0.4</v>
      </c>
      <c r="AO899">
        <v>1.46</v>
      </c>
      <c r="AP899">
        <v>7</v>
      </c>
      <c r="AQ899">
        <v>-12.8</v>
      </c>
      <c r="AR899">
        <v>0</v>
      </c>
      <c r="AS899" t="s">
        <v>1327</v>
      </c>
      <c r="AT899">
        <v>-0.5</v>
      </c>
      <c r="AU899">
        <v>-4.7</v>
      </c>
      <c r="AV899">
        <v>2</v>
      </c>
      <c r="AW899">
        <v>6</v>
      </c>
      <c r="AX899">
        <v>0</v>
      </c>
      <c r="AY899">
        <v>4</v>
      </c>
      <c r="AZ899" t="s">
        <v>4683</v>
      </c>
      <c r="BA899">
        <v>8</v>
      </c>
      <c r="BB899" t="s">
        <v>36</v>
      </c>
      <c r="BC899" t="s">
        <v>35</v>
      </c>
      <c r="BD899" s="4">
        <f>HYPERLINK("http://mlb.mlb.com/team/player.jsp?player_id=666134",666134)</f>
        <v>666134</v>
      </c>
      <c r="BE899">
        <v>489</v>
      </c>
      <c r="BF899">
        <v>1489</v>
      </c>
      <c r="BG899">
        <v>0</v>
      </c>
      <c r="BH899">
        <v>0</v>
      </c>
    </row>
    <row r="900" spans="1:60" x14ac:dyDescent="0.3">
      <c r="A900" s="4">
        <f>HYPERLINK("http://legacy.baseballprospectus.com/p/109542",109542)</f>
        <v>109542</v>
      </c>
      <c r="B900" t="s">
        <v>4658</v>
      </c>
      <c r="C900" t="s">
        <v>304</v>
      </c>
      <c r="D900" s="10">
        <v>36067</v>
      </c>
      <c r="E900" t="s">
        <v>54</v>
      </c>
      <c r="F900" t="s">
        <v>33</v>
      </c>
      <c r="G900" t="s">
        <v>33</v>
      </c>
      <c r="H900">
        <v>72</v>
      </c>
      <c r="I900">
        <v>195</v>
      </c>
      <c r="J900">
        <v>2018</v>
      </c>
      <c r="K900" s="4" t="str">
        <f>HYPERLINK("http://legacy.baseballprospectus.com/fantasy/dc/index.php?tm=SDN","SDN")</f>
        <v>SDN</v>
      </c>
      <c r="L900" t="s">
        <v>100</v>
      </c>
      <c r="M900" t="s">
        <v>34</v>
      </c>
      <c r="N900">
        <v>19</v>
      </c>
      <c r="O900">
        <v>250</v>
      </c>
      <c r="P900" t="s">
        <v>1680</v>
      </c>
      <c r="Q900">
        <v>232</v>
      </c>
      <c r="R900">
        <v>21</v>
      </c>
      <c r="S900">
        <v>30</v>
      </c>
      <c r="T900">
        <v>9</v>
      </c>
      <c r="U900">
        <v>1</v>
      </c>
      <c r="V900">
        <v>7</v>
      </c>
      <c r="W900">
        <v>47</v>
      </c>
      <c r="X900">
        <v>79</v>
      </c>
      <c r="Y900">
        <v>26</v>
      </c>
      <c r="Z900">
        <v>15</v>
      </c>
      <c r="AA900">
        <v>1</v>
      </c>
      <c r="AB900">
        <v>1</v>
      </c>
      <c r="AC900">
        <v>79</v>
      </c>
      <c r="AD900">
        <v>1</v>
      </c>
      <c r="AE900">
        <v>1</v>
      </c>
      <c r="AF900">
        <v>7</v>
      </c>
      <c r="AG900">
        <v>0</v>
      </c>
      <c r="AH900">
        <v>0</v>
      </c>
      <c r="AI900" s="5">
        <v>0.19700000000000001</v>
      </c>
      <c r="AJ900" s="5">
        <v>0.247</v>
      </c>
      <c r="AK900" s="5">
        <v>0.32600000000000001</v>
      </c>
      <c r="AL900" s="5">
        <v>0.19800000000000001</v>
      </c>
      <c r="AM900" s="5">
        <v>0.26300000000000001</v>
      </c>
      <c r="AN900">
        <v>-0.4</v>
      </c>
      <c r="AO900">
        <v>4.97</v>
      </c>
      <c r="AP900">
        <v>7</v>
      </c>
      <c r="AQ900">
        <v>-16.21</v>
      </c>
      <c r="AR900">
        <v>-0.3</v>
      </c>
      <c r="AS900" t="s">
        <v>55</v>
      </c>
      <c r="AT900">
        <v>-0.5</v>
      </c>
      <c r="AU900">
        <v>-4.7</v>
      </c>
      <c r="AV900">
        <v>0</v>
      </c>
      <c r="AW900">
        <v>5</v>
      </c>
      <c r="AX900">
        <v>2</v>
      </c>
      <c r="AY900">
        <v>5</v>
      </c>
      <c r="AZ900" t="s">
        <v>4659</v>
      </c>
      <c r="BA900">
        <v>10</v>
      </c>
      <c r="BB900" t="s">
        <v>36</v>
      </c>
      <c r="BC900" t="s">
        <v>35</v>
      </c>
      <c r="BD900" s="4">
        <f>HYPERLINK("http://mlb.mlb.com/team/player.jsp?player_id=669134",669134)</f>
        <v>669134</v>
      </c>
      <c r="BE900">
        <v>0</v>
      </c>
      <c r="BF900">
        <v>0</v>
      </c>
      <c r="BG900">
        <v>0</v>
      </c>
      <c r="BH900">
        <v>0</v>
      </c>
    </row>
    <row r="901" spans="1:60" x14ac:dyDescent="0.3">
      <c r="A901" s="4">
        <f>HYPERLINK("http://legacy.baseballprospectus.com/p/111033",111033)</f>
        <v>111033</v>
      </c>
      <c r="B901" t="s">
        <v>4638</v>
      </c>
      <c r="C901" t="s">
        <v>391</v>
      </c>
      <c r="D901" s="10">
        <v>35256</v>
      </c>
      <c r="E901" t="s">
        <v>53</v>
      </c>
      <c r="F901" t="s">
        <v>37</v>
      </c>
      <c r="G901" t="s">
        <v>33</v>
      </c>
      <c r="H901">
        <v>70</v>
      </c>
      <c r="I901">
        <v>180</v>
      </c>
      <c r="J901">
        <v>2018</v>
      </c>
      <c r="K901" s="4" t="str">
        <f>HYPERLINK("http://legacy.baseballprospectus.com/fantasy/dc/index.php?tm=TBA","TBA")</f>
        <v>TBA</v>
      </c>
      <c r="L901" t="s">
        <v>95</v>
      </c>
      <c r="M901" t="s">
        <v>34</v>
      </c>
      <c r="N901">
        <v>21</v>
      </c>
      <c r="O901">
        <v>250</v>
      </c>
      <c r="P901" t="s">
        <v>1680</v>
      </c>
      <c r="Q901">
        <v>224</v>
      </c>
      <c r="R901">
        <v>23</v>
      </c>
      <c r="S901">
        <v>28</v>
      </c>
      <c r="T901">
        <v>8</v>
      </c>
      <c r="U901">
        <v>0</v>
      </c>
      <c r="V901">
        <v>5</v>
      </c>
      <c r="W901">
        <v>41</v>
      </c>
      <c r="X901">
        <v>64</v>
      </c>
      <c r="Y901">
        <v>23</v>
      </c>
      <c r="Z901">
        <v>23</v>
      </c>
      <c r="AA901">
        <v>1</v>
      </c>
      <c r="AB901">
        <v>1</v>
      </c>
      <c r="AC901">
        <v>82</v>
      </c>
      <c r="AD901">
        <v>1</v>
      </c>
      <c r="AE901">
        <v>1</v>
      </c>
      <c r="AF901">
        <v>6</v>
      </c>
      <c r="AG901">
        <v>2</v>
      </c>
      <c r="AH901">
        <v>1</v>
      </c>
      <c r="AI901" s="5">
        <v>0.187</v>
      </c>
      <c r="AJ901" s="5">
        <v>0.26500000000000001</v>
      </c>
      <c r="AK901" s="5">
        <v>0.29899999999999999</v>
      </c>
      <c r="AL901" s="5">
        <v>0.20100000000000001</v>
      </c>
      <c r="AM901" s="5">
        <v>0.26500000000000001</v>
      </c>
      <c r="AN901">
        <v>-0.4</v>
      </c>
      <c r="AO901">
        <v>4.17</v>
      </c>
      <c r="AP901">
        <v>7</v>
      </c>
      <c r="AQ901">
        <v>-15.54</v>
      </c>
      <c r="AR901">
        <v>0.5</v>
      </c>
      <c r="AS901" t="s">
        <v>61</v>
      </c>
      <c r="AT901">
        <v>-0.5</v>
      </c>
      <c r="AU901">
        <v>-4.7</v>
      </c>
      <c r="AV901">
        <v>0</v>
      </c>
      <c r="AW901">
        <v>1</v>
      </c>
      <c r="AX901">
        <v>0</v>
      </c>
      <c r="AY901">
        <v>1</v>
      </c>
      <c r="AZ901" t="s">
        <v>4639</v>
      </c>
      <c r="BA901">
        <v>1</v>
      </c>
      <c r="BB901" t="s">
        <v>36</v>
      </c>
      <c r="BC901" t="s">
        <v>35</v>
      </c>
      <c r="BD901" s="4">
        <f>HYPERLINK("http://mlb.mlb.com/team/player.jsp?player_id=670764",670764)</f>
        <v>670764</v>
      </c>
      <c r="BE901">
        <v>0</v>
      </c>
      <c r="BF901">
        <v>0</v>
      </c>
      <c r="BG901">
        <v>0</v>
      </c>
      <c r="BH901">
        <v>0</v>
      </c>
    </row>
    <row r="902" spans="1:60" x14ac:dyDescent="0.3">
      <c r="A902" s="4">
        <f>HYPERLINK("http://legacy.baseballprospectus.com/p/111119",111119)</f>
        <v>111119</v>
      </c>
      <c r="B902" t="s">
        <v>1440</v>
      </c>
      <c r="C902" t="s">
        <v>4660</v>
      </c>
      <c r="D902" s="10">
        <v>35099</v>
      </c>
      <c r="E902" t="s">
        <v>65</v>
      </c>
      <c r="F902" t="s">
        <v>9</v>
      </c>
      <c r="G902" t="s">
        <v>33</v>
      </c>
      <c r="H902">
        <v>72</v>
      </c>
      <c r="I902">
        <v>190</v>
      </c>
      <c r="J902">
        <v>2018</v>
      </c>
      <c r="K902" s="4" t="str">
        <f>HYPERLINK("http://legacy.baseballprospectus.com/fantasy/dc/index.php?tm=LAN","LAN")</f>
        <v>LAN</v>
      </c>
      <c r="L902" t="s">
        <v>100</v>
      </c>
      <c r="M902" t="s">
        <v>34</v>
      </c>
      <c r="N902">
        <v>22</v>
      </c>
      <c r="O902">
        <v>250</v>
      </c>
      <c r="P902" t="s">
        <v>1680</v>
      </c>
      <c r="Q902">
        <v>231</v>
      </c>
      <c r="R902">
        <v>30</v>
      </c>
      <c r="S902">
        <v>29</v>
      </c>
      <c r="T902">
        <v>9</v>
      </c>
      <c r="U902">
        <v>2</v>
      </c>
      <c r="V902">
        <v>6</v>
      </c>
      <c r="W902">
        <v>46</v>
      </c>
      <c r="X902">
        <v>77</v>
      </c>
      <c r="Y902">
        <v>22</v>
      </c>
      <c r="Z902">
        <v>15</v>
      </c>
      <c r="AA902">
        <v>1</v>
      </c>
      <c r="AB902">
        <v>1</v>
      </c>
      <c r="AC902">
        <v>79</v>
      </c>
      <c r="AD902">
        <v>1</v>
      </c>
      <c r="AE902">
        <v>2</v>
      </c>
      <c r="AF902">
        <v>6</v>
      </c>
      <c r="AG902">
        <v>6</v>
      </c>
      <c r="AH902">
        <v>6</v>
      </c>
      <c r="AI902" s="5">
        <v>0.20100000000000001</v>
      </c>
      <c r="AJ902" s="5">
        <v>0.253</v>
      </c>
      <c r="AK902" s="5">
        <v>0.34</v>
      </c>
      <c r="AL902" s="5">
        <v>0.20399999999999999</v>
      </c>
      <c r="AM902" s="5">
        <v>0.27100000000000002</v>
      </c>
      <c r="AN902">
        <v>-0.5</v>
      </c>
      <c r="AO902">
        <v>2.54</v>
      </c>
      <c r="AP902">
        <v>7</v>
      </c>
      <c r="AQ902">
        <v>-14.8</v>
      </c>
      <c r="AR902">
        <v>1.3</v>
      </c>
      <c r="AS902" t="s">
        <v>4661</v>
      </c>
      <c r="AT902">
        <v>-0.5</v>
      </c>
      <c r="AU902">
        <v>-5.8</v>
      </c>
      <c r="AV902">
        <v>2</v>
      </c>
      <c r="AW902">
        <v>5</v>
      </c>
      <c r="AX902">
        <v>1</v>
      </c>
      <c r="AY902">
        <v>6</v>
      </c>
      <c r="AZ902" t="s">
        <v>4662</v>
      </c>
      <c r="BA902">
        <v>7</v>
      </c>
      <c r="BB902" t="s">
        <v>36</v>
      </c>
      <c r="BC902" t="s">
        <v>35</v>
      </c>
      <c r="BD902" s="4">
        <f>HYPERLINK("http://mlb.mlb.com/team/player.jsp?player_id=656607",656607)</f>
        <v>656607</v>
      </c>
      <c r="BE902">
        <v>1665</v>
      </c>
      <c r="BF902">
        <v>665</v>
      </c>
      <c r="BG902">
        <v>0</v>
      </c>
      <c r="BH902">
        <v>0</v>
      </c>
    </row>
    <row r="903" spans="1:60" x14ac:dyDescent="0.3">
      <c r="A903" s="4">
        <f>HYPERLINK("http://legacy.baseballprospectus.com/p/47155",47155)</f>
        <v>47155</v>
      </c>
      <c r="B903" t="s">
        <v>209</v>
      </c>
      <c r="C903" t="s">
        <v>210</v>
      </c>
      <c r="D903" s="10">
        <v>30537</v>
      </c>
      <c r="E903" t="s">
        <v>54</v>
      </c>
      <c r="F903" t="s">
        <v>33</v>
      </c>
      <c r="G903" t="s">
        <v>33</v>
      </c>
      <c r="H903">
        <v>73</v>
      </c>
      <c r="I903">
        <v>200</v>
      </c>
      <c r="J903">
        <v>2018</v>
      </c>
      <c r="K903" s="4" t="str">
        <f>HYPERLINK("http://legacy.baseballprospectus.com/fantasy/dc/index.php?tm=KCA","KCA")</f>
        <v>KCA</v>
      </c>
      <c r="L903" t="s">
        <v>95</v>
      </c>
      <c r="M903" t="s">
        <v>34</v>
      </c>
      <c r="N903">
        <v>34</v>
      </c>
      <c r="O903">
        <v>126</v>
      </c>
      <c r="P903">
        <v>46</v>
      </c>
      <c r="Q903">
        <v>114</v>
      </c>
      <c r="R903">
        <v>12</v>
      </c>
      <c r="S903">
        <v>18</v>
      </c>
      <c r="T903">
        <v>5</v>
      </c>
      <c r="U903">
        <v>1</v>
      </c>
      <c r="V903">
        <v>2</v>
      </c>
      <c r="W903">
        <v>26</v>
      </c>
      <c r="X903">
        <v>39</v>
      </c>
      <c r="Y903">
        <v>12</v>
      </c>
      <c r="Z903">
        <v>8</v>
      </c>
      <c r="AA903">
        <v>0</v>
      </c>
      <c r="AB903">
        <v>1</v>
      </c>
      <c r="AC903">
        <v>29</v>
      </c>
      <c r="AD903">
        <v>2</v>
      </c>
      <c r="AE903">
        <v>1</v>
      </c>
      <c r="AF903">
        <v>2</v>
      </c>
      <c r="AG903">
        <v>0</v>
      </c>
      <c r="AH903">
        <v>0</v>
      </c>
      <c r="AI903" s="5">
        <v>0.22800000000000001</v>
      </c>
      <c r="AJ903" s="5">
        <v>0.28199999999999997</v>
      </c>
      <c r="AK903" s="5">
        <v>0.34200000000000003</v>
      </c>
      <c r="AL903" s="5">
        <v>0.21199999999999999</v>
      </c>
      <c r="AM903" s="5">
        <v>0.27</v>
      </c>
      <c r="AN903">
        <v>-0.2</v>
      </c>
      <c r="AO903">
        <v>0.96</v>
      </c>
      <c r="AP903">
        <v>3.38</v>
      </c>
      <c r="AQ903">
        <v>-6.38</v>
      </c>
      <c r="AR903">
        <v>-3.8</v>
      </c>
      <c r="AS903" t="s">
        <v>1686</v>
      </c>
      <c r="AT903">
        <v>-0.6</v>
      </c>
      <c r="AU903">
        <v>-2.2000000000000002</v>
      </c>
      <c r="AV903">
        <v>7</v>
      </c>
      <c r="AW903">
        <v>37</v>
      </c>
      <c r="AX903">
        <v>13</v>
      </c>
      <c r="AY903">
        <v>27</v>
      </c>
      <c r="AZ903" t="s">
        <v>4664</v>
      </c>
      <c r="BA903">
        <v>82</v>
      </c>
      <c r="BB903" t="s">
        <v>35</v>
      </c>
      <c r="BC903" t="s">
        <v>36</v>
      </c>
      <c r="BD903" s="4">
        <f>HYPERLINK("http://mlb.mlb.com/team/player.jsp?player_id=460077",460077)</f>
        <v>460077</v>
      </c>
      <c r="BE903">
        <v>374</v>
      </c>
      <c r="BF903">
        <v>1374</v>
      </c>
      <c r="BG903">
        <v>177</v>
      </c>
      <c r="BH903">
        <v>163</v>
      </c>
    </row>
    <row r="904" spans="1:60" x14ac:dyDescent="0.3">
      <c r="A904" s="4">
        <f>HYPERLINK("http://legacy.baseballprospectus.com/p/57712",57712)</f>
        <v>57712</v>
      </c>
      <c r="B904" t="s">
        <v>688</v>
      </c>
      <c r="C904" t="s">
        <v>104</v>
      </c>
      <c r="D904" s="10">
        <v>31553</v>
      </c>
      <c r="E904" t="s">
        <v>54</v>
      </c>
      <c r="F904" t="s">
        <v>37</v>
      </c>
      <c r="G904" t="s">
        <v>33</v>
      </c>
      <c r="H904">
        <v>77</v>
      </c>
      <c r="I904">
        <v>230</v>
      </c>
      <c r="J904">
        <v>2018</v>
      </c>
      <c r="K904" s="4" t="str">
        <f>HYPERLINK("http://legacy.baseballprospectus.com/fantasy/dc/index.php?tm=WAS","WAS")</f>
        <v>WAS</v>
      </c>
      <c r="L904" t="s">
        <v>100</v>
      </c>
      <c r="M904" t="s">
        <v>34</v>
      </c>
      <c r="N904">
        <v>32</v>
      </c>
      <c r="O904">
        <v>427</v>
      </c>
      <c r="P904">
        <v>110</v>
      </c>
      <c r="Q904">
        <v>390</v>
      </c>
      <c r="R904">
        <v>47</v>
      </c>
      <c r="S904">
        <v>64</v>
      </c>
      <c r="T904">
        <v>18</v>
      </c>
      <c r="U904">
        <v>1</v>
      </c>
      <c r="V904">
        <v>13</v>
      </c>
      <c r="W904">
        <v>96</v>
      </c>
      <c r="X904">
        <v>155</v>
      </c>
      <c r="Y904">
        <v>49</v>
      </c>
      <c r="Z904">
        <v>31</v>
      </c>
      <c r="AA904">
        <v>3</v>
      </c>
      <c r="AB904">
        <v>2</v>
      </c>
      <c r="AC904">
        <v>85</v>
      </c>
      <c r="AD904">
        <v>1</v>
      </c>
      <c r="AE904">
        <v>4</v>
      </c>
      <c r="AF904">
        <v>10</v>
      </c>
      <c r="AG904">
        <v>1</v>
      </c>
      <c r="AH904">
        <v>0</v>
      </c>
      <c r="AI904" s="5">
        <v>0.246</v>
      </c>
      <c r="AJ904" s="5">
        <v>0.30199999999999999</v>
      </c>
      <c r="AK904" s="5">
        <v>0.39700000000000002</v>
      </c>
      <c r="AL904" s="5">
        <v>0.23699999999999999</v>
      </c>
      <c r="AM904" s="5">
        <v>0.27800000000000002</v>
      </c>
      <c r="AN904">
        <v>-0.8</v>
      </c>
      <c r="AO904">
        <v>3.25</v>
      </c>
      <c r="AP904">
        <v>11.46</v>
      </c>
      <c r="AQ904">
        <v>-10.19</v>
      </c>
      <c r="AR904">
        <v>-9.9</v>
      </c>
      <c r="AS904" t="s">
        <v>1830</v>
      </c>
      <c r="AT904">
        <v>-0.6</v>
      </c>
      <c r="AU904">
        <v>3.7</v>
      </c>
      <c r="AV904">
        <v>1</v>
      </c>
      <c r="AW904">
        <v>42</v>
      </c>
      <c r="AX904">
        <v>12</v>
      </c>
      <c r="AY904">
        <v>15</v>
      </c>
      <c r="AZ904" t="s">
        <v>4641</v>
      </c>
      <c r="BA904">
        <v>95</v>
      </c>
      <c r="BB904" t="s">
        <v>35</v>
      </c>
      <c r="BC904" t="s">
        <v>36</v>
      </c>
      <c r="BD904" s="4">
        <f>HYPERLINK("http://mlb.mlb.com/team/player.jsp?player_id=446308",446308)</f>
        <v>446308</v>
      </c>
      <c r="BE904">
        <v>1373</v>
      </c>
      <c r="BF904">
        <v>373</v>
      </c>
      <c r="BG904">
        <v>465</v>
      </c>
      <c r="BH904">
        <v>422</v>
      </c>
    </row>
    <row r="905" spans="1:60" x14ac:dyDescent="0.3">
      <c r="A905" s="4">
        <f>HYPERLINK("http://legacy.baseballprospectus.com/p/40007",40007)</f>
        <v>40007</v>
      </c>
      <c r="B905" t="s">
        <v>529</v>
      </c>
      <c r="C905" t="s">
        <v>181</v>
      </c>
      <c r="D905" s="10">
        <v>30032</v>
      </c>
      <c r="E905" t="s">
        <v>50</v>
      </c>
      <c r="F905" t="s">
        <v>33</v>
      </c>
      <c r="G905" t="s">
        <v>33</v>
      </c>
      <c r="H905">
        <v>77</v>
      </c>
      <c r="I905">
        <v>245</v>
      </c>
      <c r="J905">
        <v>2018</v>
      </c>
      <c r="K905" s="4" t="str">
        <f>HYPERLINK("http://legacy.baseballprospectus.com/fantasy/dc/index.php?tm=SFN","SFN")</f>
        <v>SFN</v>
      </c>
      <c r="L905" t="s">
        <v>100</v>
      </c>
      <c r="M905" t="s">
        <v>34</v>
      </c>
      <c r="N905">
        <v>36</v>
      </c>
      <c r="O905">
        <v>250</v>
      </c>
      <c r="P905" t="s">
        <v>1680</v>
      </c>
      <c r="Q905">
        <v>227</v>
      </c>
      <c r="R905">
        <v>25</v>
      </c>
      <c r="S905">
        <v>34</v>
      </c>
      <c r="T905">
        <v>11</v>
      </c>
      <c r="U905">
        <v>1</v>
      </c>
      <c r="V905">
        <v>7</v>
      </c>
      <c r="W905">
        <v>53</v>
      </c>
      <c r="X905">
        <v>87</v>
      </c>
      <c r="Y905">
        <v>29</v>
      </c>
      <c r="Z905">
        <v>18</v>
      </c>
      <c r="AA905">
        <v>0</v>
      </c>
      <c r="AB905">
        <v>3</v>
      </c>
      <c r="AC905">
        <v>70</v>
      </c>
      <c r="AD905">
        <v>0</v>
      </c>
      <c r="AE905">
        <v>1</v>
      </c>
      <c r="AF905">
        <v>9</v>
      </c>
      <c r="AG905">
        <v>0</v>
      </c>
      <c r="AH905">
        <v>0</v>
      </c>
      <c r="AI905" s="5">
        <v>0.23200000000000001</v>
      </c>
      <c r="AJ905" s="5">
        <v>0.29699999999999999</v>
      </c>
      <c r="AK905" s="5">
        <v>0.38200000000000001</v>
      </c>
      <c r="AL905" s="5">
        <v>0.23699999999999999</v>
      </c>
      <c r="AM905" s="5">
        <v>0.3</v>
      </c>
      <c r="AN905">
        <v>-0.6</v>
      </c>
      <c r="AO905">
        <v>-1.18</v>
      </c>
      <c r="AP905">
        <v>7</v>
      </c>
      <c r="AQ905">
        <v>-6.02</v>
      </c>
      <c r="AR905">
        <v>-4.8</v>
      </c>
      <c r="AS905" t="s">
        <v>2205</v>
      </c>
      <c r="AT905">
        <v>-0.6</v>
      </c>
      <c r="AU905">
        <v>-0.8</v>
      </c>
      <c r="AV905">
        <v>1</v>
      </c>
      <c r="AW905">
        <v>16</v>
      </c>
      <c r="AX905">
        <v>17</v>
      </c>
      <c r="AY905">
        <v>23</v>
      </c>
      <c r="AZ905" t="s">
        <v>4666</v>
      </c>
      <c r="BA905">
        <v>64</v>
      </c>
      <c r="BB905" t="s">
        <v>36</v>
      </c>
      <c r="BC905" t="s">
        <v>36</v>
      </c>
      <c r="BD905" s="4">
        <f>HYPERLINK("http://mlb.mlb.com/team/player.jsp?player_id=434604",434604)</f>
        <v>434604</v>
      </c>
      <c r="BE905">
        <v>0</v>
      </c>
      <c r="BF905">
        <v>0</v>
      </c>
      <c r="BG905">
        <v>40</v>
      </c>
      <c r="BH905">
        <v>36</v>
      </c>
    </row>
    <row r="906" spans="1:60" x14ac:dyDescent="0.3">
      <c r="A906" s="4">
        <f>HYPERLINK("http://legacy.baseballprospectus.com/p/45472",45472)</f>
        <v>45472</v>
      </c>
      <c r="B906" t="s">
        <v>102</v>
      </c>
      <c r="C906" t="s">
        <v>411</v>
      </c>
      <c r="D906" s="10">
        <v>30036</v>
      </c>
      <c r="E906" t="s">
        <v>53</v>
      </c>
      <c r="F906" t="s">
        <v>33</v>
      </c>
      <c r="G906" t="s">
        <v>33</v>
      </c>
      <c r="H906">
        <v>73</v>
      </c>
      <c r="I906">
        <v>190</v>
      </c>
      <c r="J906">
        <v>2018</v>
      </c>
      <c r="K906" s="4" t="str">
        <f>HYPERLINK("http://legacy.baseballprospectus.com/fantasy/dc/index.php?tm=DET","DET")</f>
        <v>DET</v>
      </c>
      <c r="L906" t="s">
        <v>95</v>
      </c>
      <c r="M906" t="s">
        <v>34</v>
      </c>
      <c r="N906">
        <v>36</v>
      </c>
      <c r="O906">
        <v>250</v>
      </c>
      <c r="P906" t="s">
        <v>1680</v>
      </c>
      <c r="Q906">
        <v>225</v>
      </c>
      <c r="R906">
        <v>23</v>
      </c>
      <c r="S906">
        <v>34</v>
      </c>
      <c r="T906">
        <v>10</v>
      </c>
      <c r="U906">
        <v>1</v>
      </c>
      <c r="V906">
        <v>4</v>
      </c>
      <c r="W906">
        <v>49</v>
      </c>
      <c r="X906">
        <v>73</v>
      </c>
      <c r="Y906">
        <v>21</v>
      </c>
      <c r="Z906">
        <v>19</v>
      </c>
      <c r="AA906">
        <v>0</v>
      </c>
      <c r="AB906">
        <v>2</v>
      </c>
      <c r="AC906">
        <v>59</v>
      </c>
      <c r="AD906">
        <v>2</v>
      </c>
      <c r="AE906">
        <v>2</v>
      </c>
      <c r="AF906">
        <v>7</v>
      </c>
      <c r="AG906">
        <v>2</v>
      </c>
      <c r="AH906">
        <v>2</v>
      </c>
      <c r="AI906" s="5">
        <v>0.217</v>
      </c>
      <c r="AJ906" s="5">
        <v>0.28299999999999997</v>
      </c>
      <c r="AK906" s="5">
        <v>0.318</v>
      </c>
      <c r="AL906" s="5">
        <v>0.20200000000000001</v>
      </c>
      <c r="AM906" s="5">
        <v>0.27100000000000002</v>
      </c>
      <c r="AN906">
        <v>-0.5</v>
      </c>
      <c r="AO906">
        <v>4.1399999999999997</v>
      </c>
      <c r="AP906">
        <v>7</v>
      </c>
      <c r="AQ906">
        <v>-15.26</v>
      </c>
      <c r="AR906">
        <v>-1.1000000000000001</v>
      </c>
      <c r="AS906" t="s">
        <v>1810</v>
      </c>
      <c r="AT906">
        <v>-0.6</v>
      </c>
      <c r="AU906">
        <v>-4.5999999999999996</v>
      </c>
      <c r="AV906">
        <v>4</v>
      </c>
      <c r="AW906">
        <v>29</v>
      </c>
      <c r="AX906">
        <v>7</v>
      </c>
      <c r="AY906">
        <v>22</v>
      </c>
      <c r="AZ906" t="s">
        <v>4667</v>
      </c>
      <c r="BA906">
        <v>64</v>
      </c>
      <c r="BB906" t="s">
        <v>36</v>
      </c>
      <c r="BC906" t="s">
        <v>36</v>
      </c>
      <c r="BD906" s="4">
        <f>HYPERLINK("http://mlb.mlb.com/team/player.jsp?player_id=453895",453895)</f>
        <v>453895</v>
      </c>
      <c r="BE906">
        <v>0</v>
      </c>
      <c r="BF906">
        <v>0</v>
      </c>
      <c r="BG906">
        <v>0</v>
      </c>
      <c r="BH906">
        <v>0</v>
      </c>
    </row>
    <row r="907" spans="1:60" x14ac:dyDescent="0.3">
      <c r="A907" s="4">
        <f>HYPERLINK("http://legacy.baseballprospectus.com/p/100343",100343)</f>
        <v>100343</v>
      </c>
      <c r="B907" t="s">
        <v>420</v>
      </c>
      <c r="C907" t="s">
        <v>4669</v>
      </c>
      <c r="D907" s="10">
        <v>34659</v>
      </c>
      <c r="E907" t="s">
        <v>57</v>
      </c>
      <c r="F907" t="s">
        <v>33</v>
      </c>
      <c r="G907" t="s">
        <v>33</v>
      </c>
      <c r="H907">
        <v>75</v>
      </c>
      <c r="I907">
        <v>197</v>
      </c>
      <c r="J907">
        <v>2018</v>
      </c>
      <c r="K907" s="4" t="str">
        <f>HYPERLINK("http://legacy.baseballprospectus.com/fantasy/dc/index.php?tm=KCA","KCA")</f>
        <v>KCA</v>
      </c>
      <c r="L907" t="s">
        <v>95</v>
      </c>
      <c r="M907" t="s">
        <v>34</v>
      </c>
      <c r="N907">
        <v>23</v>
      </c>
      <c r="O907">
        <v>250</v>
      </c>
      <c r="P907" t="s">
        <v>1680</v>
      </c>
      <c r="Q907">
        <v>234</v>
      </c>
      <c r="R907">
        <v>21</v>
      </c>
      <c r="S907">
        <v>35</v>
      </c>
      <c r="T907">
        <v>11</v>
      </c>
      <c r="U907">
        <v>1</v>
      </c>
      <c r="V907">
        <v>5</v>
      </c>
      <c r="W907">
        <v>52</v>
      </c>
      <c r="X907">
        <v>80</v>
      </c>
      <c r="Y907">
        <v>26</v>
      </c>
      <c r="Z907">
        <v>9</v>
      </c>
      <c r="AA907">
        <v>1</v>
      </c>
      <c r="AB907">
        <v>3</v>
      </c>
      <c r="AC907">
        <v>72</v>
      </c>
      <c r="AD907">
        <v>1</v>
      </c>
      <c r="AE907">
        <v>2</v>
      </c>
      <c r="AF907">
        <v>7</v>
      </c>
      <c r="AG907">
        <v>1</v>
      </c>
      <c r="AH907">
        <v>1</v>
      </c>
      <c r="AI907" s="5">
        <v>0.224</v>
      </c>
      <c r="AJ907" s="5">
        <v>0.26200000000000001</v>
      </c>
      <c r="AK907" s="5">
        <v>0.35</v>
      </c>
      <c r="AL907" s="5">
        <v>0.20599999999999999</v>
      </c>
      <c r="AM907" s="5">
        <v>0.29599999999999999</v>
      </c>
      <c r="AN907">
        <v>-0.4</v>
      </c>
      <c r="AO907">
        <v>1.1499999999999999</v>
      </c>
      <c r="AP907">
        <v>7</v>
      </c>
      <c r="AQ907">
        <v>-14.1</v>
      </c>
      <c r="AR907">
        <v>0.5</v>
      </c>
      <c r="AS907" t="s">
        <v>1342</v>
      </c>
      <c r="AT907">
        <v>-0.6</v>
      </c>
      <c r="AU907">
        <v>-6.4</v>
      </c>
      <c r="AV907">
        <v>0</v>
      </c>
      <c r="AW907">
        <v>1</v>
      </c>
      <c r="AX907">
        <v>1</v>
      </c>
      <c r="AY907">
        <v>3</v>
      </c>
      <c r="AZ907" t="s">
        <v>4670</v>
      </c>
      <c r="BA907">
        <v>3</v>
      </c>
      <c r="BB907" t="s">
        <v>36</v>
      </c>
      <c r="BC907" t="s">
        <v>35</v>
      </c>
      <c r="BD907" s="4">
        <f>HYPERLINK("http://mlb.mlb.com/team/player.jsp?player_id=609274",609274)</f>
        <v>609274</v>
      </c>
      <c r="BE907">
        <v>716</v>
      </c>
      <c r="BF907">
        <v>1716</v>
      </c>
      <c r="BG907">
        <v>0</v>
      </c>
      <c r="BH907">
        <v>0</v>
      </c>
    </row>
    <row r="908" spans="1:60" x14ac:dyDescent="0.3">
      <c r="A908" s="4">
        <f>HYPERLINK("http://legacy.baseballprospectus.com/p/101022",101022)</f>
        <v>101022</v>
      </c>
      <c r="B908" t="s">
        <v>346</v>
      </c>
      <c r="C908" t="s">
        <v>3012</v>
      </c>
      <c r="D908" s="10">
        <v>34681</v>
      </c>
      <c r="E908" t="s">
        <v>51</v>
      </c>
      <c r="F908" t="s">
        <v>33</v>
      </c>
      <c r="G908" t="s">
        <v>33</v>
      </c>
      <c r="H908">
        <v>74</v>
      </c>
      <c r="I908">
        <v>170</v>
      </c>
      <c r="J908">
        <v>2018</v>
      </c>
      <c r="K908" s="4" t="str">
        <f>HYPERLINK("http://legacy.baseballprospectus.com/fantasy/dc/index.php?tm=KCA","KCA")</f>
        <v>KCA</v>
      </c>
      <c r="L908" t="s">
        <v>100</v>
      </c>
      <c r="M908" t="s">
        <v>34</v>
      </c>
      <c r="N908">
        <v>23</v>
      </c>
      <c r="O908">
        <v>250</v>
      </c>
      <c r="P908" t="s">
        <v>1680</v>
      </c>
      <c r="Q908">
        <v>239</v>
      </c>
      <c r="R908">
        <v>20</v>
      </c>
      <c r="S908">
        <v>36</v>
      </c>
      <c r="T908">
        <v>12</v>
      </c>
      <c r="U908">
        <v>1</v>
      </c>
      <c r="V908">
        <v>5</v>
      </c>
      <c r="W908">
        <v>54</v>
      </c>
      <c r="X908">
        <v>83</v>
      </c>
      <c r="Y908">
        <v>25</v>
      </c>
      <c r="Z908">
        <v>7</v>
      </c>
      <c r="AA908">
        <v>1</v>
      </c>
      <c r="AB908">
        <v>2</v>
      </c>
      <c r="AC908">
        <v>63</v>
      </c>
      <c r="AD908">
        <v>1</v>
      </c>
      <c r="AE908">
        <v>1</v>
      </c>
      <c r="AF908">
        <v>6</v>
      </c>
      <c r="AG908">
        <v>0</v>
      </c>
      <c r="AH908">
        <v>0</v>
      </c>
      <c r="AI908" s="5">
        <v>0.22500000000000001</v>
      </c>
      <c r="AJ908" s="5">
        <v>0.251</v>
      </c>
      <c r="AK908" s="5">
        <v>0.34499999999999997</v>
      </c>
      <c r="AL908" s="5">
        <v>0.20699999999999999</v>
      </c>
      <c r="AM908" s="5">
        <v>0.28100000000000003</v>
      </c>
      <c r="AN908">
        <v>-0.3</v>
      </c>
      <c r="AO908">
        <v>1.46</v>
      </c>
      <c r="AP908">
        <v>7</v>
      </c>
      <c r="AQ908">
        <v>-14.03</v>
      </c>
      <c r="AR908">
        <v>0.6</v>
      </c>
      <c r="AS908" t="s">
        <v>1701</v>
      </c>
      <c r="AT908">
        <v>-0.6</v>
      </c>
      <c r="AU908">
        <v>-5.9</v>
      </c>
      <c r="AV908">
        <v>0</v>
      </c>
      <c r="AW908">
        <v>2</v>
      </c>
      <c r="AX908">
        <v>3</v>
      </c>
      <c r="AY908">
        <v>6</v>
      </c>
      <c r="AZ908" t="s">
        <v>4671</v>
      </c>
      <c r="BA908">
        <v>10</v>
      </c>
      <c r="BB908" t="s">
        <v>36</v>
      </c>
      <c r="BC908" t="s">
        <v>35</v>
      </c>
      <c r="BD908" s="4">
        <f>HYPERLINK("http://mlb.mlb.com/team/player.jsp?player_id=622568",622568)</f>
        <v>622568</v>
      </c>
      <c r="BE908">
        <v>0</v>
      </c>
      <c r="BF908">
        <v>0</v>
      </c>
      <c r="BG908">
        <v>0</v>
      </c>
      <c r="BH908">
        <v>0</v>
      </c>
    </row>
    <row r="909" spans="1:60" x14ac:dyDescent="0.3">
      <c r="A909" s="4">
        <f>HYPERLINK("http://legacy.baseballprospectus.com/p/106555",106555)</f>
        <v>106555</v>
      </c>
      <c r="B909" t="s">
        <v>4674</v>
      </c>
      <c r="C909" t="s">
        <v>258</v>
      </c>
      <c r="D909" s="10">
        <v>35579</v>
      </c>
      <c r="E909" t="s">
        <v>50</v>
      </c>
      <c r="F909" t="s">
        <v>33</v>
      </c>
      <c r="G909" t="s">
        <v>33</v>
      </c>
      <c r="H909">
        <v>76</v>
      </c>
      <c r="I909">
        <v>200</v>
      </c>
      <c r="J909">
        <v>2018</v>
      </c>
      <c r="K909" s="4" t="str">
        <f>HYPERLINK("http://legacy.baseballprospectus.com/fantasy/dc/index.php?tm=COL","COL")</f>
        <v>COL</v>
      </c>
      <c r="L909" t="s">
        <v>100</v>
      </c>
      <c r="M909" t="s">
        <v>34</v>
      </c>
      <c r="N909">
        <v>21</v>
      </c>
      <c r="O909">
        <v>250</v>
      </c>
      <c r="P909" t="s">
        <v>1680</v>
      </c>
      <c r="Q909">
        <v>228</v>
      </c>
      <c r="R909">
        <v>26</v>
      </c>
      <c r="S909">
        <v>34</v>
      </c>
      <c r="T909">
        <v>11</v>
      </c>
      <c r="U909">
        <v>1</v>
      </c>
      <c r="V909">
        <v>7</v>
      </c>
      <c r="W909">
        <v>53</v>
      </c>
      <c r="X909">
        <v>87</v>
      </c>
      <c r="Y909">
        <v>28</v>
      </c>
      <c r="Z909">
        <v>19</v>
      </c>
      <c r="AA909">
        <v>1</v>
      </c>
      <c r="AB909">
        <v>1</v>
      </c>
      <c r="AC909">
        <v>64</v>
      </c>
      <c r="AD909">
        <v>0</v>
      </c>
      <c r="AE909">
        <v>2</v>
      </c>
      <c r="AF909">
        <v>7</v>
      </c>
      <c r="AG909">
        <v>2</v>
      </c>
      <c r="AH909">
        <v>1</v>
      </c>
      <c r="AI909" s="5">
        <v>0.23599999999999999</v>
      </c>
      <c r="AJ909" s="5">
        <v>0.29699999999999999</v>
      </c>
      <c r="AK909" s="5">
        <v>0.38600000000000001</v>
      </c>
      <c r="AL909" s="5">
        <v>0.221</v>
      </c>
      <c r="AM909" s="5">
        <v>0.29499999999999998</v>
      </c>
      <c r="AN909">
        <v>-0.2</v>
      </c>
      <c r="AO909">
        <v>-0.72</v>
      </c>
      <c r="AP909">
        <v>7</v>
      </c>
      <c r="AQ909">
        <v>-10.14</v>
      </c>
      <c r="AR909">
        <v>-1.1000000000000001</v>
      </c>
      <c r="AS909" t="s">
        <v>4675</v>
      </c>
      <c r="AT909">
        <v>-0.6</v>
      </c>
      <c r="AU909">
        <v>-4.0999999999999996</v>
      </c>
      <c r="AV909">
        <v>0</v>
      </c>
      <c r="AW909">
        <v>1</v>
      </c>
      <c r="AX909">
        <v>1</v>
      </c>
      <c r="AY909">
        <v>4</v>
      </c>
      <c r="AZ909" t="s">
        <v>4676</v>
      </c>
      <c r="BA909">
        <v>4</v>
      </c>
      <c r="BB909" t="s">
        <v>36</v>
      </c>
      <c r="BC909" t="s">
        <v>35</v>
      </c>
      <c r="BD909" s="4">
        <f>HYPERLINK("http://mlb.mlb.com/team/player.jsp?player_id=663527",663527)</f>
        <v>663527</v>
      </c>
      <c r="BE909">
        <v>0</v>
      </c>
      <c r="BF909">
        <v>0</v>
      </c>
      <c r="BG909">
        <v>0</v>
      </c>
      <c r="BH909">
        <v>0</v>
      </c>
    </row>
    <row r="910" spans="1:60" x14ac:dyDescent="0.3">
      <c r="A910" s="4">
        <f>HYPERLINK("http://legacy.baseballprospectus.com/p/107293",107293)</f>
        <v>107293</v>
      </c>
      <c r="B910" t="s">
        <v>1997</v>
      </c>
      <c r="C910" t="s">
        <v>1998</v>
      </c>
      <c r="D910" s="10">
        <v>36046</v>
      </c>
      <c r="E910" t="s">
        <v>65</v>
      </c>
      <c r="F910" t="s">
        <v>37</v>
      </c>
      <c r="G910" t="s">
        <v>33</v>
      </c>
      <c r="H910">
        <v>73</v>
      </c>
      <c r="I910">
        <v>170</v>
      </c>
      <c r="J910">
        <v>2018</v>
      </c>
      <c r="K910" s="4" t="str">
        <f>HYPERLINK("http://legacy.baseballprospectus.com/fantasy/dc/index.php?tm=TEX","TEX")</f>
        <v>TEX</v>
      </c>
      <c r="L910" t="s">
        <v>95</v>
      </c>
      <c r="M910" t="s">
        <v>34</v>
      </c>
      <c r="N910">
        <v>19</v>
      </c>
      <c r="O910">
        <v>250</v>
      </c>
      <c r="P910" t="s">
        <v>1680</v>
      </c>
      <c r="Q910">
        <v>229</v>
      </c>
      <c r="R910">
        <v>29</v>
      </c>
      <c r="S910">
        <v>35</v>
      </c>
      <c r="T910">
        <v>10</v>
      </c>
      <c r="U910">
        <v>1</v>
      </c>
      <c r="V910">
        <v>6</v>
      </c>
      <c r="W910">
        <v>52</v>
      </c>
      <c r="X910">
        <v>82</v>
      </c>
      <c r="Y910">
        <v>23</v>
      </c>
      <c r="Z910">
        <v>18</v>
      </c>
      <c r="AA910">
        <v>1</v>
      </c>
      <c r="AB910">
        <v>1</v>
      </c>
      <c r="AC910">
        <v>58</v>
      </c>
      <c r="AD910">
        <v>1</v>
      </c>
      <c r="AE910">
        <v>1</v>
      </c>
      <c r="AF910">
        <v>6</v>
      </c>
      <c r="AG910">
        <v>4</v>
      </c>
      <c r="AH910">
        <v>1</v>
      </c>
      <c r="AI910" s="5">
        <v>0.22600000000000001</v>
      </c>
      <c r="AJ910" s="5">
        <v>0.28499999999999998</v>
      </c>
      <c r="AK910" s="5">
        <v>0.35899999999999999</v>
      </c>
      <c r="AL910" s="5">
        <v>0.21199999999999999</v>
      </c>
      <c r="AM910" s="5">
        <v>0.27500000000000002</v>
      </c>
      <c r="AN910">
        <v>0.1</v>
      </c>
      <c r="AO910">
        <v>3.16</v>
      </c>
      <c r="AP910">
        <v>7</v>
      </c>
      <c r="AQ910">
        <v>-12.57</v>
      </c>
      <c r="AR910">
        <v>-3.3</v>
      </c>
      <c r="AS910" t="s">
        <v>1882</v>
      </c>
      <c r="AT910">
        <v>-0.6</v>
      </c>
      <c r="AU910">
        <v>-2.2999999999999998</v>
      </c>
      <c r="AV910">
        <v>0</v>
      </c>
      <c r="AW910">
        <v>8</v>
      </c>
      <c r="AX910">
        <v>2</v>
      </c>
      <c r="AY910">
        <v>8</v>
      </c>
      <c r="AZ910" t="s">
        <v>4677</v>
      </c>
      <c r="BA910">
        <v>16</v>
      </c>
      <c r="BB910" t="s">
        <v>36</v>
      </c>
      <c r="BC910" t="s">
        <v>35</v>
      </c>
      <c r="BD910" s="4">
        <f>HYPERLINK("http://mlb.mlb.com/team/player.jsp?player_id=665750",665750)</f>
        <v>665750</v>
      </c>
      <c r="BE910">
        <v>671</v>
      </c>
      <c r="BF910">
        <v>1671</v>
      </c>
      <c r="BG910">
        <v>0</v>
      </c>
      <c r="BH910">
        <v>0</v>
      </c>
    </row>
    <row r="911" spans="1:60" x14ac:dyDescent="0.3">
      <c r="A911" s="4">
        <f>HYPERLINK("http://legacy.baseballprospectus.com/p/107629",107629)</f>
        <v>107629</v>
      </c>
      <c r="B911" t="s">
        <v>1952</v>
      </c>
      <c r="C911" t="s">
        <v>271</v>
      </c>
      <c r="D911" s="10">
        <v>34690</v>
      </c>
      <c r="E911" t="s">
        <v>53</v>
      </c>
      <c r="F911" t="s">
        <v>33</v>
      </c>
      <c r="G911" t="s">
        <v>33</v>
      </c>
      <c r="H911">
        <v>76</v>
      </c>
      <c r="I911">
        <v>185</v>
      </c>
      <c r="J911">
        <v>2018</v>
      </c>
      <c r="K911" s="4" t="str">
        <f>HYPERLINK("http://legacy.baseballprospectus.com/fantasy/dc/index.php?tm=BOS","BOS")</f>
        <v>BOS</v>
      </c>
      <c r="L911" t="s">
        <v>95</v>
      </c>
      <c r="M911" t="s">
        <v>34</v>
      </c>
      <c r="N911">
        <v>23</v>
      </c>
      <c r="O911">
        <v>250</v>
      </c>
      <c r="P911" t="s">
        <v>1680</v>
      </c>
      <c r="Q911">
        <v>232</v>
      </c>
      <c r="R911">
        <v>27</v>
      </c>
      <c r="S911">
        <v>32</v>
      </c>
      <c r="T911">
        <v>10</v>
      </c>
      <c r="U911">
        <v>1</v>
      </c>
      <c r="V911">
        <v>7</v>
      </c>
      <c r="W911">
        <v>50</v>
      </c>
      <c r="X911">
        <v>83</v>
      </c>
      <c r="Y911">
        <v>24</v>
      </c>
      <c r="Z911">
        <v>14</v>
      </c>
      <c r="AA911">
        <v>1</v>
      </c>
      <c r="AB911">
        <v>2</v>
      </c>
      <c r="AC911">
        <v>74</v>
      </c>
      <c r="AD911">
        <v>1</v>
      </c>
      <c r="AE911">
        <v>1</v>
      </c>
      <c r="AF911">
        <v>7</v>
      </c>
      <c r="AG911">
        <v>2</v>
      </c>
      <c r="AH911">
        <v>1</v>
      </c>
      <c r="AI911" s="5">
        <v>0.21299999999999999</v>
      </c>
      <c r="AJ911" s="5">
        <v>0.26</v>
      </c>
      <c r="AK911" s="5">
        <v>0.35199999999999998</v>
      </c>
      <c r="AL911" s="5">
        <v>0.20499999999999999</v>
      </c>
      <c r="AM911" s="5">
        <v>0.27500000000000002</v>
      </c>
      <c r="AN911">
        <v>-0.4</v>
      </c>
      <c r="AO911">
        <v>3.76</v>
      </c>
      <c r="AP911">
        <v>7</v>
      </c>
      <c r="AQ911">
        <v>-14.46</v>
      </c>
      <c r="AR911">
        <v>-1</v>
      </c>
      <c r="AS911" t="s">
        <v>73</v>
      </c>
      <c r="AT911">
        <v>-0.6</v>
      </c>
      <c r="AU911">
        <v>-4.0999999999999996</v>
      </c>
      <c r="AV911">
        <v>12</v>
      </c>
      <c r="AW911">
        <v>18</v>
      </c>
      <c r="AX911">
        <v>6</v>
      </c>
      <c r="AY911">
        <v>23</v>
      </c>
      <c r="AZ911" t="s">
        <v>4654</v>
      </c>
      <c r="BA911">
        <v>25</v>
      </c>
      <c r="BB911" t="s">
        <v>36</v>
      </c>
      <c r="BC911" t="s">
        <v>35</v>
      </c>
      <c r="BD911" s="4">
        <f>HYPERLINK("http://mlb.mlb.com/team/player.jsp?player_id=641453",641453)</f>
        <v>641453</v>
      </c>
      <c r="BE911">
        <v>531</v>
      </c>
      <c r="BF911">
        <v>1531</v>
      </c>
      <c r="BG911">
        <v>0</v>
      </c>
      <c r="BH911">
        <v>0</v>
      </c>
    </row>
    <row r="912" spans="1:60" x14ac:dyDescent="0.3">
      <c r="A912" s="4">
        <f>HYPERLINK("http://legacy.baseballprospectus.com/p/107632",107632)</f>
        <v>107632</v>
      </c>
      <c r="B912" t="s">
        <v>1984</v>
      </c>
      <c r="C912" t="s">
        <v>1985</v>
      </c>
      <c r="D912" s="10">
        <v>35827</v>
      </c>
      <c r="E912" t="s">
        <v>53</v>
      </c>
      <c r="F912" t="s">
        <v>9</v>
      </c>
      <c r="G912" t="s">
        <v>33</v>
      </c>
      <c r="H912">
        <v>71</v>
      </c>
      <c r="I912">
        <v>165</v>
      </c>
      <c r="J912">
        <v>2018</v>
      </c>
      <c r="K912" s="4" t="str">
        <f>HYPERLINK("http://legacy.baseballprospectus.com/fantasy/dc/index.php?tm=ARI","ARI")</f>
        <v>ARI</v>
      </c>
      <c r="L912" t="s">
        <v>100</v>
      </c>
      <c r="M912" t="s">
        <v>34</v>
      </c>
      <c r="N912">
        <v>20</v>
      </c>
      <c r="O912">
        <v>250</v>
      </c>
      <c r="P912" t="s">
        <v>1680</v>
      </c>
      <c r="Q912">
        <v>231</v>
      </c>
      <c r="R912">
        <v>21</v>
      </c>
      <c r="S912">
        <v>28</v>
      </c>
      <c r="T912">
        <v>10</v>
      </c>
      <c r="U912">
        <v>1</v>
      </c>
      <c r="V912">
        <v>6</v>
      </c>
      <c r="W912">
        <v>45</v>
      </c>
      <c r="X912">
        <v>75</v>
      </c>
      <c r="Y912">
        <v>25</v>
      </c>
      <c r="Z912">
        <v>14</v>
      </c>
      <c r="AA912">
        <v>1</v>
      </c>
      <c r="AB912">
        <v>2</v>
      </c>
      <c r="AC912">
        <v>94</v>
      </c>
      <c r="AD912">
        <v>2</v>
      </c>
      <c r="AE912">
        <v>1</v>
      </c>
      <c r="AF912">
        <v>6</v>
      </c>
      <c r="AG912">
        <v>1</v>
      </c>
      <c r="AH912">
        <v>0</v>
      </c>
      <c r="AI912" s="5">
        <v>0.193</v>
      </c>
      <c r="AJ912" s="5">
        <v>0.24299999999999999</v>
      </c>
      <c r="AK912" s="5">
        <v>0.316</v>
      </c>
      <c r="AL912" s="5">
        <v>0.191</v>
      </c>
      <c r="AM912" s="5">
        <v>0.28799999999999998</v>
      </c>
      <c r="AN912">
        <v>-0.1</v>
      </c>
      <c r="AO912">
        <v>4.2699999999999996</v>
      </c>
      <c r="AP912">
        <v>7</v>
      </c>
      <c r="AQ912">
        <v>-18.22</v>
      </c>
      <c r="AR912">
        <v>1.9</v>
      </c>
      <c r="AS912" t="s">
        <v>67</v>
      </c>
      <c r="AT912">
        <v>-0.6</v>
      </c>
      <c r="AU912">
        <v>-7.1</v>
      </c>
      <c r="AV912">
        <v>1</v>
      </c>
      <c r="AW912">
        <v>5</v>
      </c>
      <c r="AX912">
        <v>0</v>
      </c>
      <c r="AY912">
        <v>2</v>
      </c>
      <c r="AZ912" t="s">
        <v>4655</v>
      </c>
      <c r="BA912">
        <v>9</v>
      </c>
      <c r="BB912" t="s">
        <v>36</v>
      </c>
      <c r="BC912" t="s">
        <v>35</v>
      </c>
      <c r="BD912" s="4">
        <f>HYPERLINK("http://mlb.mlb.com/team/player.jsp?player_id=665862",665862)</f>
        <v>665862</v>
      </c>
      <c r="BE912">
        <v>0</v>
      </c>
      <c r="BF912">
        <v>0</v>
      </c>
      <c r="BG912">
        <v>0</v>
      </c>
      <c r="BH912">
        <v>0</v>
      </c>
    </row>
    <row r="913" spans="1:60" x14ac:dyDescent="0.3">
      <c r="A913" s="4">
        <f>HYPERLINK("http://legacy.baseballprospectus.com/p/108090",108090)</f>
        <v>108090</v>
      </c>
      <c r="B913" t="s">
        <v>469</v>
      </c>
      <c r="C913" t="s">
        <v>1966</v>
      </c>
      <c r="D913" s="10">
        <v>35972</v>
      </c>
      <c r="E913" t="s">
        <v>65</v>
      </c>
      <c r="F913" t="s">
        <v>9</v>
      </c>
      <c r="G913" t="s">
        <v>9</v>
      </c>
      <c r="H913">
        <v>70</v>
      </c>
      <c r="I913">
        <v>170</v>
      </c>
      <c r="J913">
        <v>2018</v>
      </c>
      <c r="K913" s="4" t="str">
        <f>HYPERLINK("http://legacy.baseballprospectus.com/fantasy/dc/index.php?tm=KCA","KCA")</f>
        <v>KCA</v>
      </c>
      <c r="L913" t="s">
        <v>95</v>
      </c>
      <c r="M913" t="s">
        <v>34</v>
      </c>
      <c r="N913">
        <v>20</v>
      </c>
      <c r="O913">
        <v>250</v>
      </c>
      <c r="P913" t="s">
        <v>1680</v>
      </c>
      <c r="Q913">
        <v>218</v>
      </c>
      <c r="R913">
        <v>32</v>
      </c>
      <c r="S913">
        <v>25</v>
      </c>
      <c r="T913">
        <v>8</v>
      </c>
      <c r="U913">
        <v>1</v>
      </c>
      <c r="V913">
        <v>8</v>
      </c>
      <c r="W913">
        <v>42</v>
      </c>
      <c r="X913">
        <v>76</v>
      </c>
      <c r="Y913">
        <v>24</v>
      </c>
      <c r="Z913">
        <v>26</v>
      </c>
      <c r="AA913">
        <v>1</v>
      </c>
      <c r="AB913">
        <v>3</v>
      </c>
      <c r="AC913">
        <v>92</v>
      </c>
      <c r="AD913">
        <v>1</v>
      </c>
      <c r="AE913">
        <v>1</v>
      </c>
      <c r="AF913">
        <v>5</v>
      </c>
      <c r="AG913">
        <v>5</v>
      </c>
      <c r="AH913">
        <v>4</v>
      </c>
      <c r="AI913" s="5">
        <v>0.19600000000000001</v>
      </c>
      <c r="AJ913" s="5">
        <v>0.28999999999999998</v>
      </c>
      <c r="AK913" s="5">
        <v>0.35499999999999998</v>
      </c>
      <c r="AL913" s="5">
        <v>0.221</v>
      </c>
      <c r="AM913" s="5">
        <v>0.28899999999999998</v>
      </c>
      <c r="AN913">
        <v>-0.5</v>
      </c>
      <c r="AO913">
        <v>1.75</v>
      </c>
      <c r="AP913">
        <v>7</v>
      </c>
      <c r="AQ913">
        <v>-10.28</v>
      </c>
      <c r="AR913">
        <v>-3.2</v>
      </c>
      <c r="AS913" t="s">
        <v>1972</v>
      </c>
      <c r="AT913">
        <v>-0.6</v>
      </c>
      <c r="AU913">
        <v>-2</v>
      </c>
      <c r="AV913">
        <v>4</v>
      </c>
      <c r="AW913">
        <v>12</v>
      </c>
      <c r="AX913">
        <v>0</v>
      </c>
      <c r="AY913">
        <v>5</v>
      </c>
      <c r="AZ913" t="s">
        <v>4679</v>
      </c>
      <c r="BA913">
        <v>14</v>
      </c>
      <c r="BB913" t="s">
        <v>36</v>
      </c>
      <c r="BC913" t="s">
        <v>35</v>
      </c>
      <c r="BD913" s="4">
        <f>HYPERLINK("http://mlb.mlb.com/team/player.jsp?player_id=666137",666137)</f>
        <v>666137</v>
      </c>
      <c r="BE913">
        <v>657</v>
      </c>
      <c r="BF913">
        <v>1657</v>
      </c>
      <c r="BG913">
        <v>0</v>
      </c>
      <c r="BH913">
        <v>0</v>
      </c>
    </row>
    <row r="914" spans="1:60" x14ac:dyDescent="0.3">
      <c r="A914" s="4">
        <f>HYPERLINK("http://legacy.baseballprospectus.com/p/108273",108273)</f>
        <v>108273</v>
      </c>
      <c r="B914" t="s">
        <v>4680</v>
      </c>
      <c r="C914" t="s">
        <v>4681</v>
      </c>
      <c r="D914" s="10">
        <v>36087</v>
      </c>
      <c r="E914" t="s">
        <v>59</v>
      </c>
      <c r="F914" t="s">
        <v>9</v>
      </c>
      <c r="G914" t="s">
        <v>9</v>
      </c>
      <c r="H914">
        <v>70</v>
      </c>
      <c r="I914">
        <v>158</v>
      </c>
      <c r="J914">
        <v>2018</v>
      </c>
      <c r="K914" s="4" t="str">
        <f>HYPERLINK("http://legacy.baseballprospectus.com/fantasy/dc/index.php?tm=SFN","SFN")</f>
        <v>SFN</v>
      </c>
      <c r="L914" t="s">
        <v>100</v>
      </c>
      <c r="M914" t="s">
        <v>34</v>
      </c>
      <c r="N914">
        <v>19</v>
      </c>
      <c r="O914">
        <v>250</v>
      </c>
      <c r="P914" t="s">
        <v>1680</v>
      </c>
      <c r="Q914">
        <v>233</v>
      </c>
      <c r="R914">
        <v>25</v>
      </c>
      <c r="S914">
        <v>34</v>
      </c>
      <c r="T914">
        <v>10</v>
      </c>
      <c r="U914">
        <v>1</v>
      </c>
      <c r="V914">
        <v>5</v>
      </c>
      <c r="W914">
        <v>50</v>
      </c>
      <c r="X914">
        <v>77</v>
      </c>
      <c r="Y914">
        <v>21</v>
      </c>
      <c r="Z914">
        <v>13</v>
      </c>
      <c r="AA914">
        <v>1</v>
      </c>
      <c r="AB914">
        <v>0</v>
      </c>
      <c r="AC914">
        <v>65</v>
      </c>
      <c r="AD914">
        <v>2</v>
      </c>
      <c r="AE914">
        <v>1</v>
      </c>
      <c r="AF914">
        <v>6</v>
      </c>
      <c r="AG914">
        <v>2</v>
      </c>
      <c r="AH914">
        <v>2</v>
      </c>
      <c r="AI914" s="5">
        <v>0.215</v>
      </c>
      <c r="AJ914" s="5">
        <v>0.25700000000000001</v>
      </c>
      <c r="AK914" s="5">
        <v>0.32800000000000001</v>
      </c>
      <c r="AL914" s="5">
        <v>0.20300000000000001</v>
      </c>
      <c r="AM914" s="5">
        <v>0.27300000000000002</v>
      </c>
      <c r="AN914">
        <v>-0.3</v>
      </c>
      <c r="AO914">
        <v>1.81</v>
      </c>
      <c r="AP914">
        <v>7</v>
      </c>
      <c r="AQ914">
        <v>-14.86</v>
      </c>
      <c r="AR914">
        <v>0.6</v>
      </c>
      <c r="AS914" t="s">
        <v>4934</v>
      </c>
      <c r="AT914">
        <v>-0.6</v>
      </c>
      <c r="AU914">
        <v>-6.3</v>
      </c>
      <c r="AV914">
        <v>0</v>
      </c>
      <c r="AW914">
        <v>6</v>
      </c>
      <c r="AX914">
        <v>2</v>
      </c>
      <c r="AY914">
        <v>6</v>
      </c>
      <c r="AZ914" t="s">
        <v>4682</v>
      </c>
      <c r="BA914">
        <v>13</v>
      </c>
      <c r="BB914" t="s">
        <v>36</v>
      </c>
      <c r="BC914" t="s">
        <v>35</v>
      </c>
      <c r="BD914" s="4">
        <f>HYPERLINK("http://mlb.mlb.com/team/player.jsp?player_id=665998",665998)</f>
        <v>665998</v>
      </c>
      <c r="BE914">
        <v>0</v>
      </c>
      <c r="BF914">
        <v>0</v>
      </c>
      <c r="BG914">
        <v>0</v>
      </c>
      <c r="BH914">
        <v>0</v>
      </c>
    </row>
    <row r="915" spans="1:60" x14ac:dyDescent="0.3">
      <c r="A915" s="4">
        <f>HYPERLINK("http://legacy.baseballprospectus.com/p/110030",110030)</f>
        <v>110030</v>
      </c>
      <c r="B915" t="s">
        <v>4684</v>
      </c>
      <c r="C915" t="s">
        <v>4685</v>
      </c>
      <c r="D915" s="10">
        <v>35279</v>
      </c>
      <c r="E915" t="s">
        <v>58</v>
      </c>
      <c r="F915" t="s">
        <v>33</v>
      </c>
      <c r="G915" t="s">
        <v>33</v>
      </c>
      <c r="H915">
        <v>71</v>
      </c>
      <c r="I915">
        <v>190</v>
      </c>
      <c r="J915">
        <v>2018</v>
      </c>
      <c r="K915" s="4" t="str">
        <f>HYPERLINK("http://legacy.baseballprospectus.com/fantasy/dc/index.php?tm=MIL","MIL")</f>
        <v>MIL</v>
      </c>
      <c r="L915" t="s">
        <v>100</v>
      </c>
      <c r="M915" t="s">
        <v>34</v>
      </c>
      <c r="N915">
        <v>21</v>
      </c>
      <c r="O915">
        <v>250</v>
      </c>
      <c r="P915" t="s">
        <v>1680</v>
      </c>
      <c r="Q915">
        <v>232</v>
      </c>
      <c r="R915">
        <v>23</v>
      </c>
      <c r="S915">
        <v>34</v>
      </c>
      <c r="T915">
        <v>11</v>
      </c>
      <c r="U915">
        <v>1</v>
      </c>
      <c r="V915">
        <v>6</v>
      </c>
      <c r="W915">
        <v>52</v>
      </c>
      <c r="X915">
        <v>83</v>
      </c>
      <c r="Y915">
        <v>27</v>
      </c>
      <c r="Z915">
        <v>14</v>
      </c>
      <c r="AA915">
        <v>1</v>
      </c>
      <c r="AB915">
        <v>2</v>
      </c>
      <c r="AC915">
        <v>72</v>
      </c>
      <c r="AD915">
        <v>1</v>
      </c>
      <c r="AE915">
        <v>1</v>
      </c>
      <c r="AF915">
        <v>6</v>
      </c>
      <c r="AG915">
        <v>0</v>
      </c>
      <c r="AH915">
        <v>0</v>
      </c>
      <c r="AI915" s="5">
        <v>0.22500000000000001</v>
      </c>
      <c r="AJ915" s="5">
        <v>0.27400000000000002</v>
      </c>
      <c r="AK915" s="5">
        <v>0.36299999999999999</v>
      </c>
      <c r="AL915" s="5">
        <v>0.215</v>
      </c>
      <c r="AM915" s="5">
        <v>0.29399999999999998</v>
      </c>
      <c r="AN915">
        <v>-0.3</v>
      </c>
      <c r="AO915">
        <v>-0.24</v>
      </c>
      <c r="AP915">
        <v>7</v>
      </c>
      <c r="AQ915">
        <v>-11.95</v>
      </c>
      <c r="AR915">
        <v>-0.3</v>
      </c>
      <c r="AS915" t="s">
        <v>999</v>
      </c>
      <c r="AT915">
        <v>-0.6</v>
      </c>
      <c r="AU915">
        <v>-5.5</v>
      </c>
      <c r="AV915">
        <v>0</v>
      </c>
      <c r="AW915">
        <v>0</v>
      </c>
      <c r="AX915">
        <v>0</v>
      </c>
      <c r="AY915">
        <v>2</v>
      </c>
      <c r="AZ915" t="s">
        <v>4686</v>
      </c>
      <c r="BA915">
        <v>2</v>
      </c>
      <c r="BB915" t="s">
        <v>36</v>
      </c>
      <c r="BC915" t="s">
        <v>35</v>
      </c>
      <c r="BD915" s="4">
        <f>HYPERLINK("http://mlb.mlb.com/team/player.jsp?player_id=669374",669374)</f>
        <v>669374</v>
      </c>
      <c r="BE915">
        <v>1654</v>
      </c>
      <c r="BF915">
        <v>654</v>
      </c>
      <c r="BG915">
        <v>0</v>
      </c>
      <c r="BH915">
        <v>0</v>
      </c>
    </row>
    <row r="916" spans="1:60" x14ac:dyDescent="0.3">
      <c r="A916" s="4">
        <f>HYPERLINK("http://legacy.baseballprospectus.com/p/110836",110836)</f>
        <v>110836</v>
      </c>
      <c r="B916" t="s">
        <v>4687</v>
      </c>
      <c r="C916" t="s">
        <v>797</v>
      </c>
      <c r="D916" s="10">
        <v>35178</v>
      </c>
      <c r="E916" t="s">
        <v>50</v>
      </c>
      <c r="F916" t="s">
        <v>9</v>
      </c>
      <c r="G916" t="s">
        <v>9</v>
      </c>
      <c r="H916">
        <v>76</v>
      </c>
      <c r="I916">
        <v>230</v>
      </c>
      <c r="J916">
        <v>2018</v>
      </c>
      <c r="K916" s="4" t="str">
        <f>HYPERLINK("http://legacy.baseballprospectus.com/fantasy/dc/index.php?tm=CHA","CHA")</f>
        <v>CHA</v>
      </c>
      <c r="L916" t="s">
        <v>95</v>
      </c>
      <c r="M916" t="s">
        <v>34</v>
      </c>
      <c r="N916">
        <v>22</v>
      </c>
      <c r="O916">
        <v>250</v>
      </c>
      <c r="P916" t="s">
        <v>1680</v>
      </c>
      <c r="Q916">
        <v>225</v>
      </c>
      <c r="R916">
        <v>25</v>
      </c>
      <c r="S916">
        <v>34</v>
      </c>
      <c r="T916">
        <v>10</v>
      </c>
      <c r="U916">
        <v>1</v>
      </c>
      <c r="V916">
        <v>7</v>
      </c>
      <c r="W916">
        <v>52</v>
      </c>
      <c r="X916">
        <v>85</v>
      </c>
      <c r="Y916">
        <v>29</v>
      </c>
      <c r="Z916">
        <v>19</v>
      </c>
      <c r="AA916">
        <v>1</v>
      </c>
      <c r="AB916">
        <v>3</v>
      </c>
      <c r="AC916">
        <v>60</v>
      </c>
      <c r="AD916">
        <v>1</v>
      </c>
      <c r="AE916">
        <v>1</v>
      </c>
      <c r="AF916">
        <v>6</v>
      </c>
      <c r="AG916">
        <v>0</v>
      </c>
      <c r="AH916">
        <v>0</v>
      </c>
      <c r="AI916" s="5">
        <v>0.22900000000000001</v>
      </c>
      <c r="AJ916" s="5">
        <v>0.29699999999999999</v>
      </c>
      <c r="AK916" s="5">
        <v>0.376</v>
      </c>
      <c r="AL916" s="5">
        <v>0.22500000000000001</v>
      </c>
      <c r="AM916" s="5">
        <v>0.27500000000000002</v>
      </c>
      <c r="AN916">
        <v>-0.4</v>
      </c>
      <c r="AO916">
        <v>-2.3199999999999998</v>
      </c>
      <c r="AP916">
        <v>7</v>
      </c>
      <c r="AQ916">
        <v>-9.09</v>
      </c>
      <c r="AR916">
        <v>-1.1000000000000001</v>
      </c>
      <c r="AS916" t="s">
        <v>64</v>
      </c>
      <c r="AT916">
        <v>-0.6</v>
      </c>
      <c r="AU916">
        <v>-4.8</v>
      </c>
      <c r="AV916">
        <v>11</v>
      </c>
      <c r="AW916">
        <v>15</v>
      </c>
      <c r="AX916">
        <v>2</v>
      </c>
      <c r="AY916">
        <v>20</v>
      </c>
      <c r="AZ916" t="s">
        <v>4688</v>
      </c>
      <c r="BA916">
        <v>22</v>
      </c>
      <c r="BB916" t="s">
        <v>36</v>
      </c>
      <c r="BC916" t="s">
        <v>35</v>
      </c>
      <c r="BD916" s="4">
        <f>HYPERLINK("http://mlb.mlb.com/team/player.jsp?player_id=657757",657757)</f>
        <v>657757</v>
      </c>
      <c r="BE916">
        <v>0</v>
      </c>
      <c r="BF916">
        <v>0</v>
      </c>
      <c r="BG916">
        <v>0</v>
      </c>
      <c r="BH916">
        <v>0</v>
      </c>
    </row>
    <row r="917" spans="1:60" x14ac:dyDescent="0.3">
      <c r="A917" s="4">
        <f>HYPERLINK("http://legacy.baseballprospectus.com/p/46714",46714)</f>
        <v>46714</v>
      </c>
      <c r="B917" t="s">
        <v>615</v>
      </c>
      <c r="C917" t="s">
        <v>316</v>
      </c>
      <c r="D917" s="10">
        <v>31169</v>
      </c>
      <c r="E917" t="s">
        <v>54</v>
      </c>
      <c r="F917" t="s">
        <v>37</v>
      </c>
      <c r="G917" t="s">
        <v>33</v>
      </c>
      <c r="H917">
        <v>76</v>
      </c>
      <c r="I917">
        <v>235</v>
      </c>
      <c r="J917">
        <v>2018</v>
      </c>
      <c r="K917" s="4" t="str">
        <f>HYPERLINK("http://legacy.baseballprospectus.com/fantasy/dc/index.php?tm=DET","DET")</f>
        <v>DET</v>
      </c>
      <c r="L917" t="s">
        <v>95</v>
      </c>
      <c r="M917" t="s">
        <v>34</v>
      </c>
      <c r="N917">
        <v>33</v>
      </c>
      <c r="O917">
        <v>250</v>
      </c>
      <c r="P917" t="s">
        <v>1680</v>
      </c>
      <c r="Q917">
        <v>219</v>
      </c>
      <c r="R917">
        <v>28</v>
      </c>
      <c r="S917">
        <v>27</v>
      </c>
      <c r="T917">
        <v>11</v>
      </c>
      <c r="U917">
        <v>0</v>
      </c>
      <c r="V917">
        <v>9</v>
      </c>
      <c r="W917">
        <v>47</v>
      </c>
      <c r="X917">
        <v>85</v>
      </c>
      <c r="Y917">
        <v>29</v>
      </c>
      <c r="Z917">
        <v>28</v>
      </c>
      <c r="AA917">
        <v>1</v>
      </c>
      <c r="AB917">
        <v>1</v>
      </c>
      <c r="AC917">
        <v>83</v>
      </c>
      <c r="AD917">
        <v>0</v>
      </c>
      <c r="AE917">
        <v>2</v>
      </c>
      <c r="AF917">
        <v>5</v>
      </c>
      <c r="AG917">
        <v>0</v>
      </c>
      <c r="AH917">
        <v>0</v>
      </c>
      <c r="AI917" s="5">
        <v>0.216</v>
      </c>
      <c r="AJ917" s="5">
        <v>0.307</v>
      </c>
      <c r="AK917" s="5">
        <v>0.38800000000000001</v>
      </c>
      <c r="AL917" s="5">
        <v>0.23200000000000001</v>
      </c>
      <c r="AM917" s="5">
        <v>0.3</v>
      </c>
      <c r="AN917">
        <v>-1.2</v>
      </c>
      <c r="AO917">
        <v>1.92</v>
      </c>
      <c r="AP917">
        <v>7</v>
      </c>
      <c r="AQ917">
        <v>-7.42</v>
      </c>
      <c r="AR917">
        <v>-6.8</v>
      </c>
      <c r="AS917" t="s">
        <v>4456</v>
      </c>
      <c r="AT917">
        <v>-0.7</v>
      </c>
      <c r="AU917">
        <v>0.3</v>
      </c>
      <c r="AV917">
        <v>4</v>
      </c>
      <c r="AW917">
        <v>32</v>
      </c>
      <c r="AX917">
        <v>7</v>
      </c>
      <c r="AY917">
        <v>17</v>
      </c>
      <c r="AZ917" t="s">
        <v>4693</v>
      </c>
      <c r="BA917">
        <v>76</v>
      </c>
      <c r="BB917" t="s">
        <v>36</v>
      </c>
      <c r="BC917" t="s">
        <v>36</v>
      </c>
      <c r="BD917" s="4">
        <f>HYPERLINK("http://mlb.mlb.com/team/player.jsp?player_id=457454",457454)</f>
        <v>457454</v>
      </c>
      <c r="BE917">
        <v>0</v>
      </c>
      <c r="BF917">
        <v>0</v>
      </c>
      <c r="BG917">
        <v>26</v>
      </c>
      <c r="BH917">
        <v>25</v>
      </c>
    </row>
    <row r="918" spans="1:60" x14ac:dyDescent="0.3">
      <c r="A918" s="4">
        <f>HYPERLINK("http://legacy.baseballprospectus.com/p/58320",58320)</f>
        <v>58320</v>
      </c>
      <c r="B918" t="s">
        <v>444</v>
      </c>
      <c r="C918" t="s">
        <v>319</v>
      </c>
      <c r="D918" s="10">
        <v>32994</v>
      </c>
      <c r="E918" t="s">
        <v>54</v>
      </c>
      <c r="F918" t="s">
        <v>33</v>
      </c>
      <c r="G918" t="s">
        <v>33</v>
      </c>
      <c r="H918">
        <v>72</v>
      </c>
      <c r="I918">
        <v>195</v>
      </c>
      <c r="J918">
        <v>2018</v>
      </c>
      <c r="K918" s="4" t="str">
        <f>HYPERLINK("http://legacy.baseballprospectus.com/fantasy/dc/index.php?tm=TEX","TEX")</f>
        <v>TEX</v>
      </c>
      <c r="L918" t="s">
        <v>95</v>
      </c>
      <c r="M918" t="s">
        <v>34</v>
      </c>
      <c r="N918">
        <v>28</v>
      </c>
      <c r="O918">
        <v>250</v>
      </c>
      <c r="P918" t="s">
        <v>1680</v>
      </c>
      <c r="Q918">
        <v>229</v>
      </c>
      <c r="R918">
        <v>27</v>
      </c>
      <c r="S918">
        <v>33</v>
      </c>
      <c r="T918">
        <v>13</v>
      </c>
      <c r="U918">
        <v>1</v>
      </c>
      <c r="V918">
        <v>8</v>
      </c>
      <c r="W918">
        <v>55</v>
      </c>
      <c r="X918">
        <v>94</v>
      </c>
      <c r="Y918">
        <v>29</v>
      </c>
      <c r="Z918">
        <v>16</v>
      </c>
      <c r="AA918">
        <v>1</v>
      </c>
      <c r="AB918">
        <v>3</v>
      </c>
      <c r="AC918">
        <v>54</v>
      </c>
      <c r="AD918">
        <v>1</v>
      </c>
      <c r="AE918">
        <v>2</v>
      </c>
      <c r="AF918">
        <v>7</v>
      </c>
      <c r="AG918">
        <v>1</v>
      </c>
      <c r="AH918">
        <v>0</v>
      </c>
      <c r="AI918" s="5">
        <v>0.23799999999999999</v>
      </c>
      <c r="AJ918" s="5">
        <v>0.29399999999999998</v>
      </c>
      <c r="AK918" s="5">
        <v>0.39900000000000002</v>
      </c>
      <c r="AL918" s="5">
        <v>0.22800000000000001</v>
      </c>
      <c r="AM918" s="5">
        <v>0.27700000000000002</v>
      </c>
      <c r="AN918">
        <v>-0.4</v>
      </c>
      <c r="AO918">
        <v>5.12</v>
      </c>
      <c r="AP918">
        <v>7</v>
      </c>
      <c r="AQ918">
        <v>-8.36</v>
      </c>
      <c r="AR918">
        <v>-9.5</v>
      </c>
      <c r="AS918" t="s">
        <v>1757</v>
      </c>
      <c r="AT918">
        <v>-0.7</v>
      </c>
      <c r="AU918">
        <v>3.4</v>
      </c>
      <c r="AV918">
        <v>2</v>
      </c>
      <c r="AW918">
        <v>9</v>
      </c>
      <c r="AX918">
        <v>9</v>
      </c>
      <c r="AY918">
        <v>20</v>
      </c>
      <c r="AZ918" t="s">
        <v>4668</v>
      </c>
      <c r="BA918">
        <v>34</v>
      </c>
      <c r="BB918" t="s">
        <v>36</v>
      </c>
      <c r="BC918" t="s">
        <v>35</v>
      </c>
      <c r="BD918" s="4">
        <f>HYPERLINK("http://mlb.mlb.com/team/player.jsp?player_id=543362",543362)</f>
        <v>543362</v>
      </c>
      <c r="BE918">
        <v>0</v>
      </c>
      <c r="BF918">
        <v>0</v>
      </c>
      <c r="BG918">
        <v>13</v>
      </c>
      <c r="BH918">
        <v>12</v>
      </c>
    </row>
    <row r="919" spans="1:60" x14ac:dyDescent="0.3">
      <c r="A919" s="4">
        <f>HYPERLINK("http://legacy.baseballprospectus.com/p/100353",100353)</f>
        <v>100353</v>
      </c>
      <c r="B919" t="s">
        <v>1770</v>
      </c>
      <c r="C919" t="s">
        <v>1771</v>
      </c>
      <c r="D919" s="10">
        <v>34608</v>
      </c>
      <c r="E919" t="s">
        <v>57</v>
      </c>
      <c r="F919" t="s">
        <v>33</v>
      </c>
      <c r="G919" t="s">
        <v>33</v>
      </c>
      <c r="H919">
        <v>75</v>
      </c>
      <c r="I919">
        <v>243</v>
      </c>
      <c r="J919">
        <v>2018</v>
      </c>
      <c r="K919" s="4" t="str">
        <f>HYPERLINK("http://legacy.baseballprospectus.com/fantasy/dc/index.php?tm=NYN","NYN")</f>
        <v>NYN</v>
      </c>
      <c r="L919" t="s">
        <v>100</v>
      </c>
      <c r="M919" t="s">
        <v>34</v>
      </c>
      <c r="N919">
        <v>23</v>
      </c>
      <c r="O919">
        <v>250</v>
      </c>
      <c r="P919" t="s">
        <v>1680</v>
      </c>
      <c r="Q919">
        <v>232</v>
      </c>
      <c r="R919">
        <v>24</v>
      </c>
      <c r="S919">
        <v>37</v>
      </c>
      <c r="T919">
        <v>10</v>
      </c>
      <c r="U919">
        <v>0</v>
      </c>
      <c r="V919">
        <v>6</v>
      </c>
      <c r="W919">
        <v>53</v>
      </c>
      <c r="X919">
        <v>81</v>
      </c>
      <c r="Y919">
        <v>27</v>
      </c>
      <c r="Z919">
        <v>13</v>
      </c>
      <c r="AA919">
        <v>1</v>
      </c>
      <c r="AB919">
        <v>2</v>
      </c>
      <c r="AC919">
        <v>73</v>
      </c>
      <c r="AD919">
        <v>1</v>
      </c>
      <c r="AE919">
        <v>1</v>
      </c>
      <c r="AF919">
        <v>6</v>
      </c>
      <c r="AG919">
        <v>3</v>
      </c>
      <c r="AH919">
        <v>1</v>
      </c>
      <c r="AI919" s="5">
        <v>0.23200000000000001</v>
      </c>
      <c r="AJ919" s="5">
        <v>0.27900000000000003</v>
      </c>
      <c r="AK919" s="5">
        <v>0.35799999999999998</v>
      </c>
      <c r="AL919" s="5">
        <v>0.218</v>
      </c>
      <c r="AM919" s="5">
        <v>0.307</v>
      </c>
      <c r="AN919">
        <v>-0.2</v>
      </c>
      <c r="AO919">
        <v>0.1</v>
      </c>
      <c r="AP919">
        <v>7</v>
      </c>
      <c r="AQ919">
        <v>-11.16</v>
      </c>
      <c r="AR919">
        <v>-2.5</v>
      </c>
      <c r="AS919" t="s">
        <v>2165</v>
      </c>
      <c r="AT919">
        <v>-0.7</v>
      </c>
      <c r="AU919">
        <v>-4.2</v>
      </c>
      <c r="AV919">
        <v>0</v>
      </c>
      <c r="AW919">
        <v>1</v>
      </c>
      <c r="AX919">
        <v>1</v>
      </c>
      <c r="AY919">
        <v>5</v>
      </c>
      <c r="AZ919" t="s">
        <v>4695</v>
      </c>
      <c r="BA919">
        <v>5</v>
      </c>
      <c r="BB919" t="s">
        <v>36</v>
      </c>
      <c r="BC919" t="s">
        <v>35</v>
      </c>
      <c r="BD919" s="4">
        <f>HYPERLINK("http://mlb.mlb.com/team/player.jsp?player_id=610141",610141)</f>
        <v>610141</v>
      </c>
      <c r="BE919">
        <v>1670</v>
      </c>
      <c r="BF919">
        <v>670</v>
      </c>
      <c r="BG919">
        <v>0</v>
      </c>
      <c r="BH919">
        <v>0</v>
      </c>
    </row>
    <row r="920" spans="1:60" x14ac:dyDescent="0.3">
      <c r="A920" s="4">
        <f>HYPERLINK("http://legacy.baseballprospectus.com/p/101226",101226)</f>
        <v>101226</v>
      </c>
      <c r="B920" t="s">
        <v>201</v>
      </c>
      <c r="C920" t="s">
        <v>272</v>
      </c>
      <c r="D920" s="10">
        <v>33557</v>
      </c>
      <c r="E920" t="s">
        <v>54</v>
      </c>
      <c r="F920" t="s">
        <v>33</v>
      </c>
      <c r="G920" t="s">
        <v>33</v>
      </c>
      <c r="H920">
        <v>74</v>
      </c>
      <c r="I920">
        <v>195</v>
      </c>
      <c r="J920">
        <v>2018</v>
      </c>
      <c r="K920" s="4" t="str">
        <f>HYPERLINK("http://legacy.baseballprospectus.com/fantasy/dc/index.php?tm=SFN","SFN")</f>
        <v>SFN</v>
      </c>
      <c r="L920" t="s">
        <v>100</v>
      </c>
      <c r="M920" t="s">
        <v>34</v>
      </c>
      <c r="N920">
        <v>26</v>
      </c>
      <c r="O920">
        <v>250</v>
      </c>
      <c r="P920" t="s">
        <v>1680</v>
      </c>
      <c r="Q920">
        <v>229</v>
      </c>
      <c r="R920">
        <v>23</v>
      </c>
      <c r="S920">
        <v>36</v>
      </c>
      <c r="T920">
        <v>11</v>
      </c>
      <c r="U920">
        <v>0</v>
      </c>
      <c r="V920">
        <v>4</v>
      </c>
      <c r="W920">
        <v>51</v>
      </c>
      <c r="X920">
        <v>74</v>
      </c>
      <c r="Y920">
        <v>23</v>
      </c>
      <c r="Z920">
        <v>15</v>
      </c>
      <c r="AA920">
        <v>1</v>
      </c>
      <c r="AB920">
        <v>2</v>
      </c>
      <c r="AC920">
        <v>56</v>
      </c>
      <c r="AD920">
        <v>2</v>
      </c>
      <c r="AE920">
        <v>1</v>
      </c>
      <c r="AF920">
        <v>5</v>
      </c>
      <c r="AG920">
        <v>1</v>
      </c>
      <c r="AH920">
        <v>1</v>
      </c>
      <c r="AI920" s="5">
        <v>0.22500000000000001</v>
      </c>
      <c r="AJ920" s="5">
        <v>0.27700000000000002</v>
      </c>
      <c r="AK920" s="5">
        <v>0.33400000000000002</v>
      </c>
      <c r="AL920" s="5">
        <v>0.215</v>
      </c>
      <c r="AM920" s="5">
        <v>0.27300000000000002</v>
      </c>
      <c r="AN920">
        <v>-0.2</v>
      </c>
      <c r="AO920">
        <v>5.4</v>
      </c>
      <c r="AP920">
        <v>7</v>
      </c>
      <c r="AQ920">
        <v>-11.86</v>
      </c>
      <c r="AR920">
        <v>-6.4</v>
      </c>
      <c r="AS920" t="s">
        <v>4873</v>
      </c>
      <c r="AT920">
        <v>-0.7</v>
      </c>
      <c r="AU920">
        <v>0.3</v>
      </c>
      <c r="AV920">
        <v>8</v>
      </c>
      <c r="AW920">
        <v>26</v>
      </c>
      <c r="AX920">
        <v>14</v>
      </c>
      <c r="AY920">
        <v>31</v>
      </c>
      <c r="AZ920" t="s">
        <v>4568</v>
      </c>
      <c r="BA920">
        <v>64</v>
      </c>
      <c r="BB920" t="s">
        <v>36</v>
      </c>
      <c r="BC920" t="s">
        <v>36</v>
      </c>
      <c r="BD920" s="4">
        <f>HYPERLINK("http://mlb.mlb.com/team/player.jsp?player_id=623143",623143)</f>
        <v>623143</v>
      </c>
      <c r="BE920">
        <v>0</v>
      </c>
      <c r="BF920">
        <v>0</v>
      </c>
      <c r="BG920">
        <v>0</v>
      </c>
      <c r="BH920">
        <v>0</v>
      </c>
    </row>
    <row r="921" spans="1:60" x14ac:dyDescent="0.3">
      <c r="A921" s="4">
        <f>HYPERLINK("http://legacy.baseballprospectus.com/p/102976",102976)</f>
        <v>102976</v>
      </c>
      <c r="B921" t="s">
        <v>1993</v>
      </c>
      <c r="C921" t="s">
        <v>1994</v>
      </c>
      <c r="D921" s="10">
        <v>34870</v>
      </c>
      <c r="E921" t="s">
        <v>50</v>
      </c>
      <c r="F921" t="s">
        <v>33</v>
      </c>
      <c r="G921" t="s">
        <v>33</v>
      </c>
      <c r="H921">
        <v>76</v>
      </c>
      <c r="I921">
        <v>225</v>
      </c>
      <c r="J921">
        <v>2018</v>
      </c>
      <c r="K921" s="4" t="str">
        <f>HYPERLINK("http://legacy.baseballprospectus.com/fantasy/dc/index.php?tm=LAN","LAN")</f>
        <v>LAN</v>
      </c>
      <c r="L921" t="s">
        <v>100</v>
      </c>
      <c r="M921" t="s">
        <v>34</v>
      </c>
      <c r="N921">
        <v>23</v>
      </c>
      <c r="O921">
        <v>250</v>
      </c>
      <c r="P921" t="s">
        <v>1680</v>
      </c>
      <c r="Q921">
        <v>229</v>
      </c>
      <c r="R921">
        <v>29</v>
      </c>
      <c r="S921">
        <v>26</v>
      </c>
      <c r="T921">
        <v>8</v>
      </c>
      <c r="U921">
        <v>1</v>
      </c>
      <c r="V921">
        <v>13</v>
      </c>
      <c r="W921">
        <v>48</v>
      </c>
      <c r="X921">
        <v>97</v>
      </c>
      <c r="Y921">
        <v>34</v>
      </c>
      <c r="Z921">
        <v>17</v>
      </c>
      <c r="AA921">
        <v>1</v>
      </c>
      <c r="AB921">
        <v>2</v>
      </c>
      <c r="AC921">
        <v>99</v>
      </c>
      <c r="AD921">
        <v>0</v>
      </c>
      <c r="AE921">
        <v>1</v>
      </c>
      <c r="AF921">
        <v>6</v>
      </c>
      <c r="AG921">
        <v>0</v>
      </c>
      <c r="AH921">
        <v>0</v>
      </c>
      <c r="AI921" s="5">
        <v>0.20699999999999999</v>
      </c>
      <c r="AJ921" s="5">
        <v>0.26600000000000001</v>
      </c>
      <c r="AK921" s="5">
        <v>0.41299999999999998</v>
      </c>
      <c r="AL921" s="5">
        <v>0.23</v>
      </c>
      <c r="AM921" s="5">
        <v>0.29099999999999998</v>
      </c>
      <c r="AN921">
        <v>-0.5</v>
      </c>
      <c r="AO921">
        <v>-2.3199999999999998</v>
      </c>
      <c r="AP921">
        <v>7</v>
      </c>
      <c r="AQ921">
        <v>-7.94</v>
      </c>
      <c r="AR921">
        <v>-2.4</v>
      </c>
      <c r="AS921" t="s">
        <v>1023</v>
      </c>
      <c r="AT921">
        <v>-0.7</v>
      </c>
      <c r="AU921">
        <v>-3.8</v>
      </c>
      <c r="AV921">
        <v>3</v>
      </c>
      <c r="AW921">
        <v>13</v>
      </c>
      <c r="AX921">
        <v>2</v>
      </c>
      <c r="AY921">
        <v>11</v>
      </c>
      <c r="AZ921" t="s">
        <v>4696</v>
      </c>
      <c r="BA921">
        <v>26</v>
      </c>
      <c r="BB921" t="s">
        <v>36</v>
      </c>
      <c r="BC921" t="s">
        <v>35</v>
      </c>
      <c r="BD921" s="4">
        <f>HYPERLINK("http://mlb.mlb.com/team/player.jsp?player_id=642462",642462)</f>
        <v>642462</v>
      </c>
      <c r="BE921">
        <v>0</v>
      </c>
      <c r="BF921">
        <v>0</v>
      </c>
      <c r="BG921">
        <v>0</v>
      </c>
      <c r="BH921">
        <v>0</v>
      </c>
    </row>
    <row r="922" spans="1:60" x14ac:dyDescent="0.3">
      <c r="A922" s="4">
        <f>HYPERLINK("http://legacy.baseballprospectus.com/p/104121",104121)</f>
        <v>104121</v>
      </c>
      <c r="B922" t="s">
        <v>298</v>
      </c>
      <c r="C922" t="s">
        <v>1788</v>
      </c>
      <c r="D922" s="10">
        <v>35388</v>
      </c>
      <c r="E922" t="s">
        <v>50</v>
      </c>
      <c r="F922" t="s">
        <v>9</v>
      </c>
      <c r="G922" t="s">
        <v>9</v>
      </c>
      <c r="H922">
        <v>75</v>
      </c>
      <c r="I922">
        <v>180</v>
      </c>
      <c r="J922">
        <v>2018</v>
      </c>
      <c r="K922" s="4" t="str">
        <f>HYPERLINK("http://legacy.baseballprospectus.com/fantasy/dc/index.php?tm=MIN","MIN")</f>
        <v>MIN</v>
      </c>
      <c r="L922" t="s">
        <v>95</v>
      </c>
      <c r="M922" t="s">
        <v>34</v>
      </c>
      <c r="N922">
        <v>21</v>
      </c>
      <c r="O922">
        <v>250</v>
      </c>
      <c r="P922" t="s">
        <v>1680</v>
      </c>
      <c r="Q922">
        <v>235</v>
      </c>
      <c r="R922">
        <v>25</v>
      </c>
      <c r="S922">
        <v>35</v>
      </c>
      <c r="T922">
        <v>12</v>
      </c>
      <c r="U922">
        <v>0</v>
      </c>
      <c r="V922">
        <v>8</v>
      </c>
      <c r="W922">
        <v>55</v>
      </c>
      <c r="X922">
        <v>91</v>
      </c>
      <c r="Y922">
        <v>31</v>
      </c>
      <c r="Z922">
        <v>11</v>
      </c>
      <c r="AA922">
        <v>2</v>
      </c>
      <c r="AB922">
        <v>2</v>
      </c>
      <c r="AC922">
        <v>63</v>
      </c>
      <c r="AD922">
        <v>0</v>
      </c>
      <c r="AE922">
        <v>2</v>
      </c>
      <c r="AF922">
        <v>6</v>
      </c>
      <c r="AG922">
        <v>0</v>
      </c>
      <c r="AH922">
        <v>0</v>
      </c>
      <c r="AI922" s="5">
        <v>0.23699999999999999</v>
      </c>
      <c r="AJ922" s="5">
        <v>0.27600000000000002</v>
      </c>
      <c r="AK922" s="5">
        <v>0.39800000000000002</v>
      </c>
      <c r="AL922" s="5">
        <v>0.216</v>
      </c>
      <c r="AM922" s="5">
        <v>0.28599999999999998</v>
      </c>
      <c r="AN922">
        <v>-0.5</v>
      </c>
      <c r="AO922">
        <v>-2.31</v>
      </c>
      <c r="AP922">
        <v>7</v>
      </c>
      <c r="AQ922">
        <v>-11.45</v>
      </c>
      <c r="AR922">
        <v>0.5</v>
      </c>
      <c r="AS922" t="s">
        <v>77</v>
      </c>
      <c r="AT922">
        <v>-0.7</v>
      </c>
      <c r="AU922">
        <v>-7.2</v>
      </c>
      <c r="AV922">
        <v>0</v>
      </c>
      <c r="AW922">
        <v>0</v>
      </c>
      <c r="AX922">
        <v>0</v>
      </c>
      <c r="AY922">
        <v>3</v>
      </c>
      <c r="AZ922" t="s">
        <v>4686</v>
      </c>
      <c r="BA922">
        <v>4</v>
      </c>
      <c r="BB922" t="s">
        <v>36</v>
      </c>
      <c r="BC922" t="s">
        <v>35</v>
      </c>
      <c r="BD922" s="4">
        <f>HYPERLINK("http://mlb.mlb.com/team/player.jsp?player_id=650331",650331)</f>
        <v>650331</v>
      </c>
      <c r="BE922">
        <v>0</v>
      </c>
      <c r="BF922">
        <v>0</v>
      </c>
      <c r="BG922">
        <v>0</v>
      </c>
      <c r="BH922">
        <v>0</v>
      </c>
    </row>
    <row r="923" spans="1:60" x14ac:dyDescent="0.3">
      <c r="A923" s="4">
        <f>HYPERLINK("http://legacy.baseballprospectus.com/p/104740",104740)</f>
        <v>104740</v>
      </c>
      <c r="B923" t="s">
        <v>1962</v>
      </c>
      <c r="C923" t="s">
        <v>745</v>
      </c>
      <c r="D923" s="10">
        <v>34985</v>
      </c>
      <c r="E923" t="s">
        <v>58</v>
      </c>
      <c r="F923" t="s">
        <v>33</v>
      </c>
      <c r="G923" t="s">
        <v>33</v>
      </c>
      <c r="H923">
        <v>69</v>
      </c>
      <c r="I923">
        <v>160</v>
      </c>
      <c r="J923">
        <v>2018</v>
      </c>
      <c r="K923" s="4" t="str">
        <f>HYPERLINK("http://legacy.baseballprospectus.com/fantasy/dc/index.php?tm=KCA","KCA")</f>
        <v>KCA</v>
      </c>
      <c r="L923" t="s">
        <v>95</v>
      </c>
      <c r="M923" t="s">
        <v>34</v>
      </c>
      <c r="N923">
        <v>22</v>
      </c>
      <c r="O923">
        <v>250</v>
      </c>
      <c r="P923" t="s">
        <v>1680</v>
      </c>
      <c r="Q923">
        <v>221</v>
      </c>
      <c r="R923">
        <v>30</v>
      </c>
      <c r="S923">
        <v>33</v>
      </c>
      <c r="T923">
        <v>9</v>
      </c>
      <c r="U923">
        <v>2</v>
      </c>
      <c r="V923">
        <v>3</v>
      </c>
      <c r="W923">
        <v>47</v>
      </c>
      <c r="X923">
        <v>69</v>
      </c>
      <c r="Y923">
        <v>17</v>
      </c>
      <c r="Z923">
        <v>23</v>
      </c>
      <c r="AA923">
        <v>1</v>
      </c>
      <c r="AB923">
        <v>2</v>
      </c>
      <c r="AC923">
        <v>67</v>
      </c>
      <c r="AD923">
        <v>3</v>
      </c>
      <c r="AE923">
        <v>2</v>
      </c>
      <c r="AF923">
        <v>6</v>
      </c>
      <c r="AG923">
        <v>11</v>
      </c>
      <c r="AH923">
        <v>5</v>
      </c>
      <c r="AI923" s="5">
        <v>0.21299999999999999</v>
      </c>
      <c r="AJ923" s="5">
        <v>0.29099999999999998</v>
      </c>
      <c r="AK923" s="5">
        <v>0.312</v>
      </c>
      <c r="AL923" s="5">
        <v>0.20699999999999999</v>
      </c>
      <c r="AM923" s="5">
        <v>0.28199999999999997</v>
      </c>
      <c r="AN923">
        <v>0.6</v>
      </c>
      <c r="AO923">
        <v>3.37</v>
      </c>
      <c r="AP923">
        <v>7</v>
      </c>
      <c r="AQ923">
        <v>-13.83</v>
      </c>
      <c r="AR923">
        <v>-3.1</v>
      </c>
      <c r="AS923" t="s">
        <v>79</v>
      </c>
      <c r="AT923">
        <v>-0.7</v>
      </c>
      <c r="AU923">
        <v>-2.9</v>
      </c>
      <c r="AV923">
        <v>8</v>
      </c>
      <c r="AW923">
        <v>8</v>
      </c>
      <c r="AX923">
        <v>3</v>
      </c>
      <c r="AY923">
        <v>5</v>
      </c>
      <c r="AZ923" t="s">
        <v>4699</v>
      </c>
      <c r="BA923">
        <v>12</v>
      </c>
      <c r="BB923" t="s">
        <v>36</v>
      </c>
      <c r="BC923" t="s">
        <v>35</v>
      </c>
      <c r="BD923" s="4">
        <f>HYPERLINK("http://mlb.mlb.com/team/player.jsp?player_id=656274",656274)</f>
        <v>656274</v>
      </c>
      <c r="BE923">
        <v>0</v>
      </c>
      <c r="BF923">
        <v>0</v>
      </c>
      <c r="BG923">
        <v>0</v>
      </c>
      <c r="BH923">
        <v>0</v>
      </c>
    </row>
    <row r="924" spans="1:60" x14ac:dyDescent="0.3">
      <c r="A924" s="4">
        <f>HYPERLINK("http://legacy.baseballprospectus.com/p/106548",106548)</f>
        <v>106548</v>
      </c>
      <c r="B924" t="s">
        <v>1790</v>
      </c>
      <c r="C924" t="s">
        <v>150</v>
      </c>
      <c r="D924" s="10">
        <v>35603</v>
      </c>
      <c r="E924" t="s">
        <v>50</v>
      </c>
      <c r="F924" t="s">
        <v>9</v>
      </c>
      <c r="G924" t="s">
        <v>9</v>
      </c>
      <c r="H924">
        <v>72</v>
      </c>
      <c r="I924">
        <v>225</v>
      </c>
      <c r="J924">
        <v>2018</v>
      </c>
      <c r="K924" s="4" t="str">
        <f>HYPERLINK("http://legacy.baseballprospectus.com/fantasy/dc/index.php?tm=SDN","SDN")</f>
        <v>SDN</v>
      </c>
      <c r="L924" t="s">
        <v>100</v>
      </c>
      <c r="M924" t="s">
        <v>34</v>
      </c>
      <c r="N924">
        <v>21</v>
      </c>
      <c r="O924">
        <v>250</v>
      </c>
      <c r="P924" t="s">
        <v>1680</v>
      </c>
      <c r="Q924">
        <v>232</v>
      </c>
      <c r="R924">
        <v>25</v>
      </c>
      <c r="S924">
        <v>34</v>
      </c>
      <c r="T924">
        <v>11</v>
      </c>
      <c r="U924">
        <v>1</v>
      </c>
      <c r="V924">
        <v>7</v>
      </c>
      <c r="W924">
        <v>53</v>
      </c>
      <c r="X924">
        <v>87</v>
      </c>
      <c r="Y924">
        <v>29</v>
      </c>
      <c r="Z924">
        <v>15</v>
      </c>
      <c r="AA924">
        <v>1</v>
      </c>
      <c r="AB924">
        <v>1</v>
      </c>
      <c r="AC924">
        <v>59</v>
      </c>
      <c r="AD924">
        <v>1</v>
      </c>
      <c r="AE924">
        <v>1</v>
      </c>
      <c r="AF924">
        <v>5</v>
      </c>
      <c r="AG924">
        <v>1</v>
      </c>
      <c r="AH924">
        <v>0</v>
      </c>
      <c r="AI924" s="5">
        <v>0.23100000000000001</v>
      </c>
      <c r="AJ924" s="5">
        <v>0.28100000000000003</v>
      </c>
      <c r="AK924" s="5">
        <v>0.38</v>
      </c>
      <c r="AL924" s="5">
        <v>0.22700000000000001</v>
      </c>
      <c r="AM924" s="5">
        <v>0.27600000000000002</v>
      </c>
      <c r="AN924">
        <v>-0.3</v>
      </c>
      <c r="AO924">
        <v>-2.2599999999999998</v>
      </c>
      <c r="AP924">
        <v>7</v>
      </c>
      <c r="AQ924">
        <v>-8.76</v>
      </c>
      <c r="AR924">
        <v>-2.1</v>
      </c>
      <c r="AS924" t="s">
        <v>1023</v>
      </c>
      <c r="AT924">
        <v>-0.7</v>
      </c>
      <c r="AU924">
        <v>-4.3</v>
      </c>
      <c r="AV924">
        <v>1</v>
      </c>
      <c r="AW924">
        <v>5</v>
      </c>
      <c r="AX924">
        <v>2</v>
      </c>
      <c r="AY924">
        <v>7</v>
      </c>
      <c r="AZ924" t="s">
        <v>4702</v>
      </c>
      <c r="BA924">
        <v>10</v>
      </c>
      <c r="BB924" t="s">
        <v>36</v>
      </c>
      <c r="BC924" t="s">
        <v>35</v>
      </c>
      <c r="BD924" s="4">
        <f>HYPERLINK("http://mlb.mlb.com/team/player.jsp?player_id=647304",647304)</f>
        <v>647304</v>
      </c>
      <c r="BE924">
        <v>1444</v>
      </c>
      <c r="BF924">
        <v>444</v>
      </c>
      <c r="BG924">
        <v>0</v>
      </c>
      <c r="BH924">
        <v>0</v>
      </c>
    </row>
    <row r="925" spans="1:60" x14ac:dyDescent="0.3">
      <c r="A925" s="4">
        <f>HYPERLINK("http://legacy.baseballprospectus.com/p/107646",107646)</f>
        <v>107646</v>
      </c>
      <c r="B925" t="s">
        <v>257</v>
      </c>
      <c r="C925" t="s">
        <v>266</v>
      </c>
      <c r="D925" s="10">
        <v>34736</v>
      </c>
      <c r="E925" t="s">
        <v>54</v>
      </c>
      <c r="F925" t="s">
        <v>9</v>
      </c>
      <c r="G925" t="s">
        <v>33</v>
      </c>
      <c r="H925">
        <v>75</v>
      </c>
      <c r="I925">
        <v>220</v>
      </c>
      <c r="J925">
        <v>2018</v>
      </c>
      <c r="K925" s="4" t="str">
        <f>HYPERLINK("http://legacy.baseballprospectus.com/fantasy/dc/index.php?tm=CHA","CHA")</f>
        <v>CHA</v>
      </c>
      <c r="L925" t="s">
        <v>95</v>
      </c>
      <c r="M925" t="s">
        <v>34</v>
      </c>
      <c r="N925">
        <v>23</v>
      </c>
      <c r="O925">
        <v>250</v>
      </c>
      <c r="P925" t="s">
        <v>1680</v>
      </c>
      <c r="Q925">
        <v>206</v>
      </c>
      <c r="R925">
        <v>31</v>
      </c>
      <c r="S925">
        <v>23</v>
      </c>
      <c r="T925">
        <v>8</v>
      </c>
      <c r="U925">
        <v>1</v>
      </c>
      <c r="V925">
        <v>10</v>
      </c>
      <c r="W925">
        <v>42</v>
      </c>
      <c r="X925">
        <v>82</v>
      </c>
      <c r="Y925">
        <v>33</v>
      </c>
      <c r="Z925">
        <v>39</v>
      </c>
      <c r="AA925">
        <v>1</v>
      </c>
      <c r="AB925">
        <v>2</v>
      </c>
      <c r="AC925">
        <v>81</v>
      </c>
      <c r="AD925">
        <v>1</v>
      </c>
      <c r="AE925">
        <v>1</v>
      </c>
      <c r="AF925">
        <v>6</v>
      </c>
      <c r="AG925">
        <v>0</v>
      </c>
      <c r="AH925">
        <v>0</v>
      </c>
      <c r="AI925" s="5">
        <v>0.20799999999999999</v>
      </c>
      <c r="AJ925" s="5">
        <v>0.33800000000000002</v>
      </c>
      <c r="AK925" s="5">
        <v>0.40600000000000003</v>
      </c>
      <c r="AL925" s="5">
        <v>0.253</v>
      </c>
      <c r="AM925" s="5">
        <v>0.27600000000000002</v>
      </c>
      <c r="AN925">
        <v>-0.4</v>
      </c>
      <c r="AO925">
        <v>5.08</v>
      </c>
      <c r="AP925">
        <v>7</v>
      </c>
      <c r="AQ925">
        <v>-1.84</v>
      </c>
      <c r="AR925">
        <v>-16.3</v>
      </c>
      <c r="AS925" t="s">
        <v>4703</v>
      </c>
      <c r="AT925">
        <v>-0.7</v>
      </c>
      <c r="AU925">
        <v>9.8000000000000007</v>
      </c>
      <c r="AV925">
        <v>8</v>
      </c>
      <c r="AW925">
        <v>17</v>
      </c>
      <c r="AX925">
        <v>7</v>
      </c>
      <c r="AY925">
        <v>18</v>
      </c>
      <c r="AZ925" t="s">
        <v>4704</v>
      </c>
      <c r="BA925">
        <v>45</v>
      </c>
      <c r="BB925" t="s">
        <v>36</v>
      </c>
      <c r="BC925" t="s">
        <v>35</v>
      </c>
      <c r="BD925" s="4">
        <f>HYPERLINK("http://mlb.mlb.com/team/player.jsp?player_id=641470",641470)</f>
        <v>641470</v>
      </c>
      <c r="BE925">
        <v>392</v>
      </c>
      <c r="BF925">
        <v>1392</v>
      </c>
      <c r="BG925">
        <v>0</v>
      </c>
      <c r="BH925">
        <v>0</v>
      </c>
    </row>
    <row r="926" spans="1:60" x14ac:dyDescent="0.3">
      <c r="A926" s="4">
        <f>HYPERLINK("http://legacy.baseballprospectus.com/p/109755",109755)</f>
        <v>109755</v>
      </c>
      <c r="B926" t="s">
        <v>4708</v>
      </c>
      <c r="C926" t="s">
        <v>4709</v>
      </c>
      <c r="D926" s="10">
        <v>36003</v>
      </c>
      <c r="E926" t="s">
        <v>53</v>
      </c>
      <c r="F926" t="s">
        <v>33</v>
      </c>
      <c r="G926" t="s">
        <v>33</v>
      </c>
      <c r="H926">
        <v>71</v>
      </c>
      <c r="I926">
        <v>180</v>
      </c>
      <c r="J926">
        <v>2018</v>
      </c>
      <c r="K926" s="4" t="str">
        <f>HYPERLINK("http://legacy.baseballprospectus.com/fantasy/dc/index.php?tm=CIN","CIN")</f>
        <v>CIN</v>
      </c>
      <c r="L926" t="s">
        <v>100</v>
      </c>
      <c r="M926" t="s">
        <v>34</v>
      </c>
      <c r="N926">
        <v>19</v>
      </c>
      <c r="O926">
        <v>250</v>
      </c>
      <c r="P926" t="s">
        <v>1680</v>
      </c>
      <c r="Q926">
        <v>227</v>
      </c>
      <c r="R926">
        <v>28</v>
      </c>
      <c r="S926">
        <v>28</v>
      </c>
      <c r="T926">
        <v>8</v>
      </c>
      <c r="U926">
        <v>1</v>
      </c>
      <c r="V926">
        <v>7</v>
      </c>
      <c r="W926">
        <v>44</v>
      </c>
      <c r="X926">
        <v>75</v>
      </c>
      <c r="Y926">
        <v>23</v>
      </c>
      <c r="Z926">
        <v>19</v>
      </c>
      <c r="AA926">
        <v>1</v>
      </c>
      <c r="AB926">
        <v>2</v>
      </c>
      <c r="AC926">
        <v>78</v>
      </c>
      <c r="AD926">
        <v>1</v>
      </c>
      <c r="AE926">
        <v>1</v>
      </c>
      <c r="AF926">
        <v>6</v>
      </c>
      <c r="AG926">
        <v>2</v>
      </c>
      <c r="AH926">
        <v>1</v>
      </c>
      <c r="AI926" s="5">
        <v>0.19600000000000001</v>
      </c>
      <c r="AJ926" s="5">
        <v>0.26100000000000001</v>
      </c>
      <c r="AK926" s="5">
        <v>0.33300000000000002</v>
      </c>
      <c r="AL926" s="5">
        <v>0.19700000000000001</v>
      </c>
      <c r="AM926" s="5">
        <v>0.26100000000000001</v>
      </c>
      <c r="AN926">
        <v>-0.2</v>
      </c>
      <c r="AO926">
        <v>4.2699999999999996</v>
      </c>
      <c r="AP926">
        <v>7</v>
      </c>
      <c r="AQ926">
        <v>-16.579999999999998</v>
      </c>
      <c r="AR926">
        <v>-1.1000000000000001</v>
      </c>
      <c r="AS926" t="s">
        <v>73</v>
      </c>
      <c r="AT926">
        <v>-0.7</v>
      </c>
      <c r="AU926">
        <v>-5.6</v>
      </c>
      <c r="AV926">
        <v>0</v>
      </c>
      <c r="AW926">
        <v>4</v>
      </c>
      <c r="AX926">
        <v>1</v>
      </c>
      <c r="AY926">
        <v>6</v>
      </c>
      <c r="AZ926" t="s">
        <v>1951</v>
      </c>
      <c r="BA926">
        <v>10</v>
      </c>
      <c r="BB926" t="s">
        <v>36</v>
      </c>
      <c r="BC926" t="s">
        <v>35</v>
      </c>
      <c r="BD926" s="4">
        <f>HYPERLINK("http://mlb.mlb.com/team/player.jsp?player_id=669023",669023)</f>
        <v>669023</v>
      </c>
      <c r="BE926">
        <v>1554</v>
      </c>
      <c r="BF926">
        <v>554</v>
      </c>
      <c r="BG926">
        <v>0</v>
      </c>
      <c r="BH926">
        <v>0</v>
      </c>
    </row>
    <row r="927" spans="1:60" x14ac:dyDescent="0.3">
      <c r="A927" s="4">
        <f>HYPERLINK("http://legacy.baseballprospectus.com/p/110664",110664)</f>
        <v>110664</v>
      </c>
      <c r="B927" t="s">
        <v>127</v>
      </c>
      <c r="C927" t="s">
        <v>304</v>
      </c>
      <c r="D927" s="10">
        <v>35645</v>
      </c>
      <c r="E927" t="s">
        <v>65</v>
      </c>
      <c r="F927" t="s">
        <v>33</v>
      </c>
      <c r="G927" t="s">
        <v>33</v>
      </c>
      <c r="H927">
        <v>75</v>
      </c>
      <c r="I927">
        <v>185</v>
      </c>
      <c r="J927">
        <v>2018</v>
      </c>
      <c r="K927" s="4" t="str">
        <f>HYPERLINK("http://legacy.baseballprospectus.com/fantasy/dc/index.php?tm=CHA","CHA")</f>
        <v>CHA</v>
      </c>
      <c r="L927" t="s">
        <v>95</v>
      </c>
      <c r="M927" t="s">
        <v>34</v>
      </c>
      <c r="N927">
        <v>20</v>
      </c>
      <c r="O927">
        <v>250</v>
      </c>
      <c r="P927" t="s">
        <v>1680</v>
      </c>
      <c r="Q927">
        <v>223</v>
      </c>
      <c r="R927">
        <v>27</v>
      </c>
      <c r="S927">
        <v>27</v>
      </c>
      <c r="T927">
        <v>8</v>
      </c>
      <c r="U927">
        <v>1</v>
      </c>
      <c r="V927">
        <v>7</v>
      </c>
      <c r="W927">
        <v>43</v>
      </c>
      <c r="X927">
        <v>74</v>
      </c>
      <c r="Y927">
        <v>26</v>
      </c>
      <c r="Z927">
        <v>20</v>
      </c>
      <c r="AA927">
        <v>2</v>
      </c>
      <c r="AB927">
        <v>4</v>
      </c>
      <c r="AC927">
        <v>85</v>
      </c>
      <c r="AD927">
        <v>1</v>
      </c>
      <c r="AE927">
        <v>1</v>
      </c>
      <c r="AF927">
        <v>6</v>
      </c>
      <c r="AG927">
        <v>7</v>
      </c>
      <c r="AH927">
        <v>2</v>
      </c>
      <c r="AI927" s="5">
        <v>0.19400000000000001</v>
      </c>
      <c r="AJ927" s="5">
        <v>0.27100000000000002</v>
      </c>
      <c r="AK927" s="5">
        <v>0.33</v>
      </c>
      <c r="AL927" s="5">
        <v>0.20399999999999999</v>
      </c>
      <c r="AM927" s="5">
        <v>0.27</v>
      </c>
      <c r="AN927">
        <v>0.4</v>
      </c>
      <c r="AO927">
        <v>2.75</v>
      </c>
      <c r="AP927">
        <v>7</v>
      </c>
      <c r="AQ927">
        <v>-14.59</v>
      </c>
      <c r="AR927">
        <v>-1.9</v>
      </c>
      <c r="AS927" t="s">
        <v>81</v>
      </c>
      <c r="AT927">
        <v>-0.7</v>
      </c>
      <c r="AU927">
        <v>-4.5</v>
      </c>
      <c r="AV927">
        <v>1</v>
      </c>
      <c r="AW927">
        <v>4</v>
      </c>
      <c r="AX927">
        <v>0</v>
      </c>
      <c r="AY927">
        <v>3</v>
      </c>
      <c r="AZ927" t="s">
        <v>4713</v>
      </c>
      <c r="BA927">
        <v>6</v>
      </c>
      <c r="BB927" t="s">
        <v>36</v>
      </c>
      <c r="BC927" t="s">
        <v>35</v>
      </c>
      <c r="BD927" s="4">
        <f>HYPERLINK("http://mlb.mlb.com/team/player.jsp?player_id=673357",673357)</f>
        <v>673357</v>
      </c>
      <c r="BE927">
        <v>646</v>
      </c>
      <c r="BF927">
        <v>1646</v>
      </c>
      <c r="BG927">
        <v>0</v>
      </c>
      <c r="BH927">
        <v>0</v>
      </c>
    </row>
    <row r="928" spans="1:60" x14ac:dyDescent="0.3">
      <c r="A928" s="4">
        <f>HYPERLINK("http://legacy.baseballprospectus.com/p/110906",110906)</f>
        <v>110906</v>
      </c>
      <c r="B928" t="s">
        <v>654</v>
      </c>
      <c r="C928" t="s">
        <v>586</v>
      </c>
      <c r="D928" s="10">
        <v>36494</v>
      </c>
      <c r="E928" t="s">
        <v>53</v>
      </c>
      <c r="F928" t="s">
        <v>9</v>
      </c>
      <c r="G928" t="s">
        <v>33</v>
      </c>
      <c r="H928">
        <v>71</v>
      </c>
      <c r="I928">
        <v>150</v>
      </c>
      <c r="J928">
        <v>2018</v>
      </c>
      <c r="K928" s="4" t="str">
        <f>HYPERLINK("http://legacy.baseballprospectus.com/fantasy/dc/index.php?tm=LAN","LAN")</f>
        <v>LAN</v>
      </c>
      <c r="L928" t="s">
        <v>100</v>
      </c>
      <c r="M928" t="s">
        <v>34</v>
      </c>
      <c r="N928">
        <v>18</v>
      </c>
      <c r="O928">
        <v>250</v>
      </c>
      <c r="P928" t="s">
        <v>1680</v>
      </c>
      <c r="Q928">
        <v>230</v>
      </c>
      <c r="R928">
        <v>26</v>
      </c>
      <c r="S928">
        <v>30</v>
      </c>
      <c r="T928">
        <v>9</v>
      </c>
      <c r="U928">
        <v>1</v>
      </c>
      <c r="V928">
        <v>6</v>
      </c>
      <c r="W928">
        <v>46</v>
      </c>
      <c r="X928">
        <v>75</v>
      </c>
      <c r="Y928">
        <v>22</v>
      </c>
      <c r="Z928">
        <v>17</v>
      </c>
      <c r="AA928">
        <v>1</v>
      </c>
      <c r="AB928">
        <v>1</v>
      </c>
      <c r="AC928">
        <v>75</v>
      </c>
      <c r="AD928">
        <v>1</v>
      </c>
      <c r="AE928">
        <v>2</v>
      </c>
      <c r="AF928">
        <v>6</v>
      </c>
      <c r="AG928">
        <v>2</v>
      </c>
      <c r="AH928">
        <v>2</v>
      </c>
      <c r="AI928" s="5">
        <v>0.19900000000000001</v>
      </c>
      <c r="AJ928" s="5">
        <v>0.254</v>
      </c>
      <c r="AK928" s="5">
        <v>0.32600000000000001</v>
      </c>
      <c r="AL928" s="5">
        <v>0.2</v>
      </c>
      <c r="AM928" s="5">
        <v>0.26100000000000001</v>
      </c>
      <c r="AN928">
        <v>-0.6</v>
      </c>
      <c r="AO928">
        <v>3.87</v>
      </c>
      <c r="AP928">
        <v>7</v>
      </c>
      <c r="AQ928">
        <v>-15.77</v>
      </c>
      <c r="AR928">
        <v>-1.1000000000000001</v>
      </c>
      <c r="AS928" t="s">
        <v>1008</v>
      </c>
      <c r="AT928">
        <v>-0.7</v>
      </c>
      <c r="AU928">
        <v>-5.5</v>
      </c>
      <c r="AV928">
        <v>0</v>
      </c>
      <c r="AW928">
        <v>0</v>
      </c>
      <c r="AX928">
        <v>0</v>
      </c>
      <c r="AY928">
        <v>0</v>
      </c>
      <c r="AZ928" t="s">
        <v>1886</v>
      </c>
      <c r="BA928">
        <v>0</v>
      </c>
      <c r="BB928" t="s">
        <v>36</v>
      </c>
      <c r="BC928" t="s">
        <v>35</v>
      </c>
      <c r="BD928" s="4">
        <f>HYPERLINK("http://mlb.mlb.com/team/player.jsp?player_id=672766",672766)</f>
        <v>672766</v>
      </c>
      <c r="BE928">
        <v>0</v>
      </c>
      <c r="BF928">
        <v>0</v>
      </c>
      <c r="BG928">
        <v>0</v>
      </c>
      <c r="BH928">
        <v>0</v>
      </c>
    </row>
    <row r="929" spans="1:60" x14ac:dyDescent="0.3">
      <c r="A929" s="4">
        <f>HYPERLINK("http://legacy.baseballprospectus.com/p/111018",111018)</f>
        <v>111018</v>
      </c>
      <c r="B929" t="s">
        <v>4689</v>
      </c>
      <c r="C929" t="s">
        <v>102</v>
      </c>
      <c r="D929" s="10">
        <v>36209</v>
      </c>
      <c r="E929" t="s">
        <v>53</v>
      </c>
      <c r="F929" t="s">
        <v>33</v>
      </c>
      <c r="G929" t="s">
        <v>33</v>
      </c>
      <c r="H929">
        <v>74</v>
      </c>
      <c r="I929">
        <v>194</v>
      </c>
      <c r="J929">
        <v>2018</v>
      </c>
      <c r="K929" s="4" t="str">
        <f>HYPERLINK("http://legacy.baseballprospectus.com/fantasy/dc/index.php?tm=COL","COL")</f>
        <v>COL</v>
      </c>
      <c r="L929" t="s">
        <v>100</v>
      </c>
      <c r="M929" t="s">
        <v>34</v>
      </c>
      <c r="N929">
        <v>19</v>
      </c>
      <c r="O929">
        <v>250</v>
      </c>
      <c r="P929" t="s">
        <v>1680</v>
      </c>
      <c r="Q929">
        <v>225</v>
      </c>
      <c r="R929">
        <v>24</v>
      </c>
      <c r="S929">
        <v>29</v>
      </c>
      <c r="T929">
        <v>9</v>
      </c>
      <c r="U929">
        <v>1</v>
      </c>
      <c r="V929">
        <v>6</v>
      </c>
      <c r="W929">
        <v>45</v>
      </c>
      <c r="X929">
        <v>74</v>
      </c>
      <c r="Y929">
        <v>26</v>
      </c>
      <c r="Z929">
        <v>22</v>
      </c>
      <c r="AA929">
        <v>1</v>
      </c>
      <c r="AB929">
        <v>1</v>
      </c>
      <c r="AC929">
        <v>82</v>
      </c>
      <c r="AD929">
        <v>1</v>
      </c>
      <c r="AE929">
        <v>1</v>
      </c>
      <c r="AF929">
        <v>7</v>
      </c>
      <c r="AG929">
        <v>2</v>
      </c>
      <c r="AH929">
        <v>1</v>
      </c>
      <c r="AI929" s="5">
        <v>0.20100000000000001</v>
      </c>
      <c r="AJ929" s="5">
        <v>0.27300000000000002</v>
      </c>
      <c r="AK929" s="5">
        <v>0.33500000000000002</v>
      </c>
      <c r="AL929" s="5">
        <v>0.19900000000000001</v>
      </c>
      <c r="AM929" s="5">
        <v>0.28100000000000003</v>
      </c>
      <c r="AN929">
        <v>-0.3</v>
      </c>
      <c r="AO929">
        <v>4.13</v>
      </c>
      <c r="AP929">
        <v>7</v>
      </c>
      <c r="AQ929">
        <v>-15.96</v>
      </c>
      <c r="AR929">
        <v>-1.2</v>
      </c>
      <c r="AS929" t="s">
        <v>73</v>
      </c>
      <c r="AT929">
        <v>-0.7</v>
      </c>
      <c r="AU929">
        <v>-5.2</v>
      </c>
      <c r="AV929">
        <v>0</v>
      </c>
      <c r="AW929">
        <v>5</v>
      </c>
      <c r="AX929">
        <v>2</v>
      </c>
      <c r="AY929">
        <v>8</v>
      </c>
      <c r="AZ929" t="s">
        <v>1986</v>
      </c>
      <c r="BA929">
        <v>13</v>
      </c>
      <c r="BB929" t="s">
        <v>36</v>
      </c>
      <c r="BC929" t="s">
        <v>35</v>
      </c>
      <c r="BD929" s="4">
        <f>HYPERLINK("http://mlb.mlb.com/team/player.jsp?player_id=668723",668723)</f>
        <v>668723</v>
      </c>
      <c r="BE929">
        <v>1517</v>
      </c>
      <c r="BF929">
        <v>517</v>
      </c>
      <c r="BG929">
        <v>0</v>
      </c>
      <c r="BH929">
        <v>0</v>
      </c>
    </row>
    <row r="930" spans="1:60" x14ac:dyDescent="0.3">
      <c r="A930" s="4">
        <f>HYPERLINK("http://legacy.baseballprospectus.com/p/45386",45386)</f>
        <v>45386</v>
      </c>
      <c r="B930" t="s">
        <v>4690</v>
      </c>
      <c r="C930" t="s">
        <v>142</v>
      </c>
      <c r="D930" s="10">
        <v>29658</v>
      </c>
      <c r="E930" t="s">
        <v>51</v>
      </c>
      <c r="F930" t="s">
        <v>33</v>
      </c>
      <c r="G930" t="s">
        <v>33</v>
      </c>
      <c r="H930">
        <v>70</v>
      </c>
      <c r="I930">
        <v>205</v>
      </c>
      <c r="J930">
        <v>2018</v>
      </c>
      <c r="K930" s="4" t="str">
        <f>HYPERLINK("http://legacy.baseballprospectus.com/fantasy/dc/index.php?tm=MIA","MIA")</f>
        <v>MIA</v>
      </c>
      <c r="L930" t="s">
        <v>100</v>
      </c>
      <c r="M930" t="s">
        <v>34</v>
      </c>
      <c r="N930">
        <v>37</v>
      </c>
      <c r="O930">
        <v>250</v>
      </c>
      <c r="P930" t="s">
        <v>1680</v>
      </c>
      <c r="Q930">
        <v>229</v>
      </c>
      <c r="R930">
        <v>24</v>
      </c>
      <c r="S930">
        <v>41</v>
      </c>
      <c r="T930">
        <v>9</v>
      </c>
      <c r="U930">
        <v>1</v>
      </c>
      <c r="V930">
        <v>4</v>
      </c>
      <c r="W930">
        <v>55</v>
      </c>
      <c r="X930">
        <v>78</v>
      </c>
      <c r="Y930">
        <v>22</v>
      </c>
      <c r="Z930">
        <v>13</v>
      </c>
      <c r="AA930">
        <v>0</v>
      </c>
      <c r="AB930">
        <v>2</v>
      </c>
      <c r="AC930">
        <v>35</v>
      </c>
      <c r="AD930">
        <v>4</v>
      </c>
      <c r="AE930">
        <v>2</v>
      </c>
      <c r="AF930">
        <v>8</v>
      </c>
      <c r="AG930">
        <v>3</v>
      </c>
      <c r="AH930">
        <v>2</v>
      </c>
      <c r="AI930" s="5">
        <v>0.23799999999999999</v>
      </c>
      <c r="AJ930" s="5">
        <v>0.28199999999999997</v>
      </c>
      <c r="AK930" s="5">
        <v>0.33400000000000002</v>
      </c>
      <c r="AL930" s="5">
        <v>0.20799999999999999</v>
      </c>
      <c r="AM930" s="5">
        <v>0.25700000000000001</v>
      </c>
      <c r="AN930">
        <v>-0.8</v>
      </c>
      <c r="AO930">
        <v>1.93</v>
      </c>
      <c r="AP930">
        <v>7</v>
      </c>
      <c r="AQ930">
        <v>-13.79</v>
      </c>
      <c r="AR930">
        <v>-1.2</v>
      </c>
      <c r="AS930" t="s">
        <v>4691</v>
      </c>
      <c r="AT930">
        <v>-0.8</v>
      </c>
      <c r="AU930">
        <v>-5.6</v>
      </c>
      <c r="AV930">
        <v>2</v>
      </c>
      <c r="AW930">
        <v>27</v>
      </c>
      <c r="AX930">
        <v>3</v>
      </c>
      <c r="AY930">
        <v>16</v>
      </c>
      <c r="AZ930" t="s">
        <v>4692</v>
      </c>
      <c r="BA930">
        <v>59</v>
      </c>
      <c r="BB930" t="s">
        <v>36</v>
      </c>
      <c r="BC930" t="s">
        <v>36</v>
      </c>
      <c r="BD930" s="4">
        <f>HYPERLINK("http://mlb.mlb.com/team/player.jsp?player_id=449107",449107)</f>
        <v>449107</v>
      </c>
      <c r="BE930">
        <v>0</v>
      </c>
      <c r="BF930">
        <v>0</v>
      </c>
      <c r="BG930">
        <v>97</v>
      </c>
      <c r="BH930">
        <v>86</v>
      </c>
    </row>
    <row r="931" spans="1:60" x14ac:dyDescent="0.3">
      <c r="A931" s="4">
        <f>HYPERLINK("http://legacy.baseballprospectus.com/p/70401",70401)</f>
        <v>70401</v>
      </c>
      <c r="B931" t="s">
        <v>4718</v>
      </c>
      <c r="C931" t="s">
        <v>258</v>
      </c>
      <c r="D931" s="10">
        <v>33992</v>
      </c>
      <c r="E931" t="s">
        <v>54</v>
      </c>
      <c r="F931" t="s">
        <v>33</v>
      </c>
      <c r="G931" t="s">
        <v>33</v>
      </c>
      <c r="H931">
        <v>71</v>
      </c>
      <c r="I931">
        <v>195</v>
      </c>
      <c r="J931">
        <v>2018</v>
      </c>
      <c r="K931" s="4" t="str">
        <f>HYPERLINK("http://legacy.baseballprospectus.com/fantasy/dc/index.php?tm=ATL","ATL")</f>
        <v>ATL</v>
      </c>
      <c r="L931" t="s">
        <v>95</v>
      </c>
      <c r="M931" t="s">
        <v>34</v>
      </c>
      <c r="N931">
        <v>25</v>
      </c>
      <c r="O931">
        <v>250</v>
      </c>
      <c r="P931" t="s">
        <v>1680</v>
      </c>
      <c r="Q931">
        <v>231</v>
      </c>
      <c r="R931">
        <v>26</v>
      </c>
      <c r="S931">
        <v>31</v>
      </c>
      <c r="T931">
        <v>12</v>
      </c>
      <c r="U931">
        <v>1</v>
      </c>
      <c r="V931">
        <v>9</v>
      </c>
      <c r="W931">
        <v>53</v>
      </c>
      <c r="X931">
        <v>94</v>
      </c>
      <c r="Y931">
        <v>32</v>
      </c>
      <c r="Z931">
        <v>16</v>
      </c>
      <c r="AA931">
        <v>1</v>
      </c>
      <c r="AB931">
        <v>2</v>
      </c>
      <c r="AC931">
        <v>66</v>
      </c>
      <c r="AD931">
        <v>0</v>
      </c>
      <c r="AE931">
        <v>1</v>
      </c>
      <c r="AF931">
        <v>8</v>
      </c>
      <c r="AG931">
        <v>0</v>
      </c>
      <c r="AH931">
        <v>0</v>
      </c>
      <c r="AI931" s="5">
        <v>0.22800000000000001</v>
      </c>
      <c r="AJ931" s="5">
        <v>0.28199999999999997</v>
      </c>
      <c r="AK931" s="5">
        <v>0.4</v>
      </c>
      <c r="AL931" s="5">
        <v>0.23100000000000001</v>
      </c>
      <c r="AM931" s="5">
        <v>0.27800000000000002</v>
      </c>
      <c r="AN931">
        <v>-0.5</v>
      </c>
      <c r="AO931">
        <v>5.22</v>
      </c>
      <c r="AP931">
        <v>7</v>
      </c>
      <c r="AQ931">
        <v>-7.65</v>
      </c>
      <c r="AR931">
        <v>-11.4</v>
      </c>
      <c r="AS931" t="s">
        <v>1819</v>
      </c>
      <c r="AT931">
        <v>-0.8</v>
      </c>
      <c r="AU931">
        <v>4.0999999999999996</v>
      </c>
      <c r="AV931">
        <v>1</v>
      </c>
      <c r="AW931">
        <v>7</v>
      </c>
      <c r="AX931">
        <v>13</v>
      </c>
      <c r="AY931">
        <v>18</v>
      </c>
      <c r="AZ931" t="s">
        <v>4719</v>
      </c>
      <c r="BA931">
        <v>30</v>
      </c>
      <c r="BB931" t="s">
        <v>36</v>
      </c>
      <c r="BC931" t="s">
        <v>35</v>
      </c>
      <c r="BD931" s="4">
        <f>HYPERLINK("http://mlb.mlb.com/team/player.jsp?player_id=596028",596028)</f>
        <v>596028</v>
      </c>
      <c r="BE931">
        <v>0</v>
      </c>
      <c r="BF931">
        <v>0</v>
      </c>
      <c r="BG931">
        <v>0</v>
      </c>
      <c r="BH931">
        <v>0</v>
      </c>
    </row>
    <row r="932" spans="1:60" x14ac:dyDescent="0.3">
      <c r="A932" s="4">
        <f>HYPERLINK("http://legacy.baseballprospectus.com/p/104047",104047)</f>
        <v>104047</v>
      </c>
      <c r="B932" t="s">
        <v>346</v>
      </c>
      <c r="C932" t="s">
        <v>124</v>
      </c>
      <c r="D932" s="10">
        <v>35657</v>
      </c>
      <c r="E932" t="s">
        <v>51</v>
      </c>
      <c r="F932" t="s">
        <v>33</v>
      </c>
      <c r="G932" t="s">
        <v>33</v>
      </c>
      <c r="H932">
        <v>75</v>
      </c>
      <c r="I932">
        <v>190</v>
      </c>
      <c r="J932">
        <v>2018</v>
      </c>
      <c r="K932" s="4" t="str">
        <f>HYPERLINK("http://legacy.baseballprospectus.com/fantasy/dc/index.php?tm=WAS","WAS")</f>
        <v>WAS</v>
      </c>
      <c r="L932" t="s">
        <v>100</v>
      </c>
      <c r="M932" t="s">
        <v>34</v>
      </c>
      <c r="N932">
        <v>20</v>
      </c>
      <c r="O932">
        <v>250</v>
      </c>
      <c r="P932" t="s">
        <v>1680</v>
      </c>
      <c r="Q932">
        <v>229</v>
      </c>
      <c r="R932">
        <v>24</v>
      </c>
      <c r="S932">
        <v>30</v>
      </c>
      <c r="T932">
        <v>10</v>
      </c>
      <c r="U932">
        <v>0</v>
      </c>
      <c r="V932">
        <v>8</v>
      </c>
      <c r="W932">
        <v>48</v>
      </c>
      <c r="X932">
        <v>82</v>
      </c>
      <c r="Y932">
        <v>29</v>
      </c>
      <c r="Z932">
        <v>18</v>
      </c>
      <c r="AA932">
        <v>1</v>
      </c>
      <c r="AB932">
        <v>1</v>
      </c>
      <c r="AC932">
        <v>69</v>
      </c>
      <c r="AD932">
        <v>1</v>
      </c>
      <c r="AE932">
        <v>2</v>
      </c>
      <c r="AF932">
        <v>7</v>
      </c>
      <c r="AG932">
        <v>0</v>
      </c>
      <c r="AH932">
        <v>0</v>
      </c>
      <c r="AI932" s="5">
        <v>0.21199999999999999</v>
      </c>
      <c r="AJ932" s="5">
        <v>0.26900000000000002</v>
      </c>
      <c r="AK932" s="5">
        <v>0.36499999999999999</v>
      </c>
      <c r="AL932" s="5">
        <v>0.21</v>
      </c>
      <c r="AM932" s="5">
        <v>0.26300000000000001</v>
      </c>
      <c r="AN932">
        <v>-0.4</v>
      </c>
      <c r="AO932">
        <v>0.38</v>
      </c>
      <c r="AP932">
        <v>7</v>
      </c>
      <c r="AQ932">
        <v>-13.25</v>
      </c>
      <c r="AR932">
        <v>-0.5</v>
      </c>
      <c r="AS932" t="s">
        <v>1691</v>
      </c>
      <c r="AT932">
        <v>-0.8</v>
      </c>
      <c r="AU932">
        <v>-6.3</v>
      </c>
      <c r="AV932">
        <v>2</v>
      </c>
      <c r="AW932">
        <v>5</v>
      </c>
      <c r="AX932">
        <v>0</v>
      </c>
      <c r="AY932">
        <v>2</v>
      </c>
      <c r="AZ932" t="s">
        <v>4720</v>
      </c>
      <c r="BA932">
        <v>6</v>
      </c>
      <c r="BB932" t="s">
        <v>36</v>
      </c>
      <c r="BC932" t="s">
        <v>35</v>
      </c>
      <c r="BD932" s="4">
        <f>HYPERLINK("http://mlb.mlb.com/team/player.jsp?player_id=646404",646404)</f>
        <v>646404</v>
      </c>
      <c r="BE932">
        <v>0</v>
      </c>
      <c r="BF932">
        <v>0</v>
      </c>
      <c r="BG932">
        <v>0</v>
      </c>
      <c r="BH932">
        <v>0</v>
      </c>
    </row>
    <row r="933" spans="1:60" x14ac:dyDescent="0.3">
      <c r="A933" s="4">
        <f>HYPERLINK("http://legacy.baseballprospectus.com/p/104477",104477)</f>
        <v>104477</v>
      </c>
      <c r="B933" t="s">
        <v>4697</v>
      </c>
      <c r="C933" t="s">
        <v>4698</v>
      </c>
      <c r="D933" s="10">
        <v>35657</v>
      </c>
      <c r="E933" t="s">
        <v>65</v>
      </c>
      <c r="F933" t="s">
        <v>33</v>
      </c>
      <c r="G933" t="s">
        <v>33</v>
      </c>
      <c r="H933">
        <v>72</v>
      </c>
      <c r="I933">
        <v>160</v>
      </c>
      <c r="J933">
        <v>2018</v>
      </c>
      <c r="K933" s="4" t="str">
        <f>HYPERLINK("http://legacy.baseballprospectus.com/fantasy/dc/index.php?tm=SLN","SLN")</f>
        <v>SLN</v>
      </c>
      <c r="L933" t="s">
        <v>100</v>
      </c>
      <c r="M933" t="s">
        <v>34</v>
      </c>
      <c r="N933">
        <v>20</v>
      </c>
      <c r="O933">
        <v>250</v>
      </c>
      <c r="P933" t="s">
        <v>1680</v>
      </c>
      <c r="Q933">
        <v>232</v>
      </c>
      <c r="R933">
        <v>26</v>
      </c>
      <c r="S933">
        <v>31</v>
      </c>
      <c r="T933">
        <v>10</v>
      </c>
      <c r="U933">
        <v>0</v>
      </c>
      <c r="V933">
        <v>6</v>
      </c>
      <c r="W933">
        <v>47</v>
      </c>
      <c r="X933">
        <v>75</v>
      </c>
      <c r="Y933">
        <v>23</v>
      </c>
      <c r="Z933">
        <v>14</v>
      </c>
      <c r="AA933">
        <v>1</v>
      </c>
      <c r="AB933">
        <v>1</v>
      </c>
      <c r="AC933">
        <v>84</v>
      </c>
      <c r="AD933">
        <v>1</v>
      </c>
      <c r="AE933">
        <v>2</v>
      </c>
      <c r="AF933">
        <v>7</v>
      </c>
      <c r="AG933">
        <v>2</v>
      </c>
      <c r="AH933">
        <v>1</v>
      </c>
      <c r="AI933" s="5">
        <v>0.20499999999999999</v>
      </c>
      <c r="AJ933" s="5">
        <v>0.253</v>
      </c>
      <c r="AK933" s="5">
        <v>0.33100000000000002</v>
      </c>
      <c r="AL933" s="5">
        <v>0.19600000000000001</v>
      </c>
      <c r="AM933" s="5">
        <v>0.28599999999999998</v>
      </c>
      <c r="AN933">
        <v>-0.3</v>
      </c>
      <c r="AO933">
        <v>2.2000000000000002</v>
      </c>
      <c r="AP933">
        <v>7</v>
      </c>
      <c r="AQ933">
        <v>-16.93</v>
      </c>
      <c r="AR933">
        <v>1.1000000000000001</v>
      </c>
      <c r="AS933" t="s">
        <v>1043</v>
      </c>
      <c r="AT933">
        <v>-0.8</v>
      </c>
      <c r="AU933">
        <v>-8</v>
      </c>
      <c r="AV933">
        <v>1</v>
      </c>
      <c r="AW933">
        <v>3</v>
      </c>
      <c r="AX933">
        <v>0</v>
      </c>
      <c r="AY933">
        <v>1</v>
      </c>
      <c r="AZ933" t="s">
        <v>1980</v>
      </c>
      <c r="BA933">
        <v>4</v>
      </c>
      <c r="BB933" t="s">
        <v>36</v>
      </c>
      <c r="BC933" t="s">
        <v>35</v>
      </c>
      <c r="BD933" s="4">
        <f>HYPERLINK("http://mlb.mlb.com/team/player.jsp?player_id=650887",650887)</f>
        <v>650887</v>
      </c>
      <c r="BE933">
        <v>0</v>
      </c>
      <c r="BF933">
        <v>0</v>
      </c>
      <c r="BG933">
        <v>0</v>
      </c>
      <c r="BH933">
        <v>0</v>
      </c>
    </row>
    <row r="934" spans="1:60" x14ac:dyDescent="0.3">
      <c r="A934" s="4">
        <f>HYPERLINK("http://legacy.baseballprospectus.com/p/104593",104593)</f>
        <v>104593</v>
      </c>
      <c r="B934" t="s">
        <v>598</v>
      </c>
      <c r="C934" t="s">
        <v>1767</v>
      </c>
      <c r="D934" s="10">
        <v>35481</v>
      </c>
      <c r="E934" t="s">
        <v>51</v>
      </c>
      <c r="F934" t="s">
        <v>33</v>
      </c>
      <c r="G934" t="s">
        <v>33</v>
      </c>
      <c r="H934">
        <v>75</v>
      </c>
      <c r="I934">
        <v>220</v>
      </c>
      <c r="J934">
        <v>2018</v>
      </c>
      <c r="K934" s="4" t="str">
        <f>HYPERLINK("http://legacy.baseballprospectus.com/fantasy/dc/index.php?tm=BAL","BAL")</f>
        <v>BAL</v>
      </c>
      <c r="L934" t="s">
        <v>95</v>
      </c>
      <c r="M934" t="s">
        <v>34</v>
      </c>
      <c r="N934">
        <v>21</v>
      </c>
      <c r="O934">
        <v>250</v>
      </c>
      <c r="P934" t="s">
        <v>1680</v>
      </c>
      <c r="Q934">
        <v>236</v>
      </c>
      <c r="R934">
        <v>23</v>
      </c>
      <c r="S934">
        <v>35</v>
      </c>
      <c r="T934">
        <v>11</v>
      </c>
      <c r="U934">
        <v>1</v>
      </c>
      <c r="V934">
        <v>7</v>
      </c>
      <c r="W934">
        <v>54</v>
      </c>
      <c r="X934">
        <v>88</v>
      </c>
      <c r="Y934">
        <v>28</v>
      </c>
      <c r="Z934">
        <v>9</v>
      </c>
      <c r="AA934">
        <v>1</v>
      </c>
      <c r="AB934">
        <v>2</v>
      </c>
      <c r="AC934">
        <v>67</v>
      </c>
      <c r="AD934">
        <v>1</v>
      </c>
      <c r="AE934">
        <v>1</v>
      </c>
      <c r="AF934">
        <v>8</v>
      </c>
      <c r="AG934">
        <v>0</v>
      </c>
      <c r="AH934">
        <v>0</v>
      </c>
      <c r="AI934" s="5">
        <v>0.22700000000000001</v>
      </c>
      <c r="AJ934" s="5">
        <v>0.26200000000000001</v>
      </c>
      <c r="AK934" s="5">
        <v>0.36499999999999999</v>
      </c>
      <c r="AL934" s="5">
        <v>0.20899999999999999</v>
      </c>
      <c r="AM934" s="5">
        <v>0.28499999999999998</v>
      </c>
      <c r="AN934">
        <v>-0.4</v>
      </c>
      <c r="AO934">
        <v>1.49</v>
      </c>
      <c r="AP934">
        <v>7</v>
      </c>
      <c r="AQ934">
        <v>-13.32</v>
      </c>
      <c r="AR934">
        <v>-1.8</v>
      </c>
      <c r="AS934" t="s">
        <v>1024</v>
      </c>
      <c r="AT934">
        <v>-0.8</v>
      </c>
      <c r="AU934">
        <v>-5.2</v>
      </c>
      <c r="AV934">
        <v>0</v>
      </c>
      <c r="AW934">
        <v>0</v>
      </c>
      <c r="AX934">
        <v>0</v>
      </c>
      <c r="AY934">
        <v>3</v>
      </c>
      <c r="AZ934" t="s">
        <v>4721</v>
      </c>
      <c r="BA934">
        <v>3</v>
      </c>
      <c r="BB934" t="s">
        <v>36</v>
      </c>
      <c r="BC934" t="s">
        <v>35</v>
      </c>
      <c r="BD934" s="4">
        <f>HYPERLINK("http://mlb.mlb.com/team/player.jsp?player_id=655997",655997)</f>
        <v>655997</v>
      </c>
      <c r="BE934">
        <v>728</v>
      </c>
      <c r="BF934">
        <v>1728</v>
      </c>
      <c r="BG934">
        <v>0</v>
      </c>
      <c r="BH934">
        <v>0</v>
      </c>
    </row>
    <row r="935" spans="1:60" x14ac:dyDescent="0.3">
      <c r="A935" s="4">
        <f>HYPERLINK("http://legacy.baseballprospectus.com/p/105438",105438)</f>
        <v>105438</v>
      </c>
      <c r="B935" t="s">
        <v>4722</v>
      </c>
      <c r="C935" t="s">
        <v>108</v>
      </c>
      <c r="D935" s="10">
        <v>35277</v>
      </c>
      <c r="E935" t="s">
        <v>65</v>
      </c>
      <c r="F935" t="s">
        <v>9</v>
      </c>
      <c r="G935" t="s">
        <v>9</v>
      </c>
      <c r="H935">
        <v>70</v>
      </c>
      <c r="I935">
        <v>200</v>
      </c>
      <c r="J935">
        <v>2018</v>
      </c>
      <c r="K935" s="4" t="str">
        <f>HYPERLINK("http://legacy.baseballprospectus.com/fantasy/dc/index.php?tm=SLN","SLN")</f>
        <v>SLN</v>
      </c>
      <c r="L935" t="s">
        <v>100</v>
      </c>
      <c r="M935" t="s">
        <v>34</v>
      </c>
      <c r="N935">
        <v>21</v>
      </c>
      <c r="O935">
        <v>250</v>
      </c>
      <c r="P935" t="s">
        <v>1680</v>
      </c>
      <c r="Q935">
        <v>212</v>
      </c>
      <c r="R935">
        <v>28</v>
      </c>
      <c r="S935">
        <v>25</v>
      </c>
      <c r="T935">
        <v>8</v>
      </c>
      <c r="U935">
        <v>1</v>
      </c>
      <c r="V935">
        <v>5</v>
      </c>
      <c r="W935">
        <v>39</v>
      </c>
      <c r="X935">
        <v>64</v>
      </c>
      <c r="Y935">
        <v>19</v>
      </c>
      <c r="Z935">
        <v>30</v>
      </c>
      <c r="AA935">
        <v>1</v>
      </c>
      <c r="AB935">
        <v>5</v>
      </c>
      <c r="AC935">
        <v>87</v>
      </c>
      <c r="AD935">
        <v>1</v>
      </c>
      <c r="AE935">
        <v>1</v>
      </c>
      <c r="AF935">
        <v>6</v>
      </c>
      <c r="AG935">
        <v>2</v>
      </c>
      <c r="AH935">
        <v>2</v>
      </c>
      <c r="AI935" s="5">
        <v>0.18099999999999999</v>
      </c>
      <c r="AJ935" s="5">
        <v>0.29699999999999999</v>
      </c>
      <c r="AK935" s="5">
        <v>0.28999999999999998</v>
      </c>
      <c r="AL935" s="5">
        <v>0.20799999999999999</v>
      </c>
      <c r="AM935" s="5">
        <v>0.27600000000000002</v>
      </c>
      <c r="AN935">
        <v>-0.6</v>
      </c>
      <c r="AO935">
        <v>2.81</v>
      </c>
      <c r="AP935">
        <v>7</v>
      </c>
      <c r="AQ935">
        <v>-13.77</v>
      </c>
      <c r="AR935">
        <v>-2.6</v>
      </c>
      <c r="AS935" t="s">
        <v>1933</v>
      </c>
      <c r="AT935">
        <v>-0.8</v>
      </c>
      <c r="AU935">
        <v>-4.5999999999999996</v>
      </c>
      <c r="AV935">
        <v>0</v>
      </c>
      <c r="AW935">
        <v>0</v>
      </c>
      <c r="AX935">
        <v>0</v>
      </c>
      <c r="AY935">
        <v>0</v>
      </c>
      <c r="AZ935" t="s">
        <v>4723</v>
      </c>
      <c r="BA935">
        <v>0</v>
      </c>
      <c r="BB935" t="s">
        <v>36</v>
      </c>
      <c r="BC935" t="s">
        <v>35</v>
      </c>
      <c r="BD935" s="4">
        <f>HYPERLINK("http://mlb.mlb.com/team/player.jsp?player_id=663911",663911)</f>
        <v>663911</v>
      </c>
      <c r="BE935">
        <v>0</v>
      </c>
      <c r="BF935">
        <v>0</v>
      </c>
      <c r="BG935">
        <v>0</v>
      </c>
      <c r="BH935">
        <v>0</v>
      </c>
    </row>
    <row r="936" spans="1:60" x14ac:dyDescent="0.3">
      <c r="A936" s="4">
        <f>HYPERLINK("http://legacy.baseballprospectus.com/p/105509",105509)</f>
        <v>105509</v>
      </c>
      <c r="B936" t="s">
        <v>1983</v>
      </c>
      <c r="C936" t="s">
        <v>355</v>
      </c>
      <c r="D936" s="10">
        <v>36010</v>
      </c>
      <c r="E936" t="s">
        <v>53</v>
      </c>
      <c r="F936" t="s">
        <v>37</v>
      </c>
      <c r="G936" t="s">
        <v>33</v>
      </c>
      <c r="H936">
        <v>72</v>
      </c>
      <c r="I936">
        <v>150</v>
      </c>
      <c r="J936">
        <v>2018</v>
      </c>
      <c r="K936" s="4" t="str">
        <f>HYPERLINK("http://legacy.baseballprospectus.com/fantasy/dc/index.php?tm=HOU","HOU")</f>
        <v>HOU</v>
      </c>
      <c r="L936" t="s">
        <v>95</v>
      </c>
      <c r="M936" t="s">
        <v>34</v>
      </c>
      <c r="N936">
        <v>19</v>
      </c>
      <c r="O936">
        <v>250</v>
      </c>
      <c r="P936" t="s">
        <v>1680</v>
      </c>
      <c r="Q936">
        <v>228</v>
      </c>
      <c r="R936">
        <v>24</v>
      </c>
      <c r="S936">
        <v>32</v>
      </c>
      <c r="T936">
        <v>10</v>
      </c>
      <c r="U936">
        <v>1</v>
      </c>
      <c r="V936">
        <v>5</v>
      </c>
      <c r="W936">
        <v>48</v>
      </c>
      <c r="X936">
        <v>75</v>
      </c>
      <c r="Y936">
        <v>21</v>
      </c>
      <c r="Z936">
        <v>18</v>
      </c>
      <c r="AA936">
        <v>1</v>
      </c>
      <c r="AB936">
        <v>2</v>
      </c>
      <c r="AC936">
        <v>67</v>
      </c>
      <c r="AD936">
        <v>1</v>
      </c>
      <c r="AE936">
        <v>1</v>
      </c>
      <c r="AF936">
        <v>7</v>
      </c>
      <c r="AG936">
        <v>0</v>
      </c>
      <c r="AH936">
        <v>0</v>
      </c>
      <c r="AI936" s="5">
        <v>0.20699999999999999</v>
      </c>
      <c r="AJ936" s="5">
        <v>0.26700000000000002</v>
      </c>
      <c r="AK936" s="5">
        <v>0.32300000000000001</v>
      </c>
      <c r="AL936" s="5">
        <v>0.20200000000000001</v>
      </c>
      <c r="AM936" s="5">
        <v>0.26700000000000002</v>
      </c>
      <c r="AN936">
        <v>-0.4</v>
      </c>
      <c r="AO936">
        <v>4.0199999999999996</v>
      </c>
      <c r="AP936">
        <v>7</v>
      </c>
      <c r="AQ936">
        <v>-15.22</v>
      </c>
      <c r="AR936">
        <v>-2.2000000000000002</v>
      </c>
      <c r="AS936" t="s">
        <v>4700</v>
      </c>
      <c r="AT936">
        <v>-0.8</v>
      </c>
      <c r="AU936">
        <v>-4.5999999999999996</v>
      </c>
      <c r="AV936">
        <v>0</v>
      </c>
      <c r="AW936">
        <v>5</v>
      </c>
      <c r="AX936">
        <v>1</v>
      </c>
      <c r="AY936">
        <v>8</v>
      </c>
      <c r="AZ936" t="s">
        <v>4701</v>
      </c>
      <c r="BA936">
        <v>13</v>
      </c>
      <c r="BB936" t="s">
        <v>36</v>
      </c>
      <c r="BC936" t="s">
        <v>35</v>
      </c>
      <c r="BD936" s="4">
        <f>HYPERLINK("http://mlb.mlb.com/team/player.jsp?player_id=660620",660620)</f>
        <v>660620</v>
      </c>
      <c r="BE936">
        <v>0</v>
      </c>
      <c r="BF936">
        <v>0</v>
      </c>
      <c r="BG936">
        <v>0</v>
      </c>
      <c r="BH936">
        <v>0</v>
      </c>
    </row>
    <row r="937" spans="1:60" x14ac:dyDescent="0.3">
      <c r="A937" s="4">
        <f>HYPERLINK("http://legacy.baseballprospectus.com/p/107175",107175)</f>
        <v>107175</v>
      </c>
      <c r="B937" t="s">
        <v>544</v>
      </c>
      <c r="C937" t="s">
        <v>4725</v>
      </c>
      <c r="D937" s="10">
        <v>36117</v>
      </c>
      <c r="E937" t="s">
        <v>57</v>
      </c>
      <c r="F937" t="s">
        <v>33</v>
      </c>
      <c r="G937" t="s">
        <v>33</v>
      </c>
      <c r="H937">
        <v>75</v>
      </c>
      <c r="I937">
        <v>215</v>
      </c>
      <c r="J937">
        <v>2018</v>
      </c>
      <c r="K937" s="4" t="str">
        <f>HYPERLINK("http://legacy.baseballprospectus.com/fantasy/dc/index.php?tm=PHI","PHI")</f>
        <v>PHI</v>
      </c>
      <c r="L937" t="s">
        <v>100</v>
      </c>
      <c r="M937" t="s">
        <v>34</v>
      </c>
      <c r="N937">
        <v>19</v>
      </c>
      <c r="O937">
        <v>250</v>
      </c>
      <c r="P937" t="s">
        <v>1680</v>
      </c>
      <c r="Q937">
        <v>227</v>
      </c>
      <c r="R937">
        <v>26</v>
      </c>
      <c r="S937">
        <v>28</v>
      </c>
      <c r="T937">
        <v>9</v>
      </c>
      <c r="U937">
        <v>0</v>
      </c>
      <c r="V937">
        <v>9</v>
      </c>
      <c r="W937">
        <v>46</v>
      </c>
      <c r="X937">
        <v>82</v>
      </c>
      <c r="Y937">
        <v>31</v>
      </c>
      <c r="Z937">
        <v>18</v>
      </c>
      <c r="AA937">
        <v>1</v>
      </c>
      <c r="AB937">
        <v>3</v>
      </c>
      <c r="AC937">
        <v>81</v>
      </c>
      <c r="AD937">
        <v>1</v>
      </c>
      <c r="AE937">
        <v>1</v>
      </c>
      <c r="AF937">
        <v>6</v>
      </c>
      <c r="AG937">
        <v>1</v>
      </c>
      <c r="AH937">
        <v>0</v>
      </c>
      <c r="AI937" s="5">
        <v>0.20899999999999999</v>
      </c>
      <c r="AJ937" s="5">
        <v>0.27400000000000002</v>
      </c>
      <c r="AK937" s="5">
        <v>0.375</v>
      </c>
      <c r="AL937" s="5">
        <v>0.218</v>
      </c>
      <c r="AM937" s="5">
        <v>0.27500000000000002</v>
      </c>
      <c r="AN937">
        <v>-0.3</v>
      </c>
      <c r="AO937">
        <v>-0.16</v>
      </c>
      <c r="AP937">
        <v>7</v>
      </c>
      <c r="AQ937">
        <v>-10.94</v>
      </c>
      <c r="AR937">
        <v>-2.6</v>
      </c>
      <c r="AS937" t="s">
        <v>1826</v>
      </c>
      <c r="AT937">
        <v>-0.8</v>
      </c>
      <c r="AU937">
        <v>-4.4000000000000004</v>
      </c>
      <c r="AV937">
        <v>0</v>
      </c>
      <c r="AW937">
        <v>7</v>
      </c>
      <c r="AX937">
        <v>2</v>
      </c>
      <c r="AY937">
        <v>6</v>
      </c>
      <c r="AZ937" t="s">
        <v>4726</v>
      </c>
      <c r="BA937">
        <v>13</v>
      </c>
      <c r="BB937" t="s">
        <v>36</v>
      </c>
      <c r="BC937" t="s">
        <v>35</v>
      </c>
      <c r="BD937" s="4">
        <f>HYPERLINK("http://mlb.mlb.com/team/player.jsp?player_id=665560",665560)</f>
        <v>665560</v>
      </c>
      <c r="BE937">
        <v>1675</v>
      </c>
      <c r="BF937">
        <v>675</v>
      </c>
      <c r="BG937">
        <v>0</v>
      </c>
      <c r="BH937">
        <v>0</v>
      </c>
    </row>
    <row r="938" spans="1:60" x14ac:dyDescent="0.3">
      <c r="A938" s="4">
        <f>HYPERLINK("http://legacy.baseballprospectus.com/p/107675",107675)</f>
        <v>107675</v>
      </c>
      <c r="B938" t="s">
        <v>273</v>
      </c>
      <c r="C938" t="s">
        <v>4727</v>
      </c>
      <c r="D938" s="10">
        <v>36072</v>
      </c>
      <c r="E938" t="s">
        <v>51</v>
      </c>
      <c r="F938" t="s">
        <v>9</v>
      </c>
      <c r="G938" t="s">
        <v>33</v>
      </c>
      <c r="H938">
        <v>78</v>
      </c>
      <c r="I938">
        <v>175</v>
      </c>
      <c r="J938">
        <v>2018</v>
      </c>
      <c r="K938" s="4" t="str">
        <f>HYPERLINK("http://legacy.baseballprospectus.com/fantasy/dc/index.php?tm=PIT","PIT")</f>
        <v>PIT</v>
      </c>
      <c r="L938" t="s">
        <v>100</v>
      </c>
      <c r="M938" t="s">
        <v>34</v>
      </c>
      <c r="N938">
        <v>19</v>
      </c>
      <c r="O938">
        <v>250</v>
      </c>
      <c r="P938" t="s">
        <v>1680</v>
      </c>
      <c r="Q938">
        <v>233</v>
      </c>
      <c r="R938">
        <v>23</v>
      </c>
      <c r="S938">
        <v>33</v>
      </c>
      <c r="T938">
        <v>9</v>
      </c>
      <c r="U938">
        <v>1</v>
      </c>
      <c r="V938">
        <v>7</v>
      </c>
      <c r="W938">
        <v>50</v>
      </c>
      <c r="X938">
        <v>82</v>
      </c>
      <c r="Y938">
        <v>27</v>
      </c>
      <c r="Z938">
        <v>14</v>
      </c>
      <c r="AA938">
        <v>1</v>
      </c>
      <c r="AB938">
        <v>1</v>
      </c>
      <c r="AC938">
        <v>84</v>
      </c>
      <c r="AD938">
        <v>0</v>
      </c>
      <c r="AE938">
        <v>1</v>
      </c>
      <c r="AF938">
        <v>6</v>
      </c>
      <c r="AG938">
        <v>1</v>
      </c>
      <c r="AH938">
        <v>1</v>
      </c>
      <c r="AI938" s="5">
        <v>0.21099999999999999</v>
      </c>
      <c r="AJ938" s="5">
        <v>0.25800000000000001</v>
      </c>
      <c r="AK938" s="5">
        <v>0.34100000000000003</v>
      </c>
      <c r="AL938" s="5">
        <v>0.20599999999999999</v>
      </c>
      <c r="AM938" s="5">
        <v>0.29599999999999999</v>
      </c>
      <c r="AN938">
        <v>-0.4</v>
      </c>
      <c r="AO938">
        <v>2.34</v>
      </c>
      <c r="AP938">
        <v>7</v>
      </c>
      <c r="AQ938">
        <v>-14.3</v>
      </c>
      <c r="AR938">
        <v>-1.5</v>
      </c>
      <c r="AS938" t="s">
        <v>4691</v>
      </c>
      <c r="AT938">
        <v>-0.8</v>
      </c>
      <c r="AU938">
        <v>-5.4</v>
      </c>
      <c r="AV938">
        <v>0</v>
      </c>
      <c r="AW938">
        <v>8</v>
      </c>
      <c r="AX938">
        <v>3</v>
      </c>
      <c r="AY938">
        <v>6</v>
      </c>
      <c r="AZ938" t="s">
        <v>4728</v>
      </c>
      <c r="BA938">
        <v>15</v>
      </c>
      <c r="BB938" t="s">
        <v>36</v>
      </c>
      <c r="BC938" t="s">
        <v>35</v>
      </c>
      <c r="BD938" s="4">
        <f>HYPERLINK("http://mlb.mlb.com/team/player.jsp?player_id=665833",665833)</f>
        <v>665833</v>
      </c>
      <c r="BE938">
        <v>1564</v>
      </c>
      <c r="BF938">
        <v>564</v>
      </c>
      <c r="BG938">
        <v>0</v>
      </c>
      <c r="BH938">
        <v>0</v>
      </c>
    </row>
    <row r="939" spans="1:60" x14ac:dyDescent="0.3">
      <c r="A939" s="4">
        <f>HYPERLINK("http://legacy.baseballprospectus.com/p/107940",107940)</f>
        <v>107940</v>
      </c>
      <c r="B939" t="s">
        <v>1831</v>
      </c>
      <c r="C939" t="s">
        <v>498</v>
      </c>
      <c r="D939" s="10">
        <v>36197</v>
      </c>
      <c r="E939" t="s">
        <v>59</v>
      </c>
      <c r="F939" t="s">
        <v>33</v>
      </c>
      <c r="G939" t="s">
        <v>33</v>
      </c>
      <c r="H939">
        <v>74</v>
      </c>
      <c r="I939">
        <v>200</v>
      </c>
      <c r="J939">
        <v>2018</v>
      </c>
      <c r="K939" s="4" t="str">
        <f>HYPERLINK("http://legacy.baseballprospectus.com/fantasy/dc/index.php?tm=LAN","LAN")</f>
        <v>LAN</v>
      </c>
      <c r="L939" t="s">
        <v>100</v>
      </c>
      <c r="M939" t="s">
        <v>34</v>
      </c>
      <c r="N939">
        <v>19</v>
      </c>
      <c r="O939">
        <v>250</v>
      </c>
      <c r="P939" t="s">
        <v>1680</v>
      </c>
      <c r="Q939">
        <v>233</v>
      </c>
      <c r="R939">
        <v>24</v>
      </c>
      <c r="S939">
        <v>28</v>
      </c>
      <c r="T939">
        <v>10</v>
      </c>
      <c r="U939">
        <v>1</v>
      </c>
      <c r="V939">
        <v>7</v>
      </c>
      <c r="W939">
        <v>46</v>
      </c>
      <c r="X939">
        <v>79</v>
      </c>
      <c r="Y939">
        <v>26</v>
      </c>
      <c r="Z939">
        <v>14</v>
      </c>
      <c r="AA939">
        <v>1</v>
      </c>
      <c r="AB939">
        <v>1</v>
      </c>
      <c r="AC939">
        <v>90</v>
      </c>
      <c r="AD939">
        <v>1</v>
      </c>
      <c r="AE939">
        <v>1</v>
      </c>
      <c r="AF939">
        <v>5</v>
      </c>
      <c r="AG939">
        <v>4</v>
      </c>
      <c r="AH939">
        <v>2</v>
      </c>
      <c r="AI939" s="5">
        <v>0.19800000000000001</v>
      </c>
      <c r="AJ939" s="5">
        <v>0.246</v>
      </c>
      <c r="AK939" s="5">
        <v>0.33700000000000002</v>
      </c>
      <c r="AL939" s="5">
        <v>0.20200000000000001</v>
      </c>
      <c r="AM939" s="5">
        <v>0.28199999999999997</v>
      </c>
      <c r="AN939">
        <v>0</v>
      </c>
      <c r="AO939">
        <v>0.71</v>
      </c>
      <c r="AP939">
        <v>7</v>
      </c>
      <c r="AQ939">
        <v>-15.28</v>
      </c>
      <c r="AR939">
        <v>-0.1</v>
      </c>
      <c r="AS939" t="s">
        <v>2176</v>
      </c>
      <c r="AT939">
        <v>-0.8</v>
      </c>
      <c r="AU939">
        <v>-7.5</v>
      </c>
      <c r="AV939">
        <v>0</v>
      </c>
      <c r="AW939">
        <v>7</v>
      </c>
      <c r="AX939">
        <v>2</v>
      </c>
      <c r="AY939">
        <v>5</v>
      </c>
      <c r="AZ939" t="s">
        <v>1967</v>
      </c>
      <c r="BA939">
        <v>13</v>
      </c>
      <c r="BB939" t="s">
        <v>36</v>
      </c>
      <c r="BC939" t="s">
        <v>35</v>
      </c>
      <c r="BD939" s="4">
        <f>HYPERLINK("http://mlb.mlb.com/team/player.jsp?player_id=665752",665752)</f>
        <v>665752</v>
      </c>
      <c r="BE939">
        <v>1664</v>
      </c>
      <c r="BF939">
        <v>664</v>
      </c>
      <c r="BG939">
        <v>0</v>
      </c>
      <c r="BH939">
        <v>0</v>
      </c>
    </row>
    <row r="940" spans="1:60" x14ac:dyDescent="0.3">
      <c r="A940" s="4">
        <f>HYPERLINK("http://legacy.baseballprospectus.com/p/108418",108418)</f>
        <v>108418</v>
      </c>
      <c r="B940" t="s">
        <v>1959</v>
      </c>
      <c r="C940" t="s">
        <v>430</v>
      </c>
      <c r="D940" s="10">
        <v>36096</v>
      </c>
      <c r="E940" t="s">
        <v>51</v>
      </c>
      <c r="F940" t="s">
        <v>33</v>
      </c>
      <c r="G940" t="s">
        <v>33</v>
      </c>
      <c r="H940">
        <v>75</v>
      </c>
      <c r="I940">
        <v>205</v>
      </c>
      <c r="J940">
        <v>2018</v>
      </c>
      <c r="K940" s="4" t="str">
        <f>HYPERLINK("http://legacy.baseballprospectus.com/fantasy/dc/index.php?tm=SDN","SDN")</f>
        <v>SDN</v>
      </c>
      <c r="L940" t="s">
        <v>100</v>
      </c>
      <c r="M940" t="s">
        <v>34</v>
      </c>
      <c r="N940">
        <v>19</v>
      </c>
      <c r="O940">
        <v>250</v>
      </c>
      <c r="P940" t="s">
        <v>1680</v>
      </c>
      <c r="Q940">
        <v>238</v>
      </c>
      <c r="R940">
        <v>23</v>
      </c>
      <c r="S940">
        <v>31</v>
      </c>
      <c r="T940">
        <v>10</v>
      </c>
      <c r="U940">
        <v>1</v>
      </c>
      <c r="V940">
        <v>9</v>
      </c>
      <c r="W940">
        <v>51</v>
      </c>
      <c r="X940">
        <v>90</v>
      </c>
      <c r="Y940">
        <v>30</v>
      </c>
      <c r="Z940">
        <v>8</v>
      </c>
      <c r="AA940">
        <v>1</v>
      </c>
      <c r="AB940">
        <v>2</v>
      </c>
      <c r="AC940">
        <v>81</v>
      </c>
      <c r="AD940">
        <v>1</v>
      </c>
      <c r="AE940">
        <v>1</v>
      </c>
      <c r="AF940">
        <v>8</v>
      </c>
      <c r="AG940">
        <v>0</v>
      </c>
      <c r="AH940">
        <v>0</v>
      </c>
      <c r="AI940" s="5">
        <v>0.21099999999999999</v>
      </c>
      <c r="AJ940" s="5">
        <v>0.24099999999999999</v>
      </c>
      <c r="AK940" s="5">
        <v>0.36699999999999999</v>
      </c>
      <c r="AL940" s="5">
        <v>0.20799999999999999</v>
      </c>
      <c r="AM940" s="5">
        <v>0.27500000000000002</v>
      </c>
      <c r="AN940">
        <v>-0.5</v>
      </c>
      <c r="AO940">
        <v>1.57</v>
      </c>
      <c r="AP940">
        <v>7</v>
      </c>
      <c r="AQ940">
        <v>-13.7</v>
      </c>
      <c r="AR940">
        <v>-2.1</v>
      </c>
      <c r="AS940" t="s">
        <v>4750</v>
      </c>
      <c r="AT940">
        <v>-0.8</v>
      </c>
      <c r="AU940">
        <v>-5.6</v>
      </c>
      <c r="AV940">
        <v>0</v>
      </c>
      <c r="AW940">
        <v>7</v>
      </c>
      <c r="AX940">
        <v>2</v>
      </c>
      <c r="AY940">
        <v>6</v>
      </c>
      <c r="AZ940" t="s">
        <v>4751</v>
      </c>
      <c r="BA940">
        <v>13</v>
      </c>
      <c r="BB940" t="s">
        <v>36</v>
      </c>
      <c r="BC940" t="s">
        <v>35</v>
      </c>
      <c r="BD940" s="4">
        <f>HYPERLINK("http://mlb.mlb.com/team/player.jsp?player_id=668888",668888)</f>
        <v>668888</v>
      </c>
      <c r="BE940">
        <v>1727</v>
      </c>
      <c r="BF940">
        <v>727</v>
      </c>
      <c r="BG940">
        <v>0</v>
      </c>
      <c r="BH940">
        <v>0</v>
      </c>
    </row>
    <row r="941" spans="1:60" x14ac:dyDescent="0.3">
      <c r="A941" s="4">
        <f>HYPERLINK("http://legacy.baseballprospectus.com/p/108434",108434)</f>
        <v>108434</v>
      </c>
      <c r="B941" t="s">
        <v>1122</v>
      </c>
      <c r="C941" t="s">
        <v>716</v>
      </c>
      <c r="D941" s="10">
        <v>34857</v>
      </c>
      <c r="E941" t="s">
        <v>57</v>
      </c>
      <c r="F941" t="s">
        <v>33</v>
      </c>
      <c r="G941" t="s">
        <v>33</v>
      </c>
      <c r="H941">
        <v>74</v>
      </c>
      <c r="I941">
        <v>190</v>
      </c>
      <c r="J941">
        <v>2018</v>
      </c>
      <c r="K941" s="4" t="str">
        <f>HYPERLINK("http://legacy.baseballprospectus.com/fantasy/dc/index.php?tm=SFN","SFN")</f>
        <v>SFN</v>
      </c>
      <c r="L941" t="s">
        <v>100</v>
      </c>
      <c r="M941" t="s">
        <v>34</v>
      </c>
      <c r="N941">
        <v>23</v>
      </c>
      <c r="O941">
        <v>250</v>
      </c>
      <c r="P941" t="s">
        <v>1680</v>
      </c>
      <c r="Q941">
        <v>229</v>
      </c>
      <c r="R941">
        <v>24</v>
      </c>
      <c r="S941">
        <v>31</v>
      </c>
      <c r="T941">
        <v>10</v>
      </c>
      <c r="U941">
        <v>1</v>
      </c>
      <c r="V941">
        <v>8</v>
      </c>
      <c r="W941">
        <v>50</v>
      </c>
      <c r="X941">
        <v>86</v>
      </c>
      <c r="Y941">
        <v>29</v>
      </c>
      <c r="Z941">
        <v>16</v>
      </c>
      <c r="AA941">
        <v>1</v>
      </c>
      <c r="AB941">
        <v>3</v>
      </c>
      <c r="AC941">
        <v>79</v>
      </c>
      <c r="AD941">
        <v>1</v>
      </c>
      <c r="AE941">
        <v>1</v>
      </c>
      <c r="AF941">
        <v>6</v>
      </c>
      <c r="AG941">
        <v>0</v>
      </c>
      <c r="AH941">
        <v>0</v>
      </c>
      <c r="AI941" s="5">
        <v>0.214</v>
      </c>
      <c r="AJ941" s="5">
        <v>0.27300000000000002</v>
      </c>
      <c r="AK941" s="5">
        <v>0.36299999999999999</v>
      </c>
      <c r="AL941" s="5">
        <v>0.221</v>
      </c>
      <c r="AM941" s="5">
        <v>0.28599999999999998</v>
      </c>
      <c r="AN941">
        <v>-0.4</v>
      </c>
      <c r="AO941">
        <v>0.4</v>
      </c>
      <c r="AP941">
        <v>7</v>
      </c>
      <c r="AQ941">
        <v>-10.19</v>
      </c>
      <c r="AR941">
        <v>-3.7</v>
      </c>
      <c r="AS941" t="s">
        <v>4705</v>
      </c>
      <c r="AT941">
        <v>-0.8</v>
      </c>
      <c r="AU941">
        <v>-3.2</v>
      </c>
      <c r="AV941">
        <v>0</v>
      </c>
      <c r="AW941">
        <v>1</v>
      </c>
      <c r="AX941">
        <v>1</v>
      </c>
      <c r="AY941">
        <v>1</v>
      </c>
      <c r="AZ941" t="s">
        <v>4706</v>
      </c>
      <c r="BA941">
        <v>2</v>
      </c>
      <c r="BB941" t="s">
        <v>36</v>
      </c>
      <c r="BC941" t="s">
        <v>35</v>
      </c>
      <c r="BD941" s="4">
        <f>HYPERLINK("http://mlb.mlb.com/team/player.jsp?player_id=641991",641991)</f>
        <v>641991</v>
      </c>
      <c r="BE941">
        <v>1686</v>
      </c>
      <c r="BF941">
        <v>686</v>
      </c>
      <c r="BG941">
        <v>0</v>
      </c>
      <c r="BH941">
        <v>0</v>
      </c>
    </row>
    <row r="942" spans="1:60" x14ac:dyDescent="0.3">
      <c r="A942" s="4">
        <f>HYPERLINK("http://legacy.baseballprospectus.com/p/108754",108754)</f>
        <v>108754</v>
      </c>
      <c r="B942" t="s">
        <v>4729</v>
      </c>
      <c r="C942" t="s">
        <v>3512</v>
      </c>
      <c r="D942" s="10">
        <v>35712</v>
      </c>
      <c r="E942" t="s">
        <v>51</v>
      </c>
      <c r="F942" t="s">
        <v>33</v>
      </c>
      <c r="G942" t="s">
        <v>33</v>
      </c>
      <c r="H942">
        <v>74</v>
      </c>
      <c r="I942">
        <v>195</v>
      </c>
      <c r="J942">
        <v>2018</v>
      </c>
      <c r="K942" s="4" t="str">
        <f>HYPERLINK("http://legacy.baseballprospectus.com/fantasy/dc/index.php?tm=COL","COL")</f>
        <v>COL</v>
      </c>
      <c r="L942" t="s">
        <v>100</v>
      </c>
      <c r="M942" t="s">
        <v>34</v>
      </c>
      <c r="N942">
        <v>20</v>
      </c>
      <c r="O942">
        <v>250</v>
      </c>
      <c r="P942" t="s">
        <v>1680</v>
      </c>
      <c r="Q942">
        <v>232</v>
      </c>
      <c r="R942">
        <v>26</v>
      </c>
      <c r="S942">
        <v>38</v>
      </c>
      <c r="T942">
        <v>12</v>
      </c>
      <c r="U942">
        <v>1</v>
      </c>
      <c r="V942">
        <v>8</v>
      </c>
      <c r="W942">
        <v>59</v>
      </c>
      <c r="X942">
        <v>97</v>
      </c>
      <c r="Y942">
        <v>30</v>
      </c>
      <c r="Z942">
        <v>14</v>
      </c>
      <c r="AA942">
        <v>2</v>
      </c>
      <c r="AB942">
        <v>2</v>
      </c>
      <c r="AC942">
        <v>59</v>
      </c>
      <c r="AD942">
        <v>0</v>
      </c>
      <c r="AE942">
        <v>1</v>
      </c>
      <c r="AF942">
        <v>6</v>
      </c>
      <c r="AG942">
        <v>1</v>
      </c>
      <c r="AH942">
        <v>1</v>
      </c>
      <c r="AI942" s="5">
        <v>0.253</v>
      </c>
      <c r="AJ942" s="5">
        <v>0.29899999999999999</v>
      </c>
      <c r="AK942" s="5">
        <v>0.41</v>
      </c>
      <c r="AL942" s="5">
        <v>0.22700000000000001</v>
      </c>
      <c r="AM942" s="5">
        <v>0.30499999999999999</v>
      </c>
      <c r="AN942">
        <v>-0.6</v>
      </c>
      <c r="AO942">
        <v>1.39</v>
      </c>
      <c r="AP942">
        <v>7</v>
      </c>
      <c r="AQ942">
        <v>-8.58</v>
      </c>
      <c r="AR942">
        <v>-6.1</v>
      </c>
      <c r="AS942" t="s">
        <v>4730</v>
      </c>
      <c r="AT942">
        <v>-0.8</v>
      </c>
      <c r="AU942">
        <v>-0.8</v>
      </c>
      <c r="AV942">
        <v>8</v>
      </c>
      <c r="AW942">
        <v>15</v>
      </c>
      <c r="AX942">
        <v>0</v>
      </c>
      <c r="AY942">
        <v>4</v>
      </c>
      <c r="AZ942" t="s">
        <v>4731</v>
      </c>
      <c r="BA942">
        <v>17</v>
      </c>
      <c r="BB942" t="s">
        <v>36</v>
      </c>
      <c r="BC942" t="s">
        <v>35</v>
      </c>
      <c r="BD942" s="4">
        <f>HYPERLINK("http://mlb.mlb.com/team/player.jsp?player_id=666213",666213)</f>
        <v>666213</v>
      </c>
      <c r="BE942">
        <v>1516</v>
      </c>
      <c r="BF942">
        <v>516</v>
      </c>
      <c r="BG942">
        <v>0</v>
      </c>
      <c r="BH942">
        <v>0</v>
      </c>
    </row>
    <row r="943" spans="1:60" x14ac:dyDescent="0.3">
      <c r="A943" s="4">
        <f>HYPERLINK("http://legacy.baseballprospectus.com/p/109318",109318)</f>
        <v>109318</v>
      </c>
      <c r="B943" t="s">
        <v>112</v>
      </c>
      <c r="C943" t="s">
        <v>108</v>
      </c>
      <c r="D943" s="10">
        <v>36076</v>
      </c>
      <c r="E943" t="s">
        <v>53</v>
      </c>
      <c r="F943" t="s">
        <v>33</v>
      </c>
      <c r="G943" t="s">
        <v>33</v>
      </c>
      <c r="H943">
        <v>69</v>
      </c>
      <c r="I943">
        <v>155</v>
      </c>
      <c r="J943">
        <v>2018</v>
      </c>
      <c r="K943" s="4" t="str">
        <f>HYPERLINK("http://legacy.baseballprospectus.com/fantasy/dc/index.php?tm=OAK","OAK")</f>
        <v>OAK</v>
      </c>
      <c r="L943" t="s">
        <v>95</v>
      </c>
      <c r="M943" t="s">
        <v>34</v>
      </c>
      <c r="N943">
        <v>19</v>
      </c>
      <c r="O943">
        <v>250</v>
      </c>
      <c r="P943" t="s">
        <v>1680</v>
      </c>
      <c r="Q943">
        <v>233</v>
      </c>
      <c r="R943">
        <v>26</v>
      </c>
      <c r="S943">
        <v>30</v>
      </c>
      <c r="T943">
        <v>9</v>
      </c>
      <c r="U943">
        <v>1</v>
      </c>
      <c r="V943">
        <v>6</v>
      </c>
      <c r="W943">
        <v>46</v>
      </c>
      <c r="X943">
        <v>75</v>
      </c>
      <c r="Y943">
        <v>22</v>
      </c>
      <c r="Z943">
        <v>13</v>
      </c>
      <c r="AA943">
        <v>1</v>
      </c>
      <c r="AB943">
        <v>1</v>
      </c>
      <c r="AC943">
        <v>79</v>
      </c>
      <c r="AD943">
        <v>1</v>
      </c>
      <c r="AE943">
        <v>1</v>
      </c>
      <c r="AF943">
        <v>6</v>
      </c>
      <c r="AG943">
        <v>3</v>
      </c>
      <c r="AH943">
        <v>1</v>
      </c>
      <c r="AI943" s="5">
        <v>0.19800000000000001</v>
      </c>
      <c r="AJ943" s="5">
        <v>0.24199999999999999</v>
      </c>
      <c r="AK943" s="5">
        <v>0.32400000000000001</v>
      </c>
      <c r="AL943" s="5">
        <v>0.189</v>
      </c>
      <c r="AM943" s="5">
        <v>0.26600000000000001</v>
      </c>
      <c r="AN943">
        <v>-0.1</v>
      </c>
      <c r="AO943">
        <v>4.18</v>
      </c>
      <c r="AP943">
        <v>7</v>
      </c>
      <c r="AQ943">
        <v>-18.72</v>
      </c>
      <c r="AR943">
        <v>0.6</v>
      </c>
      <c r="AS943" t="s">
        <v>75</v>
      </c>
      <c r="AT943">
        <v>-0.8</v>
      </c>
      <c r="AU943">
        <v>-7.6</v>
      </c>
      <c r="AV943">
        <v>0</v>
      </c>
      <c r="AW943">
        <v>3</v>
      </c>
      <c r="AX943">
        <v>1</v>
      </c>
      <c r="AY943">
        <v>4</v>
      </c>
      <c r="AZ943" t="s">
        <v>4707</v>
      </c>
      <c r="BA943">
        <v>7</v>
      </c>
      <c r="BB943" t="s">
        <v>36</v>
      </c>
      <c r="BC943" t="s">
        <v>35</v>
      </c>
      <c r="BD943" s="4">
        <f>HYPERLINK("http://mlb.mlb.com/team/player.jsp?player_id=669397",669397)</f>
        <v>669397</v>
      </c>
      <c r="BE943">
        <v>545</v>
      </c>
      <c r="BF943">
        <v>1545</v>
      </c>
      <c r="BG943">
        <v>0</v>
      </c>
      <c r="BH943">
        <v>0</v>
      </c>
    </row>
    <row r="944" spans="1:60" x14ac:dyDescent="0.3">
      <c r="A944" s="4">
        <f>HYPERLINK("http://legacy.baseballprospectus.com/p/109357",109357)</f>
        <v>109357</v>
      </c>
      <c r="B944" t="s">
        <v>2124</v>
      </c>
      <c r="C944" t="s">
        <v>1670</v>
      </c>
      <c r="D944" s="10">
        <v>36302</v>
      </c>
      <c r="E944" t="s">
        <v>59</v>
      </c>
      <c r="F944" t="s">
        <v>33</v>
      </c>
      <c r="G944" t="s">
        <v>33</v>
      </c>
      <c r="H944">
        <v>72</v>
      </c>
      <c r="I944">
        <v>182</v>
      </c>
      <c r="J944">
        <v>2018</v>
      </c>
      <c r="K944" s="4" t="str">
        <f>HYPERLINK("http://legacy.baseballprospectus.com/fantasy/dc/index.php?tm=OAK","OAK")</f>
        <v>OAK</v>
      </c>
      <c r="L944" t="s">
        <v>95</v>
      </c>
      <c r="M944" t="s">
        <v>34</v>
      </c>
      <c r="N944">
        <v>19</v>
      </c>
      <c r="O944">
        <v>250</v>
      </c>
      <c r="P944" t="s">
        <v>1680</v>
      </c>
      <c r="Q944">
        <v>230</v>
      </c>
      <c r="R944">
        <v>24</v>
      </c>
      <c r="S944">
        <v>27</v>
      </c>
      <c r="T944">
        <v>9</v>
      </c>
      <c r="U944">
        <v>1</v>
      </c>
      <c r="V944">
        <v>7</v>
      </c>
      <c r="W944">
        <v>44</v>
      </c>
      <c r="X944">
        <v>76</v>
      </c>
      <c r="Y944">
        <v>25</v>
      </c>
      <c r="Z944">
        <v>14</v>
      </c>
      <c r="AA944">
        <v>1</v>
      </c>
      <c r="AB944">
        <v>4</v>
      </c>
      <c r="AC944">
        <v>89</v>
      </c>
      <c r="AD944">
        <v>1</v>
      </c>
      <c r="AE944">
        <v>2</v>
      </c>
      <c r="AF944">
        <v>6</v>
      </c>
      <c r="AG944">
        <v>4</v>
      </c>
      <c r="AH944">
        <v>1</v>
      </c>
      <c r="AI944" s="5">
        <v>0.189</v>
      </c>
      <c r="AJ944" s="5">
        <v>0.246</v>
      </c>
      <c r="AK944" s="5">
        <v>0.32200000000000001</v>
      </c>
      <c r="AL944" s="5">
        <v>0.191</v>
      </c>
      <c r="AM944" s="5">
        <v>0.27</v>
      </c>
      <c r="AN944">
        <v>0.1</v>
      </c>
      <c r="AO944">
        <v>1.55</v>
      </c>
      <c r="AP944">
        <v>7</v>
      </c>
      <c r="AQ944">
        <v>-18.010000000000002</v>
      </c>
      <c r="AR944">
        <v>1.9</v>
      </c>
      <c r="AS944" t="s">
        <v>2207</v>
      </c>
      <c r="AT944">
        <v>-0.8</v>
      </c>
      <c r="AU944">
        <v>-9.3000000000000007</v>
      </c>
      <c r="AV944">
        <v>0</v>
      </c>
      <c r="AW944">
        <v>6</v>
      </c>
      <c r="AX944">
        <v>2</v>
      </c>
      <c r="AY944">
        <v>6</v>
      </c>
      <c r="AZ944" t="s">
        <v>1991</v>
      </c>
      <c r="BA944">
        <v>12</v>
      </c>
      <c r="BB944" t="s">
        <v>36</v>
      </c>
      <c r="BC944" t="s">
        <v>35</v>
      </c>
      <c r="BD944" s="4">
        <f>HYPERLINK("http://mlb.mlb.com/team/player.jsp?player_id=670860",670860)</f>
        <v>670860</v>
      </c>
      <c r="BE944">
        <v>665</v>
      </c>
      <c r="BF944">
        <v>1665</v>
      </c>
      <c r="BG944">
        <v>0</v>
      </c>
      <c r="BH944">
        <v>0</v>
      </c>
    </row>
    <row r="945" spans="1:60" x14ac:dyDescent="0.3">
      <c r="A945" s="4">
        <f>HYPERLINK("http://legacy.baseballprospectus.com/p/109982",109982)</f>
        <v>109982</v>
      </c>
      <c r="B945" t="s">
        <v>412</v>
      </c>
      <c r="C945" t="s">
        <v>4732</v>
      </c>
      <c r="D945" s="10">
        <v>35288</v>
      </c>
      <c r="E945" t="s">
        <v>54</v>
      </c>
      <c r="F945" t="s">
        <v>33</v>
      </c>
      <c r="G945" t="s">
        <v>33</v>
      </c>
      <c r="H945">
        <v>72</v>
      </c>
      <c r="I945">
        <v>208</v>
      </c>
      <c r="J945">
        <v>2018</v>
      </c>
      <c r="K945" s="4" t="str">
        <f>HYPERLINK("http://legacy.baseballprospectus.com/fantasy/dc/index.php?tm=MIL","MIL")</f>
        <v>MIL</v>
      </c>
      <c r="L945" t="s">
        <v>100</v>
      </c>
      <c r="M945" t="s">
        <v>34</v>
      </c>
      <c r="N945">
        <v>21</v>
      </c>
      <c r="O945">
        <v>250</v>
      </c>
      <c r="P945" t="s">
        <v>1680</v>
      </c>
      <c r="Q945">
        <v>230</v>
      </c>
      <c r="R945">
        <v>22</v>
      </c>
      <c r="S945">
        <v>27</v>
      </c>
      <c r="T945">
        <v>9</v>
      </c>
      <c r="U945">
        <v>0</v>
      </c>
      <c r="V945">
        <v>8</v>
      </c>
      <c r="W945">
        <v>44</v>
      </c>
      <c r="X945">
        <v>77</v>
      </c>
      <c r="Y945">
        <v>27</v>
      </c>
      <c r="Z945">
        <v>16</v>
      </c>
      <c r="AA945">
        <v>1</v>
      </c>
      <c r="AB945">
        <v>1</v>
      </c>
      <c r="AC945">
        <v>91</v>
      </c>
      <c r="AD945">
        <v>1</v>
      </c>
      <c r="AE945">
        <v>1</v>
      </c>
      <c r="AF945">
        <v>7</v>
      </c>
      <c r="AG945">
        <v>0</v>
      </c>
      <c r="AH945">
        <v>0</v>
      </c>
      <c r="AI945" s="5">
        <v>0.19</v>
      </c>
      <c r="AJ945" s="5">
        <v>0.246</v>
      </c>
      <c r="AK945" s="5">
        <v>0.32900000000000001</v>
      </c>
      <c r="AL945" s="5">
        <v>0.193</v>
      </c>
      <c r="AM945" s="5">
        <v>0.27</v>
      </c>
      <c r="AN945">
        <v>-0.4</v>
      </c>
      <c r="AO945">
        <v>3.45</v>
      </c>
      <c r="AP945">
        <v>7</v>
      </c>
      <c r="AQ945">
        <v>-17.62</v>
      </c>
      <c r="AR945">
        <v>-0.1</v>
      </c>
      <c r="AS945" t="s">
        <v>55</v>
      </c>
      <c r="AT945">
        <v>-0.8</v>
      </c>
      <c r="AU945">
        <v>-7.6</v>
      </c>
      <c r="AV945">
        <v>0</v>
      </c>
      <c r="AW945">
        <v>0</v>
      </c>
      <c r="AX945">
        <v>0</v>
      </c>
      <c r="AY945">
        <v>1</v>
      </c>
      <c r="AZ945" t="s">
        <v>4733</v>
      </c>
      <c r="BA945">
        <v>1</v>
      </c>
      <c r="BB945" t="s">
        <v>36</v>
      </c>
      <c r="BC945" t="s">
        <v>35</v>
      </c>
      <c r="BD945" s="4">
        <f>HYPERLINK("http://mlb.mlb.com/team/player.jsp?player_id=656508",656508)</f>
        <v>656508</v>
      </c>
      <c r="BE945">
        <v>0</v>
      </c>
      <c r="BF945">
        <v>0</v>
      </c>
      <c r="BG945">
        <v>0</v>
      </c>
      <c r="BH945">
        <v>0</v>
      </c>
    </row>
    <row r="946" spans="1:60" x14ac:dyDescent="0.3">
      <c r="A946" s="4">
        <f>HYPERLINK("http://legacy.baseballprospectus.com/p/110449",110449)</f>
        <v>110449</v>
      </c>
      <c r="B946" t="s">
        <v>894</v>
      </c>
      <c r="C946" t="s">
        <v>4710</v>
      </c>
      <c r="D946" s="10">
        <v>36537</v>
      </c>
      <c r="E946" t="s">
        <v>53</v>
      </c>
      <c r="F946" t="s">
        <v>33</v>
      </c>
      <c r="G946" t="s">
        <v>33</v>
      </c>
      <c r="H946">
        <v>73</v>
      </c>
      <c r="I946">
        <v>180</v>
      </c>
      <c r="J946">
        <v>2018</v>
      </c>
      <c r="K946" s="4" t="str">
        <f>HYPERLINK("http://legacy.baseballprospectus.com/fantasy/dc/index.php?tm=HOU","HOU")</f>
        <v>HOU</v>
      </c>
      <c r="L946" t="s">
        <v>95</v>
      </c>
      <c r="M946" t="s">
        <v>34</v>
      </c>
      <c r="N946">
        <v>18</v>
      </c>
      <c r="O946">
        <v>250</v>
      </c>
      <c r="P946" t="s">
        <v>1680</v>
      </c>
      <c r="Q946">
        <v>230</v>
      </c>
      <c r="R946">
        <v>27</v>
      </c>
      <c r="S946">
        <v>29</v>
      </c>
      <c r="T946">
        <v>9</v>
      </c>
      <c r="U946">
        <v>0</v>
      </c>
      <c r="V946">
        <v>7</v>
      </c>
      <c r="W946">
        <v>45</v>
      </c>
      <c r="X946">
        <v>75</v>
      </c>
      <c r="Y946">
        <v>23</v>
      </c>
      <c r="Z946">
        <v>14</v>
      </c>
      <c r="AA946">
        <v>1</v>
      </c>
      <c r="AB946">
        <v>3</v>
      </c>
      <c r="AC946">
        <v>82</v>
      </c>
      <c r="AD946">
        <v>1</v>
      </c>
      <c r="AE946">
        <v>1</v>
      </c>
      <c r="AF946">
        <v>7</v>
      </c>
      <c r="AG946">
        <v>2</v>
      </c>
      <c r="AH946">
        <v>1</v>
      </c>
      <c r="AI946" s="5">
        <v>0.19800000000000001</v>
      </c>
      <c r="AJ946" s="5">
        <v>0.252</v>
      </c>
      <c r="AK946" s="5">
        <v>0.33200000000000002</v>
      </c>
      <c r="AL946" s="5">
        <v>0.19800000000000001</v>
      </c>
      <c r="AM946" s="5">
        <v>0.27</v>
      </c>
      <c r="AN946">
        <v>-0.2</v>
      </c>
      <c r="AO946">
        <v>2.89</v>
      </c>
      <c r="AP946">
        <v>7</v>
      </c>
      <c r="AQ946">
        <v>-16.23</v>
      </c>
      <c r="AR946">
        <v>-0.5</v>
      </c>
      <c r="AS946" t="s">
        <v>1934</v>
      </c>
      <c r="AT946">
        <v>-0.8</v>
      </c>
      <c r="AU946">
        <v>-6.6</v>
      </c>
      <c r="AV946">
        <v>0</v>
      </c>
      <c r="AW946">
        <v>0</v>
      </c>
      <c r="AX946">
        <v>0</v>
      </c>
      <c r="AY946">
        <v>0</v>
      </c>
      <c r="AZ946" t="s">
        <v>1886</v>
      </c>
      <c r="BA946">
        <v>0</v>
      </c>
      <c r="BB946" t="s">
        <v>36</v>
      </c>
      <c r="BC946" t="s">
        <v>35</v>
      </c>
      <c r="BD946" s="4">
        <f>HYPERLINK("http://mlb.mlb.com/team/player.jsp?player_id=671265",671265)</f>
        <v>671265</v>
      </c>
      <c r="BE946">
        <v>550</v>
      </c>
      <c r="BF946">
        <v>1550</v>
      </c>
      <c r="BG946">
        <v>0</v>
      </c>
      <c r="BH946">
        <v>0</v>
      </c>
    </row>
    <row r="947" spans="1:60" x14ac:dyDescent="0.3">
      <c r="A947" s="4">
        <f>HYPERLINK("http://legacy.baseballprospectus.com/p/110471",110471)</f>
        <v>110471</v>
      </c>
      <c r="B947" t="s">
        <v>4711</v>
      </c>
      <c r="C947" t="s">
        <v>374</v>
      </c>
      <c r="D947" s="10">
        <v>35030</v>
      </c>
      <c r="E947" t="s">
        <v>65</v>
      </c>
      <c r="F947" t="s">
        <v>33</v>
      </c>
      <c r="G947" t="s">
        <v>33</v>
      </c>
      <c r="H947">
        <v>75</v>
      </c>
      <c r="I947">
        <v>187</v>
      </c>
      <c r="J947">
        <v>2018</v>
      </c>
      <c r="K947" s="4" t="str">
        <f>HYPERLINK("http://legacy.baseballprospectus.com/fantasy/dc/index.php?tm=PIT","PIT")</f>
        <v>PIT</v>
      </c>
      <c r="L947" t="s">
        <v>100</v>
      </c>
      <c r="M947" t="s">
        <v>34</v>
      </c>
      <c r="N947">
        <v>22</v>
      </c>
      <c r="O947">
        <v>250</v>
      </c>
      <c r="P947" t="s">
        <v>1680</v>
      </c>
      <c r="Q947">
        <v>230</v>
      </c>
      <c r="R947">
        <v>27</v>
      </c>
      <c r="S947">
        <v>33</v>
      </c>
      <c r="T947">
        <v>9</v>
      </c>
      <c r="U947">
        <v>1</v>
      </c>
      <c r="V947">
        <v>5</v>
      </c>
      <c r="W947">
        <v>48</v>
      </c>
      <c r="X947">
        <v>74</v>
      </c>
      <c r="Y947">
        <v>20</v>
      </c>
      <c r="Z947">
        <v>13</v>
      </c>
      <c r="AA947">
        <v>1</v>
      </c>
      <c r="AB947">
        <v>2</v>
      </c>
      <c r="AC947">
        <v>72</v>
      </c>
      <c r="AD947">
        <v>3</v>
      </c>
      <c r="AE947">
        <v>1</v>
      </c>
      <c r="AF947">
        <v>6</v>
      </c>
      <c r="AG947">
        <v>6</v>
      </c>
      <c r="AH947">
        <v>2</v>
      </c>
      <c r="AI947" s="5">
        <v>0.20799999999999999</v>
      </c>
      <c r="AJ947" s="5">
        <v>0.25600000000000001</v>
      </c>
      <c r="AK947" s="5">
        <v>0.32100000000000001</v>
      </c>
      <c r="AL947" s="5">
        <v>0.19500000000000001</v>
      </c>
      <c r="AM947" s="5">
        <v>0.27400000000000002</v>
      </c>
      <c r="AN947">
        <v>0.4</v>
      </c>
      <c r="AO947">
        <v>2.67</v>
      </c>
      <c r="AP947">
        <v>7</v>
      </c>
      <c r="AQ947">
        <v>-17.100000000000001</v>
      </c>
      <c r="AR947">
        <v>0.1</v>
      </c>
      <c r="AS947" t="s">
        <v>3893</v>
      </c>
      <c r="AT947">
        <v>-0.8</v>
      </c>
      <c r="AU947">
        <v>-7</v>
      </c>
      <c r="AV947">
        <v>1</v>
      </c>
      <c r="AW947">
        <v>2</v>
      </c>
      <c r="AX947">
        <v>1</v>
      </c>
      <c r="AY947">
        <v>3</v>
      </c>
      <c r="AZ947" t="s">
        <v>4712</v>
      </c>
      <c r="BA947">
        <v>3</v>
      </c>
      <c r="BB947" t="s">
        <v>36</v>
      </c>
      <c r="BC947" t="s">
        <v>35</v>
      </c>
      <c r="BD947" s="4">
        <f>HYPERLINK("http://mlb.mlb.com/team/player.jsp?player_id=666931",666931)</f>
        <v>666931</v>
      </c>
      <c r="BE947">
        <v>0</v>
      </c>
      <c r="BF947">
        <v>0</v>
      </c>
      <c r="BG947">
        <v>0</v>
      </c>
      <c r="BH947">
        <v>0</v>
      </c>
    </row>
    <row r="948" spans="1:60" x14ac:dyDescent="0.3">
      <c r="A948" s="4">
        <f>HYPERLINK("http://legacy.baseballprospectus.com/p/110857",110857)</f>
        <v>110857</v>
      </c>
      <c r="B948" t="s">
        <v>637</v>
      </c>
      <c r="C948" t="s">
        <v>4714</v>
      </c>
      <c r="D948" s="10">
        <v>35101</v>
      </c>
      <c r="E948" t="s">
        <v>50</v>
      </c>
      <c r="F948" t="s">
        <v>9</v>
      </c>
      <c r="G948" t="s">
        <v>9</v>
      </c>
      <c r="H948">
        <v>74</v>
      </c>
      <c r="I948">
        <v>210</v>
      </c>
      <c r="J948">
        <v>2018</v>
      </c>
      <c r="K948" s="4" t="str">
        <f>HYPERLINK("http://legacy.baseballprospectus.com/fantasy/dc/index.php?tm=ARI","ARI")</f>
        <v>ARI</v>
      </c>
      <c r="L948" t="s">
        <v>100</v>
      </c>
      <c r="M948" t="s">
        <v>34</v>
      </c>
      <c r="N948">
        <v>22</v>
      </c>
      <c r="O948">
        <v>250</v>
      </c>
      <c r="P948" t="s">
        <v>1680</v>
      </c>
      <c r="Q948">
        <v>227</v>
      </c>
      <c r="R948">
        <v>22</v>
      </c>
      <c r="S948">
        <v>33</v>
      </c>
      <c r="T948">
        <v>12</v>
      </c>
      <c r="U948">
        <v>1</v>
      </c>
      <c r="V948">
        <v>5</v>
      </c>
      <c r="W948">
        <v>51</v>
      </c>
      <c r="X948">
        <v>80</v>
      </c>
      <c r="Y948">
        <v>25</v>
      </c>
      <c r="Z948">
        <v>20</v>
      </c>
      <c r="AA948">
        <v>1</v>
      </c>
      <c r="AB948">
        <v>1</v>
      </c>
      <c r="AC948">
        <v>62</v>
      </c>
      <c r="AD948">
        <v>1</v>
      </c>
      <c r="AE948">
        <v>1</v>
      </c>
      <c r="AF948">
        <v>6</v>
      </c>
      <c r="AG948">
        <v>0</v>
      </c>
      <c r="AH948">
        <v>0</v>
      </c>
      <c r="AI948" s="5">
        <v>0.221</v>
      </c>
      <c r="AJ948" s="5">
        <v>0.28699999999999998</v>
      </c>
      <c r="AK948" s="5">
        <v>0.34599999999999997</v>
      </c>
      <c r="AL948" s="5">
        <v>0.215</v>
      </c>
      <c r="AM948" s="5">
        <v>0.28000000000000003</v>
      </c>
      <c r="AN948">
        <v>-0.4</v>
      </c>
      <c r="AO948">
        <v>-2.29</v>
      </c>
      <c r="AP948">
        <v>7</v>
      </c>
      <c r="AQ948">
        <v>-11.72</v>
      </c>
      <c r="AR948">
        <v>0.5</v>
      </c>
      <c r="AS948" t="s">
        <v>1005</v>
      </c>
      <c r="AT948">
        <v>-0.8</v>
      </c>
      <c r="AU948">
        <v>-7.4</v>
      </c>
      <c r="AV948">
        <v>9</v>
      </c>
      <c r="AW948">
        <v>11</v>
      </c>
      <c r="AX948">
        <v>2</v>
      </c>
      <c r="AY948">
        <v>13</v>
      </c>
      <c r="AZ948" t="s">
        <v>4715</v>
      </c>
      <c r="BA948">
        <v>15</v>
      </c>
      <c r="BB948" t="s">
        <v>36</v>
      </c>
      <c r="BC948" t="s">
        <v>35</v>
      </c>
      <c r="BD948" s="4">
        <f>HYPERLINK("http://mlb.mlb.com/team/player.jsp?player_id=656976",656976)</f>
        <v>656976</v>
      </c>
      <c r="BE948">
        <v>1445</v>
      </c>
      <c r="BF948">
        <v>445</v>
      </c>
      <c r="BG948">
        <v>0</v>
      </c>
      <c r="BH948">
        <v>0</v>
      </c>
    </row>
    <row r="949" spans="1:60" x14ac:dyDescent="0.3">
      <c r="A949" s="4">
        <f>HYPERLINK("http://legacy.baseballprospectus.com/p/69971",69971)</f>
        <v>69971</v>
      </c>
      <c r="B949" t="s">
        <v>4742</v>
      </c>
      <c r="C949" t="s">
        <v>452</v>
      </c>
      <c r="D949" s="10">
        <v>33081</v>
      </c>
      <c r="E949" t="s">
        <v>57</v>
      </c>
      <c r="F949" t="s">
        <v>33</v>
      </c>
      <c r="G949" t="s">
        <v>33</v>
      </c>
      <c r="H949">
        <v>74</v>
      </c>
      <c r="I949">
        <v>215</v>
      </c>
      <c r="J949">
        <v>2018</v>
      </c>
      <c r="K949" s="4" t="str">
        <f>HYPERLINK("http://legacy.baseballprospectus.com/fantasy/dc/index.php?tm=MIN","MIN")</f>
        <v>MIN</v>
      </c>
      <c r="L949" t="s">
        <v>95</v>
      </c>
      <c r="M949" t="s">
        <v>34</v>
      </c>
      <c r="N949">
        <v>27</v>
      </c>
      <c r="O949">
        <v>250</v>
      </c>
      <c r="P949" t="s">
        <v>1680</v>
      </c>
      <c r="Q949">
        <v>227</v>
      </c>
      <c r="R949">
        <v>23</v>
      </c>
      <c r="S949">
        <v>29</v>
      </c>
      <c r="T949">
        <v>11</v>
      </c>
      <c r="U949">
        <v>1</v>
      </c>
      <c r="V949">
        <v>6</v>
      </c>
      <c r="W949">
        <v>47</v>
      </c>
      <c r="X949">
        <v>78</v>
      </c>
      <c r="Y949">
        <v>27</v>
      </c>
      <c r="Z949">
        <v>18</v>
      </c>
      <c r="AA949">
        <v>1</v>
      </c>
      <c r="AB949">
        <v>3</v>
      </c>
      <c r="AC949">
        <v>89</v>
      </c>
      <c r="AD949">
        <v>1</v>
      </c>
      <c r="AE949">
        <v>2</v>
      </c>
      <c r="AF949">
        <v>6</v>
      </c>
      <c r="AG949">
        <v>1</v>
      </c>
      <c r="AH949">
        <v>0</v>
      </c>
      <c r="AI949" s="5">
        <v>0.21099999999999999</v>
      </c>
      <c r="AJ949" s="5">
        <v>0.27700000000000002</v>
      </c>
      <c r="AK949" s="5">
        <v>0.35099999999999998</v>
      </c>
      <c r="AL949" s="5">
        <v>0.20799999999999999</v>
      </c>
      <c r="AM949" s="5">
        <v>0.311</v>
      </c>
      <c r="AN949">
        <v>-0.3</v>
      </c>
      <c r="AO949">
        <v>-0.31</v>
      </c>
      <c r="AP949">
        <v>7</v>
      </c>
      <c r="AQ949">
        <v>-13.73</v>
      </c>
      <c r="AR949">
        <v>-1</v>
      </c>
      <c r="AS949" t="s">
        <v>2173</v>
      </c>
      <c r="AT949">
        <v>-0.9</v>
      </c>
      <c r="AU949">
        <v>-7.3</v>
      </c>
      <c r="AV949">
        <v>0</v>
      </c>
      <c r="AW949">
        <v>0</v>
      </c>
      <c r="AX949">
        <v>1</v>
      </c>
      <c r="AY949">
        <v>1</v>
      </c>
      <c r="AZ949" t="s">
        <v>4743</v>
      </c>
      <c r="BA949">
        <v>1</v>
      </c>
      <c r="BB949" t="s">
        <v>36</v>
      </c>
      <c r="BC949" t="s">
        <v>35</v>
      </c>
      <c r="BD949" s="4">
        <f>HYPERLINK("http://mlb.mlb.com/team/player.jsp?player_id=607388",607388)</f>
        <v>607388</v>
      </c>
      <c r="BE949">
        <v>0</v>
      </c>
      <c r="BF949">
        <v>0</v>
      </c>
      <c r="BG949">
        <v>0</v>
      </c>
      <c r="BH949">
        <v>0</v>
      </c>
    </row>
    <row r="950" spans="1:60" x14ac:dyDescent="0.3">
      <c r="A950" s="4">
        <f>HYPERLINK("http://legacy.baseballprospectus.com/p/104783",104783)</f>
        <v>104783</v>
      </c>
      <c r="B950" t="s">
        <v>1441</v>
      </c>
      <c r="C950" t="s">
        <v>344</v>
      </c>
      <c r="D950" s="10">
        <v>34967</v>
      </c>
      <c r="E950" t="s">
        <v>50</v>
      </c>
      <c r="F950" t="s">
        <v>33</v>
      </c>
      <c r="G950" t="s">
        <v>33</v>
      </c>
      <c r="H950">
        <v>77</v>
      </c>
      <c r="I950">
        <v>190</v>
      </c>
      <c r="J950">
        <v>2018</v>
      </c>
      <c r="K950" s="4" t="str">
        <f>HYPERLINK("http://legacy.baseballprospectus.com/fantasy/dc/index.php?tm=MIL","MIL")</f>
        <v>MIL</v>
      </c>
      <c r="L950" t="s">
        <v>100</v>
      </c>
      <c r="M950" t="s">
        <v>34</v>
      </c>
      <c r="N950">
        <v>22</v>
      </c>
      <c r="O950">
        <v>250</v>
      </c>
      <c r="P950" t="s">
        <v>1680</v>
      </c>
      <c r="Q950">
        <v>234</v>
      </c>
      <c r="R950">
        <v>24</v>
      </c>
      <c r="S950">
        <v>29</v>
      </c>
      <c r="T950">
        <v>12</v>
      </c>
      <c r="U950">
        <v>0</v>
      </c>
      <c r="V950">
        <v>8</v>
      </c>
      <c r="W950">
        <v>49</v>
      </c>
      <c r="X950">
        <v>85</v>
      </c>
      <c r="Y950">
        <v>30</v>
      </c>
      <c r="Z950">
        <v>13</v>
      </c>
      <c r="AA950">
        <v>1</v>
      </c>
      <c r="AB950">
        <v>1</v>
      </c>
      <c r="AC950">
        <v>87</v>
      </c>
      <c r="AD950">
        <v>1</v>
      </c>
      <c r="AE950">
        <v>1</v>
      </c>
      <c r="AF950">
        <v>6</v>
      </c>
      <c r="AG950">
        <v>1</v>
      </c>
      <c r="AH950">
        <v>0</v>
      </c>
      <c r="AI950" s="5">
        <v>0.21</v>
      </c>
      <c r="AJ950" s="5">
        <v>0.254</v>
      </c>
      <c r="AK950" s="5">
        <v>0.371</v>
      </c>
      <c r="AL950" s="5">
        <v>0.20899999999999999</v>
      </c>
      <c r="AM950" s="5">
        <v>0.28999999999999998</v>
      </c>
      <c r="AN950">
        <v>-0.3</v>
      </c>
      <c r="AO950">
        <v>-1.22</v>
      </c>
      <c r="AP950">
        <v>7</v>
      </c>
      <c r="AQ950">
        <v>-13.52</v>
      </c>
      <c r="AR950">
        <v>-0.2</v>
      </c>
      <c r="AS950" t="s">
        <v>2200</v>
      </c>
      <c r="AT950">
        <v>-0.9</v>
      </c>
      <c r="AU950">
        <v>-8.1</v>
      </c>
      <c r="AV950">
        <v>1</v>
      </c>
      <c r="AW950">
        <v>2</v>
      </c>
      <c r="AX950">
        <v>1</v>
      </c>
      <c r="AY950">
        <v>3</v>
      </c>
      <c r="AZ950" t="s">
        <v>4744</v>
      </c>
      <c r="BA950">
        <v>3</v>
      </c>
      <c r="BB950" t="s">
        <v>36</v>
      </c>
      <c r="BC950" t="s">
        <v>35</v>
      </c>
      <c r="BD950" s="4">
        <f>HYPERLINK("http://mlb.mlb.com/team/player.jsp?player_id=656449",656449)</f>
        <v>656449</v>
      </c>
      <c r="BE950">
        <v>1770</v>
      </c>
      <c r="BF950">
        <v>770</v>
      </c>
      <c r="BG950">
        <v>0</v>
      </c>
      <c r="BH950">
        <v>0</v>
      </c>
    </row>
    <row r="951" spans="1:60" x14ac:dyDescent="0.3">
      <c r="A951" s="4">
        <f>HYPERLINK("http://legacy.baseballprospectus.com/p/106908",106908)</f>
        <v>106908</v>
      </c>
      <c r="B951" t="s">
        <v>632</v>
      </c>
      <c r="C951" t="s">
        <v>1965</v>
      </c>
      <c r="D951" s="10">
        <v>35766</v>
      </c>
      <c r="E951" t="s">
        <v>53</v>
      </c>
      <c r="F951" t="s">
        <v>33</v>
      </c>
      <c r="G951" t="s">
        <v>33</v>
      </c>
      <c r="H951">
        <v>71</v>
      </c>
      <c r="I951">
        <v>165</v>
      </c>
      <c r="J951">
        <v>2018</v>
      </c>
      <c r="K951" s="4" t="str">
        <f>HYPERLINK("http://legacy.baseballprospectus.com/fantasy/dc/index.php?tm=HOU","HOU")</f>
        <v>HOU</v>
      </c>
      <c r="L951" t="s">
        <v>95</v>
      </c>
      <c r="M951" t="s">
        <v>34</v>
      </c>
      <c r="N951">
        <v>20</v>
      </c>
      <c r="O951">
        <v>250</v>
      </c>
      <c r="P951" t="s">
        <v>1680</v>
      </c>
      <c r="Q951">
        <v>229</v>
      </c>
      <c r="R951">
        <v>27</v>
      </c>
      <c r="S951">
        <v>25</v>
      </c>
      <c r="T951">
        <v>8</v>
      </c>
      <c r="U951">
        <v>1</v>
      </c>
      <c r="V951">
        <v>7</v>
      </c>
      <c r="W951">
        <v>41</v>
      </c>
      <c r="X951">
        <v>72</v>
      </c>
      <c r="Y951">
        <v>23</v>
      </c>
      <c r="Z951">
        <v>14</v>
      </c>
      <c r="AA951">
        <v>1</v>
      </c>
      <c r="AB951">
        <v>4</v>
      </c>
      <c r="AC951">
        <v>97</v>
      </c>
      <c r="AD951">
        <v>2</v>
      </c>
      <c r="AE951">
        <v>1</v>
      </c>
      <c r="AF951">
        <v>7</v>
      </c>
      <c r="AG951">
        <v>2</v>
      </c>
      <c r="AH951">
        <v>2</v>
      </c>
      <c r="AI951" s="5">
        <v>0.182</v>
      </c>
      <c r="AJ951" s="5">
        <v>0.24199999999999999</v>
      </c>
      <c r="AK951" s="5">
        <v>0.317</v>
      </c>
      <c r="AL951" s="5">
        <v>0.192</v>
      </c>
      <c r="AM951" s="5">
        <v>0.27100000000000002</v>
      </c>
      <c r="AN951">
        <v>-0.4</v>
      </c>
      <c r="AO951">
        <v>4.04</v>
      </c>
      <c r="AP951">
        <v>7</v>
      </c>
      <c r="AQ951">
        <v>-17.87</v>
      </c>
      <c r="AR951">
        <v>-1</v>
      </c>
      <c r="AS951" t="s">
        <v>1810</v>
      </c>
      <c r="AT951">
        <v>-0.9</v>
      </c>
      <c r="AU951">
        <v>-7.2</v>
      </c>
      <c r="AV951">
        <v>2</v>
      </c>
      <c r="AW951">
        <v>5</v>
      </c>
      <c r="AX951">
        <v>0</v>
      </c>
      <c r="AY951">
        <v>2</v>
      </c>
      <c r="AZ951" t="s">
        <v>4724</v>
      </c>
      <c r="BA951">
        <v>8</v>
      </c>
      <c r="BB951" t="s">
        <v>36</v>
      </c>
      <c r="BC951" t="s">
        <v>35</v>
      </c>
      <c r="BD951" s="4">
        <f>HYPERLINK("http://mlb.mlb.com/team/player.jsp?player_id=658531",658531)</f>
        <v>658531</v>
      </c>
      <c r="BE951">
        <v>0</v>
      </c>
      <c r="BF951">
        <v>0</v>
      </c>
      <c r="BG951">
        <v>0</v>
      </c>
      <c r="BH951">
        <v>0</v>
      </c>
    </row>
    <row r="952" spans="1:60" x14ac:dyDescent="0.3">
      <c r="A952" s="4">
        <f>HYPERLINK("http://legacy.baseballprospectus.com/p/107439",107439)</f>
        <v>107439</v>
      </c>
      <c r="B952" t="s">
        <v>4745</v>
      </c>
      <c r="C952" t="s">
        <v>4746</v>
      </c>
      <c r="D952" s="10">
        <v>36023</v>
      </c>
      <c r="E952" t="s">
        <v>65</v>
      </c>
      <c r="F952" t="s">
        <v>9</v>
      </c>
      <c r="G952" t="s">
        <v>9</v>
      </c>
      <c r="H952">
        <v>71</v>
      </c>
      <c r="I952">
        <v>185</v>
      </c>
      <c r="J952">
        <v>2018</v>
      </c>
      <c r="K952" s="4" t="str">
        <f>HYPERLINK("http://legacy.baseballprospectus.com/fantasy/dc/index.php?tm=MIN","MIN")</f>
        <v>MIN</v>
      </c>
      <c r="L952" t="s">
        <v>95</v>
      </c>
      <c r="M952" t="s">
        <v>34</v>
      </c>
      <c r="N952">
        <v>19</v>
      </c>
      <c r="O952">
        <v>250</v>
      </c>
      <c r="P952" t="s">
        <v>1680</v>
      </c>
      <c r="Q952">
        <v>224</v>
      </c>
      <c r="R952">
        <v>28</v>
      </c>
      <c r="S952">
        <v>29</v>
      </c>
      <c r="T952">
        <v>9</v>
      </c>
      <c r="U952">
        <v>1</v>
      </c>
      <c r="V952">
        <v>6</v>
      </c>
      <c r="W952">
        <v>45</v>
      </c>
      <c r="X952">
        <v>74</v>
      </c>
      <c r="Y952">
        <v>23</v>
      </c>
      <c r="Z952">
        <v>22</v>
      </c>
      <c r="AA952">
        <v>1</v>
      </c>
      <c r="AB952">
        <v>1</v>
      </c>
      <c r="AC952">
        <v>78</v>
      </c>
      <c r="AD952">
        <v>1</v>
      </c>
      <c r="AE952">
        <v>1</v>
      </c>
      <c r="AF952">
        <v>5</v>
      </c>
      <c r="AG952">
        <v>2</v>
      </c>
      <c r="AH952">
        <v>1</v>
      </c>
      <c r="AI952" s="5">
        <v>0.20399999999999999</v>
      </c>
      <c r="AJ952" s="5">
        <v>0.27900000000000003</v>
      </c>
      <c r="AK952" s="5">
        <v>0.33900000000000002</v>
      </c>
      <c r="AL952" s="5">
        <v>0.20599999999999999</v>
      </c>
      <c r="AM952" s="5">
        <v>0.27700000000000002</v>
      </c>
      <c r="AN952">
        <v>-0.1</v>
      </c>
      <c r="AO952">
        <v>2.8</v>
      </c>
      <c r="AP952">
        <v>7</v>
      </c>
      <c r="AQ952">
        <v>-14.31</v>
      </c>
      <c r="AR952">
        <v>-3.3</v>
      </c>
      <c r="AS952" t="s">
        <v>1046</v>
      </c>
      <c r="AT952">
        <v>-0.9</v>
      </c>
      <c r="AU952">
        <v>-4.5999999999999996</v>
      </c>
      <c r="AV952">
        <v>0</v>
      </c>
      <c r="AW952">
        <v>8</v>
      </c>
      <c r="AX952">
        <v>2</v>
      </c>
      <c r="AY952">
        <v>7</v>
      </c>
      <c r="AZ952" t="s">
        <v>4747</v>
      </c>
      <c r="BA952">
        <v>16</v>
      </c>
      <c r="BB952" t="s">
        <v>36</v>
      </c>
      <c r="BC952" t="s">
        <v>35</v>
      </c>
      <c r="BD952" s="4">
        <f>HYPERLINK("http://mlb.mlb.com/team/player.jsp?player_id=668731",668731)</f>
        <v>668731</v>
      </c>
      <c r="BE952">
        <v>0</v>
      </c>
      <c r="BF952">
        <v>0</v>
      </c>
      <c r="BG952">
        <v>0</v>
      </c>
      <c r="BH952">
        <v>0</v>
      </c>
    </row>
    <row r="953" spans="1:60" x14ac:dyDescent="0.3">
      <c r="A953" s="4">
        <f>HYPERLINK("http://legacy.baseballprospectus.com/p/107480",107480)</f>
        <v>107480</v>
      </c>
      <c r="B953" t="s">
        <v>2005</v>
      </c>
      <c r="C953" t="s">
        <v>515</v>
      </c>
      <c r="D953" s="10">
        <v>35962</v>
      </c>
      <c r="E953" t="s">
        <v>57</v>
      </c>
      <c r="F953" t="s">
        <v>9</v>
      </c>
      <c r="G953" t="s">
        <v>9</v>
      </c>
      <c r="H953">
        <v>77</v>
      </c>
      <c r="I953">
        <v>225</v>
      </c>
      <c r="J953">
        <v>2018</v>
      </c>
      <c r="K953" s="4" t="str">
        <f>HYPERLINK("http://legacy.baseballprospectus.com/fantasy/dc/index.php?tm=CLE","CLE")</f>
        <v>CLE</v>
      </c>
      <c r="L953" t="s">
        <v>95</v>
      </c>
      <c r="M953" t="s">
        <v>34</v>
      </c>
      <c r="N953">
        <v>20</v>
      </c>
      <c r="O953">
        <v>250</v>
      </c>
      <c r="P953" t="s">
        <v>1680</v>
      </c>
      <c r="Q953">
        <v>225</v>
      </c>
      <c r="R953">
        <v>26</v>
      </c>
      <c r="S953">
        <v>24</v>
      </c>
      <c r="T953">
        <v>8</v>
      </c>
      <c r="U953">
        <v>1</v>
      </c>
      <c r="V953">
        <v>8</v>
      </c>
      <c r="W953">
        <v>41</v>
      </c>
      <c r="X953">
        <v>75</v>
      </c>
      <c r="Y953">
        <v>29</v>
      </c>
      <c r="Z953">
        <v>22</v>
      </c>
      <c r="AA953">
        <v>1</v>
      </c>
      <c r="AB953">
        <v>2</v>
      </c>
      <c r="AC953">
        <v>96</v>
      </c>
      <c r="AD953">
        <v>1</v>
      </c>
      <c r="AE953">
        <v>1</v>
      </c>
      <c r="AF953">
        <v>6</v>
      </c>
      <c r="AG953">
        <v>3</v>
      </c>
      <c r="AH953">
        <v>1</v>
      </c>
      <c r="AI953" s="5">
        <v>0.187</v>
      </c>
      <c r="AJ953" s="5">
        <v>0.26200000000000001</v>
      </c>
      <c r="AK953" s="5">
        <v>0.34599999999999997</v>
      </c>
      <c r="AL953" s="5">
        <v>0.20599999999999999</v>
      </c>
      <c r="AM953" s="5">
        <v>0.27500000000000002</v>
      </c>
      <c r="AN953">
        <v>0.1</v>
      </c>
      <c r="AO953">
        <v>-0.14000000000000001</v>
      </c>
      <c r="AP953">
        <v>7</v>
      </c>
      <c r="AQ953">
        <v>-14.15</v>
      </c>
      <c r="AR953">
        <v>-0.8</v>
      </c>
      <c r="AS953" t="s">
        <v>78</v>
      </c>
      <c r="AT953">
        <v>-0.9</v>
      </c>
      <c r="AU953">
        <v>-7.2</v>
      </c>
      <c r="AV953">
        <v>2</v>
      </c>
      <c r="AW953">
        <v>7</v>
      </c>
      <c r="AX953">
        <v>0</v>
      </c>
      <c r="AY953">
        <v>4</v>
      </c>
      <c r="AZ953" t="s">
        <v>4748</v>
      </c>
      <c r="BA953">
        <v>9</v>
      </c>
      <c r="BB953" t="s">
        <v>36</v>
      </c>
      <c r="BC953" t="s">
        <v>35</v>
      </c>
      <c r="BD953" s="4">
        <f>HYPERLINK("http://mlb.mlb.com/team/player.jsp?player_id=666181",666181)</f>
        <v>666181</v>
      </c>
      <c r="BE953">
        <v>649</v>
      </c>
      <c r="BF953">
        <v>1649</v>
      </c>
      <c r="BG953">
        <v>0</v>
      </c>
      <c r="BH953">
        <v>0</v>
      </c>
    </row>
    <row r="954" spans="1:60" x14ac:dyDescent="0.3">
      <c r="A954" s="4">
        <f>HYPERLINK("http://legacy.baseballprospectus.com/p/108243",108243)</f>
        <v>108243</v>
      </c>
      <c r="B954" t="s">
        <v>1976</v>
      </c>
      <c r="C954" t="s">
        <v>1977</v>
      </c>
      <c r="D954" s="10">
        <v>35928</v>
      </c>
      <c r="E954" t="s">
        <v>65</v>
      </c>
      <c r="F954" t="s">
        <v>9</v>
      </c>
      <c r="G954" t="s">
        <v>33</v>
      </c>
      <c r="H954">
        <v>74</v>
      </c>
      <c r="I954">
        <v>185</v>
      </c>
      <c r="J954">
        <v>2018</v>
      </c>
      <c r="K954" s="4" t="str">
        <f>HYPERLINK("http://legacy.baseballprospectus.com/fantasy/dc/index.php?tm=PHI","PHI")</f>
        <v>PHI</v>
      </c>
      <c r="L954" t="s">
        <v>100</v>
      </c>
      <c r="M954" t="s">
        <v>34</v>
      </c>
      <c r="N954">
        <v>20</v>
      </c>
      <c r="O954">
        <v>250</v>
      </c>
      <c r="P954" t="s">
        <v>1680</v>
      </c>
      <c r="Q954">
        <v>233</v>
      </c>
      <c r="R954">
        <v>23</v>
      </c>
      <c r="S954">
        <v>32</v>
      </c>
      <c r="T954">
        <v>10</v>
      </c>
      <c r="U954">
        <v>1</v>
      </c>
      <c r="V954">
        <v>7</v>
      </c>
      <c r="W954">
        <v>50</v>
      </c>
      <c r="X954">
        <v>83</v>
      </c>
      <c r="Y954">
        <v>27</v>
      </c>
      <c r="Z954">
        <v>13</v>
      </c>
      <c r="AA954">
        <v>1</v>
      </c>
      <c r="AB954">
        <v>2</v>
      </c>
      <c r="AC954">
        <v>71</v>
      </c>
      <c r="AD954">
        <v>1</v>
      </c>
      <c r="AE954">
        <v>2</v>
      </c>
      <c r="AF954">
        <v>6</v>
      </c>
      <c r="AG954">
        <v>2</v>
      </c>
      <c r="AH954">
        <v>1</v>
      </c>
      <c r="AI954" s="5">
        <v>0.215</v>
      </c>
      <c r="AJ954" s="5">
        <v>0.26</v>
      </c>
      <c r="AK954" s="5">
        <v>0.35599999999999998</v>
      </c>
      <c r="AL954" s="5">
        <v>0.20499999999999999</v>
      </c>
      <c r="AM954" s="5">
        <v>0.27600000000000002</v>
      </c>
      <c r="AN954">
        <v>-0.2</v>
      </c>
      <c r="AO954">
        <v>3.2</v>
      </c>
      <c r="AP954">
        <v>7</v>
      </c>
      <c r="AQ954">
        <v>-14.46</v>
      </c>
      <c r="AR954">
        <v>-3.8</v>
      </c>
      <c r="AS954" t="s">
        <v>1015</v>
      </c>
      <c r="AT954">
        <v>-0.9</v>
      </c>
      <c r="AU954">
        <v>-4.4000000000000004</v>
      </c>
      <c r="AV954">
        <v>1</v>
      </c>
      <c r="AW954">
        <v>4</v>
      </c>
      <c r="AX954">
        <v>0</v>
      </c>
      <c r="AY954">
        <v>2</v>
      </c>
      <c r="AZ954" t="s">
        <v>4749</v>
      </c>
      <c r="BA954">
        <v>5</v>
      </c>
      <c r="BB954" t="s">
        <v>36</v>
      </c>
      <c r="BC954" t="s">
        <v>35</v>
      </c>
      <c r="BD954" s="4">
        <f>HYPERLINK("http://mlb.mlb.com/team/player.jsp?player_id=666160",666160)</f>
        <v>666160</v>
      </c>
      <c r="BE954">
        <v>1674</v>
      </c>
      <c r="BF954">
        <v>674</v>
      </c>
      <c r="BG954">
        <v>0</v>
      </c>
      <c r="BH954">
        <v>0</v>
      </c>
    </row>
    <row r="955" spans="1:60" x14ac:dyDescent="0.3">
      <c r="A955" s="4">
        <f>HYPERLINK("http://legacy.baseballprospectus.com/p/109054",109054)</f>
        <v>109054</v>
      </c>
      <c r="B955" t="s">
        <v>1979</v>
      </c>
      <c r="C955" t="s">
        <v>176</v>
      </c>
      <c r="D955" s="10">
        <v>35552</v>
      </c>
      <c r="E955" t="s">
        <v>65</v>
      </c>
      <c r="F955" t="s">
        <v>9</v>
      </c>
      <c r="G955" t="s">
        <v>33</v>
      </c>
      <c r="H955">
        <v>75</v>
      </c>
      <c r="I955">
        <v>195</v>
      </c>
      <c r="J955">
        <v>2018</v>
      </c>
      <c r="K955" s="4" t="str">
        <f>HYPERLINK("http://legacy.baseballprospectus.com/fantasy/dc/index.php?tm=CHA","CHA")</f>
        <v>CHA</v>
      </c>
      <c r="L955" t="s">
        <v>95</v>
      </c>
      <c r="M955" t="s">
        <v>34</v>
      </c>
      <c r="N955">
        <v>21</v>
      </c>
      <c r="O955">
        <v>250</v>
      </c>
      <c r="P955" t="s">
        <v>1680</v>
      </c>
      <c r="Q955">
        <v>228</v>
      </c>
      <c r="R955">
        <v>24</v>
      </c>
      <c r="S955">
        <v>33</v>
      </c>
      <c r="T955">
        <v>11</v>
      </c>
      <c r="U955">
        <v>1</v>
      </c>
      <c r="V955">
        <v>6</v>
      </c>
      <c r="W955">
        <v>51</v>
      </c>
      <c r="X955">
        <v>82</v>
      </c>
      <c r="Y955">
        <v>27</v>
      </c>
      <c r="Z955">
        <v>19</v>
      </c>
      <c r="AA955">
        <v>1</v>
      </c>
      <c r="AB955">
        <v>1</v>
      </c>
      <c r="AC955">
        <v>65</v>
      </c>
      <c r="AD955">
        <v>1</v>
      </c>
      <c r="AE955">
        <v>1</v>
      </c>
      <c r="AF955">
        <v>6</v>
      </c>
      <c r="AG955">
        <v>1</v>
      </c>
      <c r="AH955">
        <v>1</v>
      </c>
      <c r="AI955" s="5">
        <v>0.222</v>
      </c>
      <c r="AJ955" s="5">
        <v>0.28299999999999997</v>
      </c>
      <c r="AK955" s="5">
        <v>0.35499999999999998</v>
      </c>
      <c r="AL955" s="5">
        <v>0.214</v>
      </c>
      <c r="AM955" s="5">
        <v>0.28000000000000003</v>
      </c>
      <c r="AN955">
        <v>-0.3</v>
      </c>
      <c r="AO955">
        <v>2.15</v>
      </c>
      <c r="AP955">
        <v>7</v>
      </c>
      <c r="AQ955">
        <v>-11.99</v>
      </c>
      <c r="AR955">
        <v>-5</v>
      </c>
      <c r="AS955" t="s">
        <v>4874</v>
      </c>
      <c r="AT955">
        <v>-0.9</v>
      </c>
      <c r="AU955">
        <v>-3.1</v>
      </c>
      <c r="AV955">
        <v>1</v>
      </c>
      <c r="AW955">
        <v>4</v>
      </c>
      <c r="AX955">
        <v>2</v>
      </c>
      <c r="AY955">
        <v>4</v>
      </c>
      <c r="AZ955" t="s">
        <v>4752</v>
      </c>
      <c r="BA955">
        <v>6</v>
      </c>
      <c r="BB955" t="s">
        <v>36</v>
      </c>
      <c r="BC955" t="s">
        <v>35</v>
      </c>
      <c r="BD955" s="4">
        <f>HYPERLINK("http://mlb.mlb.com/team/player.jsp?player_id=666164",666164)</f>
        <v>666164</v>
      </c>
      <c r="BE955">
        <v>644</v>
      </c>
      <c r="BF955">
        <v>1644</v>
      </c>
      <c r="BG955">
        <v>0</v>
      </c>
      <c r="BH955">
        <v>0</v>
      </c>
    </row>
    <row r="956" spans="1:60" x14ac:dyDescent="0.3">
      <c r="A956" s="4">
        <f>HYPERLINK("http://legacy.baseballprospectus.com/p/109145",109145)</f>
        <v>109145</v>
      </c>
      <c r="B956" t="s">
        <v>2001</v>
      </c>
      <c r="C956" t="s">
        <v>2002</v>
      </c>
      <c r="D956" s="10">
        <v>36459</v>
      </c>
      <c r="E956" t="s">
        <v>53</v>
      </c>
      <c r="F956" t="s">
        <v>37</v>
      </c>
      <c r="G956" t="s">
        <v>33</v>
      </c>
      <c r="H956">
        <v>72</v>
      </c>
      <c r="I956">
        <v>170</v>
      </c>
      <c r="J956">
        <v>2018</v>
      </c>
      <c r="K956" s="4" t="str">
        <f>HYPERLINK("http://legacy.baseballprospectus.com/fantasy/dc/index.php?tm=WAS","WAS")</f>
        <v>WAS</v>
      </c>
      <c r="L956" t="s">
        <v>100</v>
      </c>
      <c r="M956" t="s">
        <v>34</v>
      </c>
      <c r="N956">
        <v>18</v>
      </c>
      <c r="O956">
        <v>250</v>
      </c>
      <c r="P956" t="s">
        <v>1680</v>
      </c>
      <c r="Q956">
        <v>230</v>
      </c>
      <c r="R956">
        <v>26</v>
      </c>
      <c r="S956">
        <v>32</v>
      </c>
      <c r="T956">
        <v>9</v>
      </c>
      <c r="U956">
        <v>1</v>
      </c>
      <c r="V956">
        <v>6</v>
      </c>
      <c r="W956">
        <v>48</v>
      </c>
      <c r="X956">
        <v>77</v>
      </c>
      <c r="Y956">
        <v>22</v>
      </c>
      <c r="Z956">
        <v>16</v>
      </c>
      <c r="AA956">
        <v>1</v>
      </c>
      <c r="AB956">
        <v>1</v>
      </c>
      <c r="AC956">
        <v>78</v>
      </c>
      <c r="AD956">
        <v>1</v>
      </c>
      <c r="AE956">
        <v>2</v>
      </c>
      <c r="AF956">
        <v>6</v>
      </c>
      <c r="AG956">
        <v>1</v>
      </c>
      <c r="AH956">
        <v>1</v>
      </c>
      <c r="AI956" s="5">
        <v>0.20699999999999999</v>
      </c>
      <c r="AJ956" s="5">
        <v>0.26</v>
      </c>
      <c r="AK956" s="5">
        <v>0.32800000000000001</v>
      </c>
      <c r="AL956" s="5">
        <v>0.19400000000000001</v>
      </c>
      <c r="AM956" s="5">
        <v>0.28100000000000003</v>
      </c>
      <c r="AN956">
        <v>-0.4</v>
      </c>
      <c r="AO956">
        <v>2.78</v>
      </c>
      <c r="AP956">
        <v>7</v>
      </c>
      <c r="AQ956">
        <v>-17.23</v>
      </c>
      <c r="AR956">
        <v>-0.1</v>
      </c>
      <c r="AS956" t="s">
        <v>1743</v>
      </c>
      <c r="AT956">
        <v>-0.9</v>
      </c>
      <c r="AU956">
        <v>-7.9</v>
      </c>
      <c r="AV956">
        <v>0</v>
      </c>
      <c r="AW956">
        <v>0</v>
      </c>
      <c r="AX956">
        <v>0</v>
      </c>
      <c r="AY956">
        <v>0</v>
      </c>
      <c r="AZ956" t="s">
        <v>1886</v>
      </c>
      <c r="BA956">
        <v>0</v>
      </c>
      <c r="BB956" t="s">
        <v>36</v>
      </c>
      <c r="BC956" t="s">
        <v>35</v>
      </c>
      <c r="BD956" s="4">
        <f>HYPERLINK("http://mlb.mlb.com/team/player.jsp?player_id=671276",671276)</f>
        <v>671276</v>
      </c>
      <c r="BE956">
        <v>0</v>
      </c>
      <c r="BF956">
        <v>0</v>
      </c>
      <c r="BG956">
        <v>0</v>
      </c>
      <c r="BH956">
        <v>0</v>
      </c>
    </row>
    <row r="957" spans="1:60" x14ac:dyDescent="0.3">
      <c r="A957" s="4">
        <f>HYPERLINK("http://legacy.baseballprospectus.com/p/109478",109478)</f>
        <v>109478</v>
      </c>
      <c r="B957" t="s">
        <v>4753</v>
      </c>
      <c r="C957" t="s">
        <v>277</v>
      </c>
      <c r="D957" s="10">
        <v>35477</v>
      </c>
      <c r="E957" t="s">
        <v>59</v>
      </c>
      <c r="F957" t="s">
        <v>9</v>
      </c>
      <c r="G957" t="s">
        <v>33</v>
      </c>
      <c r="H957">
        <v>77</v>
      </c>
      <c r="I957">
        <v>195</v>
      </c>
      <c r="J957">
        <v>2018</v>
      </c>
      <c r="K957" s="4" t="str">
        <f>HYPERLINK("http://legacy.baseballprospectus.com/fantasy/dc/index.php?tm=SFN","SFN")</f>
        <v>SFN</v>
      </c>
      <c r="L957" t="s">
        <v>100</v>
      </c>
      <c r="M957" t="s">
        <v>34</v>
      </c>
      <c r="N957">
        <v>21</v>
      </c>
      <c r="O957">
        <v>250</v>
      </c>
      <c r="P957" t="s">
        <v>1680</v>
      </c>
      <c r="Q957">
        <v>233</v>
      </c>
      <c r="R957">
        <v>22</v>
      </c>
      <c r="S957">
        <v>28</v>
      </c>
      <c r="T957">
        <v>9</v>
      </c>
      <c r="U957">
        <v>1</v>
      </c>
      <c r="V957">
        <v>7</v>
      </c>
      <c r="W957">
        <v>45</v>
      </c>
      <c r="X957">
        <v>77</v>
      </c>
      <c r="Y957">
        <v>26</v>
      </c>
      <c r="Z957">
        <v>13</v>
      </c>
      <c r="AA957">
        <v>1</v>
      </c>
      <c r="AB957">
        <v>1</v>
      </c>
      <c r="AC957">
        <v>91</v>
      </c>
      <c r="AD957">
        <v>1</v>
      </c>
      <c r="AE957">
        <v>1</v>
      </c>
      <c r="AF957">
        <v>6</v>
      </c>
      <c r="AG957">
        <v>2</v>
      </c>
      <c r="AH957">
        <v>1</v>
      </c>
      <c r="AI957" s="5">
        <v>0.192</v>
      </c>
      <c r="AJ957" s="5">
        <v>0.23599999999999999</v>
      </c>
      <c r="AK957" s="5">
        <v>0.32400000000000001</v>
      </c>
      <c r="AL957" s="5">
        <v>0.19400000000000001</v>
      </c>
      <c r="AM957" s="5">
        <v>0.27500000000000002</v>
      </c>
      <c r="AN957">
        <v>-0.2</v>
      </c>
      <c r="AO957">
        <v>1.23</v>
      </c>
      <c r="AP957">
        <v>7</v>
      </c>
      <c r="AQ957">
        <v>-17.29</v>
      </c>
      <c r="AR957">
        <v>1</v>
      </c>
      <c r="AS957" t="s">
        <v>1543</v>
      </c>
      <c r="AT957">
        <v>-0.9</v>
      </c>
      <c r="AU957">
        <v>-9.1999999999999993</v>
      </c>
      <c r="AV957">
        <v>0</v>
      </c>
      <c r="AW957">
        <v>0</v>
      </c>
      <c r="AX957">
        <v>0</v>
      </c>
      <c r="AY957">
        <v>1</v>
      </c>
      <c r="AZ957" t="s">
        <v>4754</v>
      </c>
      <c r="BA957">
        <v>1</v>
      </c>
      <c r="BB957" t="s">
        <v>36</v>
      </c>
      <c r="BC957" t="s">
        <v>35</v>
      </c>
      <c r="BD957" s="4">
        <f>HYPERLINK("http://mlb.mlb.com/team/player.jsp?player_id=670252",670252)</f>
        <v>670252</v>
      </c>
      <c r="BE957">
        <v>0</v>
      </c>
      <c r="BF957">
        <v>0</v>
      </c>
      <c r="BG957">
        <v>0</v>
      </c>
      <c r="BH957">
        <v>0</v>
      </c>
    </row>
    <row r="958" spans="1:60" x14ac:dyDescent="0.3">
      <c r="A958" s="4">
        <f>HYPERLINK("http://legacy.baseballprospectus.com/p/110092",110092)</f>
        <v>110092</v>
      </c>
      <c r="B958" t="s">
        <v>445</v>
      </c>
      <c r="C958" t="s">
        <v>199</v>
      </c>
      <c r="D958" s="10">
        <v>34999</v>
      </c>
      <c r="E958" t="s">
        <v>59</v>
      </c>
      <c r="F958" t="s">
        <v>37</v>
      </c>
      <c r="G958" t="s">
        <v>33</v>
      </c>
      <c r="H958">
        <v>74</v>
      </c>
      <c r="I958">
        <v>180</v>
      </c>
      <c r="J958">
        <v>2018</v>
      </c>
      <c r="K958" s="4" t="str">
        <f>HYPERLINK("http://legacy.baseballprospectus.com/fantasy/dc/index.php?tm=SFN","SFN")</f>
        <v>SFN</v>
      </c>
      <c r="L958" t="s">
        <v>100</v>
      </c>
      <c r="M958" t="s">
        <v>34</v>
      </c>
      <c r="N958">
        <v>22</v>
      </c>
      <c r="O958">
        <v>250</v>
      </c>
      <c r="P958" t="s">
        <v>1680</v>
      </c>
      <c r="Q958">
        <v>231</v>
      </c>
      <c r="R958">
        <v>28</v>
      </c>
      <c r="S958">
        <v>34</v>
      </c>
      <c r="T958">
        <v>9</v>
      </c>
      <c r="U958">
        <v>1</v>
      </c>
      <c r="V958">
        <v>4</v>
      </c>
      <c r="W958">
        <v>48</v>
      </c>
      <c r="X958">
        <v>71</v>
      </c>
      <c r="Y958">
        <v>17</v>
      </c>
      <c r="Z958">
        <v>13</v>
      </c>
      <c r="AA958">
        <v>1</v>
      </c>
      <c r="AB958">
        <v>3</v>
      </c>
      <c r="AC958">
        <v>75</v>
      </c>
      <c r="AD958">
        <v>1</v>
      </c>
      <c r="AE958">
        <v>1</v>
      </c>
      <c r="AF958">
        <v>6</v>
      </c>
      <c r="AG958">
        <v>9</v>
      </c>
      <c r="AH958">
        <v>4</v>
      </c>
      <c r="AI958" s="5">
        <v>0.20599999999999999</v>
      </c>
      <c r="AJ958" s="5">
        <v>0.25800000000000001</v>
      </c>
      <c r="AK958" s="5">
        <v>0.3</v>
      </c>
      <c r="AL958" s="5">
        <v>0.19700000000000001</v>
      </c>
      <c r="AM958" s="5">
        <v>0.28299999999999997</v>
      </c>
      <c r="AN958">
        <v>0.4</v>
      </c>
      <c r="AO958">
        <v>1.78</v>
      </c>
      <c r="AP958">
        <v>7</v>
      </c>
      <c r="AQ958">
        <v>-16.510000000000002</v>
      </c>
      <c r="AR958">
        <v>-0.7</v>
      </c>
      <c r="AS958" t="s">
        <v>4734</v>
      </c>
      <c r="AT958">
        <v>-0.9</v>
      </c>
      <c r="AU958">
        <v>-7.4</v>
      </c>
      <c r="AV958">
        <v>1</v>
      </c>
      <c r="AW958">
        <v>2</v>
      </c>
      <c r="AX958">
        <v>1</v>
      </c>
      <c r="AY958">
        <v>3</v>
      </c>
      <c r="AZ958" t="s">
        <v>4735</v>
      </c>
      <c r="BA958">
        <v>3</v>
      </c>
      <c r="BB958" t="s">
        <v>36</v>
      </c>
      <c r="BC958" t="s">
        <v>35</v>
      </c>
      <c r="BD958" s="4">
        <f>HYPERLINK("http://mlb.mlb.com/team/player.jsp?player_id=669369",669369)</f>
        <v>669369</v>
      </c>
      <c r="BE958">
        <v>0</v>
      </c>
      <c r="BF958">
        <v>0</v>
      </c>
      <c r="BG958">
        <v>0</v>
      </c>
      <c r="BH958">
        <v>0</v>
      </c>
    </row>
    <row r="959" spans="1:60" x14ac:dyDescent="0.3">
      <c r="A959" s="4">
        <f>HYPERLINK("http://legacy.baseballprospectus.com/p/110223",110223)</f>
        <v>110223</v>
      </c>
      <c r="B959" t="s">
        <v>4736</v>
      </c>
      <c r="C959" t="s">
        <v>4737</v>
      </c>
      <c r="D959" s="10">
        <v>36029</v>
      </c>
      <c r="E959" t="s">
        <v>65</v>
      </c>
      <c r="F959" t="s">
        <v>33</v>
      </c>
      <c r="G959" t="s">
        <v>33</v>
      </c>
      <c r="H959">
        <v>75</v>
      </c>
      <c r="I959">
        <v>210</v>
      </c>
      <c r="J959">
        <v>2018</v>
      </c>
      <c r="K959" s="4" t="str">
        <f>HYPERLINK("http://legacy.baseballprospectus.com/fantasy/dc/index.php?tm=MIL","MIL")</f>
        <v>MIL</v>
      </c>
      <c r="L959" t="s">
        <v>100</v>
      </c>
      <c r="M959" t="s">
        <v>34</v>
      </c>
      <c r="N959">
        <v>19</v>
      </c>
      <c r="O959">
        <v>250</v>
      </c>
      <c r="P959" t="s">
        <v>1680</v>
      </c>
      <c r="Q959">
        <v>231</v>
      </c>
      <c r="R959">
        <v>26</v>
      </c>
      <c r="S959">
        <v>28</v>
      </c>
      <c r="T959">
        <v>8</v>
      </c>
      <c r="U959">
        <v>1</v>
      </c>
      <c r="V959">
        <v>8</v>
      </c>
      <c r="W959">
        <v>45</v>
      </c>
      <c r="X959">
        <v>79</v>
      </c>
      <c r="Y959">
        <v>25</v>
      </c>
      <c r="Z959">
        <v>14</v>
      </c>
      <c r="AA959">
        <v>1</v>
      </c>
      <c r="AB959">
        <v>3</v>
      </c>
      <c r="AC959">
        <v>87</v>
      </c>
      <c r="AD959">
        <v>1</v>
      </c>
      <c r="AE959">
        <v>1</v>
      </c>
      <c r="AF959">
        <v>6</v>
      </c>
      <c r="AG959">
        <v>0</v>
      </c>
      <c r="AH959">
        <v>0</v>
      </c>
      <c r="AI959" s="5">
        <v>0.19600000000000001</v>
      </c>
      <c r="AJ959" s="5">
        <v>0.249</v>
      </c>
      <c r="AK959" s="5">
        <v>0.34300000000000003</v>
      </c>
      <c r="AL959" s="5">
        <v>0.19800000000000001</v>
      </c>
      <c r="AM959" s="5">
        <v>0.27100000000000002</v>
      </c>
      <c r="AN959">
        <v>-0.4</v>
      </c>
      <c r="AO959">
        <v>2.97</v>
      </c>
      <c r="AP959">
        <v>7</v>
      </c>
      <c r="AQ959">
        <v>-16.37</v>
      </c>
      <c r="AR959">
        <v>-1</v>
      </c>
      <c r="AS959" t="s">
        <v>1335</v>
      </c>
      <c r="AT959">
        <v>-0.9</v>
      </c>
      <c r="AU959">
        <v>-6.8</v>
      </c>
      <c r="AV959">
        <v>0</v>
      </c>
      <c r="AW959">
        <v>7</v>
      </c>
      <c r="AX959">
        <v>2</v>
      </c>
      <c r="AY959">
        <v>5</v>
      </c>
      <c r="AZ959" t="s">
        <v>4738</v>
      </c>
      <c r="BA959">
        <v>12</v>
      </c>
      <c r="BB959" t="s">
        <v>36</v>
      </c>
      <c r="BC959" t="s">
        <v>35</v>
      </c>
      <c r="BD959" s="4">
        <f>HYPERLINK("http://mlb.mlb.com/team/player.jsp?player_id=669157",669157)</f>
        <v>669157</v>
      </c>
      <c r="BE959">
        <v>1655</v>
      </c>
      <c r="BF959">
        <v>655</v>
      </c>
      <c r="BG959">
        <v>0</v>
      </c>
      <c r="BH959">
        <v>0</v>
      </c>
    </row>
    <row r="960" spans="1:60" x14ac:dyDescent="0.3">
      <c r="A960" s="4">
        <f>HYPERLINK("http://legacy.baseballprospectus.com/p/110372",110372)</f>
        <v>110372</v>
      </c>
      <c r="B960" t="s">
        <v>518</v>
      </c>
      <c r="C960" t="s">
        <v>4739</v>
      </c>
      <c r="D960" s="10">
        <v>36227</v>
      </c>
      <c r="E960" t="s">
        <v>59</v>
      </c>
      <c r="F960" t="s">
        <v>9</v>
      </c>
      <c r="G960" t="s">
        <v>9</v>
      </c>
      <c r="H960">
        <v>72</v>
      </c>
      <c r="I960">
        <v>190</v>
      </c>
      <c r="J960">
        <v>2018</v>
      </c>
      <c r="K960" s="4" t="str">
        <f>HYPERLINK("http://legacy.baseballprospectus.com/fantasy/dc/index.php?tm=PIT","PIT")</f>
        <v>PIT</v>
      </c>
      <c r="L960" t="s">
        <v>100</v>
      </c>
      <c r="M960" t="s">
        <v>34</v>
      </c>
      <c r="N960">
        <v>19</v>
      </c>
      <c r="O960">
        <v>250</v>
      </c>
      <c r="P960" t="s">
        <v>1680</v>
      </c>
      <c r="Q960">
        <v>231</v>
      </c>
      <c r="R960">
        <v>21</v>
      </c>
      <c r="S960">
        <v>30</v>
      </c>
      <c r="T960">
        <v>9</v>
      </c>
      <c r="U960">
        <v>0</v>
      </c>
      <c r="V960">
        <v>6</v>
      </c>
      <c r="W960">
        <v>45</v>
      </c>
      <c r="X960">
        <v>72</v>
      </c>
      <c r="Y960">
        <v>25</v>
      </c>
      <c r="Z960">
        <v>16</v>
      </c>
      <c r="AA960">
        <v>2</v>
      </c>
      <c r="AB960">
        <v>1</v>
      </c>
      <c r="AC960">
        <v>80</v>
      </c>
      <c r="AD960">
        <v>1</v>
      </c>
      <c r="AE960">
        <v>1</v>
      </c>
      <c r="AF960">
        <v>6</v>
      </c>
      <c r="AG960">
        <v>0</v>
      </c>
      <c r="AH960">
        <v>0</v>
      </c>
      <c r="AI960" s="5">
        <v>0.19600000000000001</v>
      </c>
      <c r="AJ960" s="5">
        <v>0.25</v>
      </c>
      <c r="AK960" s="5">
        <v>0.313</v>
      </c>
      <c r="AL960" s="5">
        <v>0.191</v>
      </c>
      <c r="AM960" s="5">
        <v>0.26900000000000002</v>
      </c>
      <c r="AN960">
        <v>-0.5</v>
      </c>
      <c r="AO960">
        <v>1.33</v>
      </c>
      <c r="AP960">
        <v>7</v>
      </c>
      <c r="AQ960">
        <v>-18</v>
      </c>
      <c r="AR960">
        <v>2</v>
      </c>
      <c r="AS960" t="s">
        <v>2179</v>
      </c>
      <c r="AT960">
        <v>-0.9</v>
      </c>
      <c r="AU960">
        <v>-10.1</v>
      </c>
      <c r="AV960">
        <v>0</v>
      </c>
      <c r="AW960">
        <v>6</v>
      </c>
      <c r="AX960">
        <v>2</v>
      </c>
      <c r="AY960">
        <v>6</v>
      </c>
      <c r="AZ960" t="s">
        <v>1991</v>
      </c>
      <c r="BA960">
        <v>12</v>
      </c>
      <c r="BB960" t="s">
        <v>36</v>
      </c>
      <c r="BC960" t="s">
        <v>35</v>
      </c>
      <c r="BD960" s="4">
        <f>HYPERLINK("http://mlb.mlb.com/team/player.jsp?player_id=668751",668751)</f>
        <v>668751</v>
      </c>
      <c r="BE960">
        <v>1680</v>
      </c>
      <c r="BF960">
        <v>680</v>
      </c>
      <c r="BG960">
        <v>0</v>
      </c>
      <c r="BH960">
        <v>0</v>
      </c>
    </row>
    <row r="961" spans="1:60" x14ac:dyDescent="0.3">
      <c r="A961" s="4">
        <f>HYPERLINK("http://legacy.baseballprospectus.com/p/111113",111113)</f>
        <v>111113</v>
      </c>
      <c r="B961" t="s">
        <v>404</v>
      </c>
      <c r="C961" t="s">
        <v>313</v>
      </c>
      <c r="D961" s="10">
        <v>36302</v>
      </c>
      <c r="E961" t="s">
        <v>53</v>
      </c>
      <c r="F961" t="s">
        <v>33</v>
      </c>
      <c r="G961" t="s">
        <v>33</v>
      </c>
      <c r="H961">
        <v>72</v>
      </c>
      <c r="I961">
        <v>170</v>
      </c>
      <c r="J961">
        <v>2018</v>
      </c>
      <c r="K961" s="4" t="str">
        <f>HYPERLINK("http://legacy.baseballprospectus.com/fantasy/dc/index.php?tm=BAL","BAL")</f>
        <v>BAL</v>
      </c>
      <c r="L961" t="s">
        <v>95</v>
      </c>
      <c r="M961" t="s">
        <v>34</v>
      </c>
      <c r="N961">
        <v>19</v>
      </c>
      <c r="O961">
        <v>250</v>
      </c>
      <c r="P961" t="s">
        <v>1680</v>
      </c>
      <c r="Q961">
        <v>232</v>
      </c>
      <c r="R961">
        <v>26</v>
      </c>
      <c r="S961">
        <v>30</v>
      </c>
      <c r="T961">
        <v>9</v>
      </c>
      <c r="U961">
        <v>0</v>
      </c>
      <c r="V961">
        <v>6</v>
      </c>
      <c r="W961">
        <v>45</v>
      </c>
      <c r="X961">
        <v>72</v>
      </c>
      <c r="Y961">
        <v>22</v>
      </c>
      <c r="Z961">
        <v>14</v>
      </c>
      <c r="AA961">
        <v>1</v>
      </c>
      <c r="AB961">
        <v>1</v>
      </c>
      <c r="AC961">
        <v>84</v>
      </c>
      <c r="AD961">
        <v>1</v>
      </c>
      <c r="AE961">
        <v>1</v>
      </c>
      <c r="AF961">
        <v>6</v>
      </c>
      <c r="AG961">
        <v>3</v>
      </c>
      <c r="AH961">
        <v>1</v>
      </c>
      <c r="AI961" s="5">
        <v>0.19600000000000001</v>
      </c>
      <c r="AJ961" s="5">
        <v>0.245</v>
      </c>
      <c r="AK961" s="5">
        <v>0.31900000000000001</v>
      </c>
      <c r="AL961" s="5">
        <v>0.188</v>
      </c>
      <c r="AM961" s="5">
        <v>0.27100000000000002</v>
      </c>
      <c r="AN961">
        <v>0</v>
      </c>
      <c r="AO961">
        <v>4.2699999999999996</v>
      </c>
      <c r="AP961">
        <v>7</v>
      </c>
      <c r="AQ961">
        <v>-18.940000000000001</v>
      </c>
      <c r="AR961">
        <v>-0.6</v>
      </c>
      <c r="AS961" t="s">
        <v>73</v>
      </c>
      <c r="AT961">
        <v>-0.9</v>
      </c>
      <c r="AU961">
        <v>-7.7</v>
      </c>
      <c r="AV961">
        <v>0</v>
      </c>
      <c r="AW961">
        <v>4</v>
      </c>
      <c r="AX961">
        <v>1</v>
      </c>
      <c r="AY961">
        <v>4</v>
      </c>
      <c r="AZ961" t="s">
        <v>4707</v>
      </c>
      <c r="BA961">
        <v>8</v>
      </c>
      <c r="BB961" t="s">
        <v>36</v>
      </c>
      <c r="BC961" t="s">
        <v>35</v>
      </c>
      <c r="BD961" s="4">
        <f>HYPERLINK("http://mlb.mlb.com/team/player.jsp?player_id=647228",647228)</f>
        <v>647228</v>
      </c>
      <c r="BE961">
        <v>0</v>
      </c>
      <c r="BF961">
        <v>0</v>
      </c>
      <c r="BG961">
        <v>0</v>
      </c>
      <c r="BH961">
        <v>0</v>
      </c>
    </row>
    <row r="962" spans="1:60" x14ac:dyDescent="0.3">
      <c r="A962" s="4">
        <f>HYPERLINK("http://legacy.baseballprospectus.com/p/42127",42127)</f>
        <v>42127</v>
      </c>
      <c r="B962" t="s">
        <v>612</v>
      </c>
      <c r="C962" t="s">
        <v>165</v>
      </c>
      <c r="D962" s="10">
        <v>28877</v>
      </c>
      <c r="E962" t="s">
        <v>54</v>
      </c>
      <c r="F962" t="s">
        <v>33</v>
      </c>
      <c r="G962" t="s">
        <v>33</v>
      </c>
      <c r="H962">
        <v>70</v>
      </c>
      <c r="I962">
        <v>215</v>
      </c>
      <c r="J962">
        <v>2018</v>
      </c>
      <c r="K962" s="4" t="str">
        <f>HYPERLINK("http://legacy.baseballprospectus.com/fantasy/dc/index.php?tm=SEA","SEA")</f>
        <v>SEA</v>
      </c>
      <c r="L962" t="s">
        <v>95</v>
      </c>
      <c r="M962" t="s">
        <v>34</v>
      </c>
      <c r="N962">
        <v>39</v>
      </c>
      <c r="O962">
        <v>250</v>
      </c>
      <c r="P962" t="s">
        <v>1680</v>
      </c>
      <c r="Q962">
        <v>219</v>
      </c>
      <c r="R962">
        <v>25</v>
      </c>
      <c r="S962">
        <v>36</v>
      </c>
      <c r="T962">
        <v>11</v>
      </c>
      <c r="U962">
        <v>0</v>
      </c>
      <c r="V962">
        <v>3</v>
      </c>
      <c r="W962">
        <v>50</v>
      </c>
      <c r="X962">
        <v>70</v>
      </c>
      <c r="Y962">
        <v>22</v>
      </c>
      <c r="Z962">
        <v>23</v>
      </c>
      <c r="AA962">
        <v>1</v>
      </c>
      <c r="AB962">
        <v>5</v>
      </c>
      <c r="AC962">
        <v>39</v>
      </c>
      <c r="AD962">
        <v>2</v>
      </c>
      <c r="AE962">
        <v>2</v>
      </c>
      <c r="AF962">
        <v>9</v>
      </c>
      <c r="AG962">
        <v>2</v>
      </c>
      <c r="AH962">
        <v>1</v>
      </c>
      <c r="AI962" s="5">
        <v>0.23300000000000001</v>
      </c>
      <c r="AJ962" s="5">
        <v>0.316</v>
      </c>
      <c r="AK962" s="5">
        <v>0.33300000000000002</v>
      </c>
      <c r="AL962" s="5">
        <v>0.22800000000000001</v>
      </c>
      <c r="AM962" s="5">
        <v>0.26500000000000001</v>
      </c>
      <c r="AN962">
        <v>-0.4</v>
      </c>
      <c r="AO962">
        <v>5.41</v>
      </c>
      <c r="AP962">
        <v>7</v>
      </c>
      <c r="AQ962">
        <v>-8.39</v>
      </c>
      <c r="AR962">
        <v>-12.7</v>
      </c>
      <c r="AS962" t="s">
        <v>4740</v>
      </c>
      <c r="AT962">
        <v>-1</v>
      </c>
      <c r="AU962">
        <v>3.6</v>
      </c>
      <c r="AV962">
        <v>1</v>
      </c>
      <c r="AW962">
        <v>18</v>
      </c>
      <c r="AX962">
        <v>17</v>
      </c>
      <c r="AY962">
        <v>24</v>
      </c>
      <c r="AZ962" t="s">
        <v>4763</v>
      </c>
      <c r="BA962">
        <v>68</v>
      </c>
      <c r="BB962" t="s">
        <v>36</v>
      </c>
      <c r="BC962" t="s">
        <v>36</v>
      </c>
      <c r="BD962" s="4">
        <f>HYPERLINK("http://mlb.mlb.com/team/player.jsp?player_id=434563",434563)</f>
        <v>434563</v>
      </c>
      <c r="BE962">
        <v>0</v>
      </c>
      <c r="BF962">
        <v>0</v>
      </c>
      <c r="BG962">
        <v>145</v>
      </c>
      <c r="BH962">
        <v>125</v>
      </c>
    </row>
    <row r="963" spans="1:60" x14ac:dyDescent="0.3">
      <c r="A963" s="4">
        <f>HYPERLINK("http://legacy.baseballprospectus.com/p/71054",71054)</f>
        <v>71054</v>
      </c>
      <c r="B963" t="s">
        <v>1377</v>
      </c>
      <c r="C963" t="s">
        <v>136</v>
      </c>
      <c r="D963" s="10">
        <v>32870</v>
      </c>
      <c r="E963" t="s">
        <v>54</v>
      </c>
      <c r="F963" t="s">
        <v>33</v>
      </c>
      <c r="G963" t="s">
        <v>33</v>
      </c>
      <c r="H963">
        <v>72</v>
      </c>
      <c r="I963">
        <v>195</v>
      </c>
      <c r="J963">
        <v>2018</v>
      </c>
      <c r="K963" s="4" t="str">
        <f>HYPERLINK("http://legacy.baseballprospectus.com/fantasy/dc/index.php?tm=MIA","MIA")</f>
        <v>MIA</v>
      </c>
      <c r="L963" t="s">
        <v>100</v>
      </c>
      <c r="M963" t="s">
        <v>34</v>
      </c>
      <c r="N963">
        <v>28</v>
      </c>
      <c r="O963">
        <v>250</v>
      </c>
      <c r="P963" t="s">
        <v>1680</v>
      </c>
      <c r="Q963">
        <v>223</v>
      </c>
      <c r="R963">
        <v>25</v>
      </c>
      <c r="S963">
        <v>37</v>
      </c>
      <c r="T963">
        <v>11</v>
      </c>
      <c r="U963">
        <v>0</v>
      </c>
      <c r="V963">
        <v>5</v>
      </c>
      <c r="W963">
        <v>53</v>
      </c>
      <c r="X963">
        <v>79</v>
      </c>
      <c r="Y963">
        <v>24</v>
      </c>
      <c r="Z963">
        <v>20</v>
      </c>
      <c r="AA963">
        <v>2</v>
      </c>
      <c r="AB963">
        <v>2</v>
      </c>
      <c r="AC963">
        <v>49</v>
      </c>
      <c r="AD963">
        <v>3</v>
      </c>
      <c r="AE963">
        <v>2</v>
      </c>
      <c r="AF963">
        <v>9</v>
      </c>
      <c r="AG963">
        <v>1</v>
      </c>
      <c r="AH963">
        <v>0</v>
      </c>
      <c r="AI963" s="5">
        <v>0.23599999999999999</v>
      </c>
      <c r="AJ963" s="5">
        <v>0.30399999999999999</v>
      </c>
      <c r="AK963" s="5">
        <v>0.35199999999999998</v>
      </c>
      <c r="AL963" s="5">
        <v>0.224</v>
      </c>
      <c r="AM963" s="5">
        <v>0.27400000000000002</v>
      </c>
      <c r="AN963">
        <v>-0.4</v>
      </c>
      <c r="AO963">
        <v>5.3</v>
      </c>
      <c r="AP963">
        <v>7</v>
      </c>
      <c r="AQ963">
        <v>-9.43</v>
      </c>
      <c r="AR963">
        <v>-11.9</v>
      </c>
      <c r="AS963" t="s">
        <v>4766</v>
      </c>
      <c r="AT963">
        <v>-1</v>
      </c>
      <c r="AU963">
        <v>2.5</v>
      </c>
      <c r="AV963">
        <v>2</v>
      </c>
      <c r="AW963">
        <v>7</v>
      </c>
      <c r="AX963">
        <v>10</v>
      </c>
      <c r="AY963">
        <v>19</v>
      </c>
      <c r="AZ963" t="s">
        <v>4767</v>
      </c>
      <c r="BA963">
        <v>31</v>
      </c>
      <c r="BB963" t="s">
        <v>36</v>
      </c>
      <c r="BC963" t="s">
        <v>35</v>
      </c>
      <c r="BD963" s="4">
        <f>HYPERLINK("http://mlb.mlb.com/team/player.jsp?player_id=543592",543592)</f>
        <v>543592</v>
      </c>
      <c r="BE963">
        <v>0</v>
      </c>
      <c r="BF963">
        <v>0</v>
      </c>
      <c r="BG963">
        <v>0</v>
      </c>
      <c r="BH963">
        <v>0</v>
      </c>
    </row>
    <row r="964" spans="1:60" x14ac:dyDescent="0.3">
      <c r="A964" s="4">
        <f>HYPERLINK("http://legacy.baseballprospectus.com/p/100633",100633)</f>
        <v>100633</v>
      </c>
      <c r="B964" t="s">
        <v>830</v>
      </c>
      <c r="C964" t="s">
        <v>1137</v>
      </c>
      <c r="D964" s="10">
        <v>34285</v>
      </c>
      <c r="E964" t="s">
        <v>59</v>
      </c>
      <c r="F964" t="s">
        <v>33</v>
      </c>
      <c r="G964" t="s">
        <v>33</v>
      </c>
      <c r="H964">
        <v>75</v>
      </c>
      <c r="I964">
        <v>245</v>
      </c>
      <c r="J964">
        <v>2018</v>
      </c>
      <c r="K964" s="4" t="str">
        <f>HYPERLINK("http://legacy.baseballprospectus.com/fantasy/dc/index.php?tm=CHA","CHA")</f>
        <v>CHA</v>
      </c>
      <c r="L964" t="s">
        <v>95</v>
      </c>
      <c r="M964" t="s">
        <v>34</v>
      </c>
      <c r="N964">
        <v>24</v>
      </c>
      <c r="O964">
        <v>250</v>
      </c>
      <c r="P964" t="s">
        <v>1680</v>
      </c>
      <c r="Q964">
        <v>232</v>
      </c>
      <c r="R964">
        <v>24</v>
      </c>
      <c r="S964">
        <v>27</v>
      </c>
      <c r="T964">
        <v>10</v>
      </c>
      <c r="U964">
        <v>1</v>
      </c>
      <c r="V964">
        <v>10</v>
      </c>
      <c r="W964">
        <v>48</v>
      </c>
      <c r="X964">
        <v>90</v>
      </c>
      <c r="Y964">
        <v>32</v>
      </c>
      <c r="Z964">
        <v>13</v>
      </c>
      <c r="AA964">
        <v>1</v>
      </c>
      <c r="AB964">
        <v>3</v>
      </c>
      <c r="AC964">
        <v>90</v>
      </c>
      <c r="AD964">
        <v>1</v>
      </c>
      <c r="AE964">
        <v>1</v>
      </c>
      <c r="AF964">
        <v>6</v>
      </c>
      <c r="AG964">
        <v>0</v>
      </c>
      <c r="AH964">
        <v>0</v>
      </c>
      <c r="AI964" s="5">
        <v>0.20300000000000001</v>
      </c>
      <c r="AJ964" s="5">
        <v>0.253</v>
      </c>
      <c r="AK964" s="5">
        <v>0.379</v>
      </c>
      <c r="AL964" s="5">
        <v>0.21</v>
      </c>
      <c r="AM964" s="5">
        <v>0.27700000000000002</v>
      </c>
      <c r="AN964">
        <v>-0.5</v>
      </c>
      <c r="AO964">
        <v>1.1200000000000001</v>
      </c>
      <c r="AP964">
        <v>7</v>
      </c>
      <c r="AQ964">
        <v>-13.08</v>
      </c>
      <c r="AR964">
        <v>-3.6</v>
      </c>
      <c r="AS964" t="s">
        <v>4904</v>
      </c>
      <c r="AT964">
        <v>-1</v>
      </c>
      <c r="AU964">
        <v>-5.5</v>
      </c>
      <c r="AV964">
        <v>2</v>
      </c>
      <c r="AW964">
        <v>3</v>
      </c>
      <c r="AX964">
        <v>0</v>
      </c>
      <c r="AY964">
        <v>4</v>
      </c>
      <c r="AZ964" t="s">
        <v>4768</v>
      </c>
      <c r="BA964">
        <v>6</v>
      </c>
      <c r="BB964" t="s">
        <v>36</v>
      </c>
      <c r="BC964" t="s">
        <v>35</v>
      </c>
      <c r="BD964" s="4">
        <f>HYPERLINK("http://mlb.mlb.com/team/player.jsp?player_id=621445",621445)</f>
        <v>621445</v>
      </c>
      <c r="BE964">
        <v>0</v>
      </c>
      <c r="BF964">
        <v>0</v>
      </c>
      <c r="BG964">
        <v>0</v>
      </c>
      <c r="BH964">
        <v>0</v>
      </c>
    </row>
    <row r="965" spans="1:60" x14ac:dyDescent="0.3">
      <c r="A965" s="4">
        <f>HYPERLINK("http://legacy.baseballprospectus.com/p/102464",102464)</f>
        <v>102464</v>
      </c>
      <c r="B965" t="s">
        <v>1971</v>
      </c>
      <c r="C965" t="s">
        <v>119</v>
      </c>
      <c r="D965" s="10">
        <v>35196</v>
      </c>
      <c r="E965" t="s">
        <v>65</v>
      </c>
      <c r="F965" t="s">
        <v>33</v>
      </c>
      <c r="G965" t="s">
        <v>33</v>
      </c>
      <c r="H965">
        <v>71</v>
      </c>
      <c r="I965">
        <v>160</v>
      </c>
      <c r="J965">
        <v>2018</v>
      </c>
      <c r="K965" s="4" t="str">
        <f>HYPERLINK("http://legacy.baseballprospectus.com/fantasy/dc/index.php?tm=DET","DET")</f>
        <v>DET</v>
      </c>
      <c r="L965" t="s">
        <v>95</v>
      </c>
      <c r="M965" t="s">
        <v>34</v>
      </c>
      <c r="N965">
        <v>22</v>
      </c>
      <c r="O965">
        <v>250</v>
      </c>
      <c r="P965" t="s">
        <v>1680</v>
      </c>
      <c r="Q965">
        <v>239</v>
      </c>
      <c r="R965">
        <v>22</v>
      </c>
      <c r="S965">
        <v>38</v>
      </c>
      <c r="T965">
        <v>8</v>
      </c>
      <c r="U965">
        <v>2</v>
      </c>
      <c r="V965">
        <v>5</v>
      </c>
      <c r="W965">
        <v>53</v>
      </c>
      <c r="X965">
        <v>80</v>
      </c>
      <c r="Y965">
        <v>25</v>
      </c>
      <c r="Z965">
        <v>7</v>
      </c>
      <c r="AA965">
        <v>1</v>
      </c>
      <c r="AB965">
        <v>1</v>
      </c>
      <c r="AC965">
        <v>73</v>
      </c>
      <c r="AD965">
        <v>2</v>
      </c>
      <c r="AE965">
        <v>2</v>
      </c>
      <c r="AF965">
        <v>8</v>
      </c>
      <c r="AG965">
        <v>3</v>
      </c>
      <c r="AH965">
        <v>1</v>
      </c>
      <c r="AI965" s="5">
        <v>0.22600000000000001</v>
      </c>
      <c r="AJ965" s="5">
        <v>0.25</v>
      </c>
      <c r="AK965" s="5">
        <v>0.34799999999999998</v>
      </c>
      <c r="AL965" s="5">
        <v>0.193</v>
      </c>
      <c r="AM965" s="5">
        <v>0.29699999999999999</v>
      </c>
      <c r="AN965">
        <v>0.2</v>
      </c>
      <c r="AO965">
        <v>2.1800000000000002</v>
      </c>
      <c r="AP965">
        <v>7</v>
      </c>
      <c r="AQ965">
        <v>-17.62</v>
      </c>
      <c r="AR965">
        <v>-1</v>
      </c>
      <c r="AS965" t="s">
        <v>82</v>
      </c>
      <c r="AT965">
        <v>-1</v>
      </c>
      <c r="AU965">
        <v>-8.1999999999999993</v>
      </c>
      <c r="AV965">
        <v>2</v>
      </c>
      <c r="AW965">
        <v>4</v>
      </c>
      <c r="AX965">
        <v>1</v>
      </c>
      <c r="AY965">
        <v>4</v>
      </c>
      <c r="AZ965" t="s">
        <v>4769</v>
      </c>
      <c r="BA965">
        <v>5</v>
      </c>
      <c r="BB965" t="s">
        <v>36</v>
      </c>
      <c r="BC965" t="s">
        <v>35</v>
      </c>
      <c r="BD965" s="4">
        <f>HYPERLINK("http://mlb.mlb.com/team/player.jsp?player_id=640492",640492)</f>
        <v>640492</v>
      </c>
      <c r="BE965">
        <v>0</v>
      </c>
      <c r="BF965">
        <v>0</v>
      </c>
      <c r="BG965">
        <v>0</v>
      </c>
      <c r="BH965">
        <v>0</v>
      </c>
    </row>
    <row r="966" spans="1:60" x14ac:dyDescent="0.3">
      <c r="A966" s="4">
        <f>HYPERLINK("http://legacy.baseballprospectus.com/p/104782",104782)</f>
        <v>104782</v>
      </c>
      <c r="B966" t="s">
        <v>451</v>
      </c>
      <c r="C966" t="s">
        <v>1751</v>
      </c>
      <c r="D966" s="10">
        <v>35025</v>
      </c>
      <c r="E966" t="s">
        <v>59</v>
      </c>
      <c r="F966" t="s">
        <v>33</v>
      </c>
      <c r="G966" t="s">
        <v>33</v>
      </c>
      <c r="H966">
        <v>74</v>
      </c>
      <c r="I966">
        <v>195</v>
      </c>
      <c r="J966">
        <v>2018</v>
      </c>
      <c r="K966" s="4" t="str">
        <f>HYPERLINK("http://legacy.baseballprospectus.com/fantasy/dc/index.php?tm=MIA","MIA")</f>
        <v>MIA</v>
      </c>
      <c r="L966" t="s">
        <v>100</v>
      </c>
      <c r="M966" t="s">
        <v>34</v>
      </c>
      <c r="N966">
        <v>22</v>
      </c>
      <c r="O966">
        <v>250</v>
      </c>
      <c r="P966" t="s">
        <v>1680</v>
      </c>
      <c r="Q966">
        <v>233</v>
      </c>
      <c r="R966">
        <v>23</v>
      </c>
      <c r="S966">
        <v>28</v>
      </c>
      <c r="T966">
        <v>10</v>
      </c>
      <c r="U966">
        <v>1</v>
      </c>
      <c r="V966">
        <v>7</v>
      </c>
      <c r="W966">
        <v>46</v>
      </c>
      <c r="X966">
        <v>79</v>
      </c>
      <c r="Y966">
        <v>27</v>
      </c>
      <c r="Z966">
        <v>14</v>
      </c>
      <c r="AA966">
        <v>1</v>
      </c>
      <c r="AB966">
        <v>1</v>
      </c>
      <c r="AC966">
        <v>89</v>
      </c>
      <c r="AD966">
        <v>1</v>
      </c>
      <c r="AE966">
        <v>1</v>
      </c>
      <c r="AF966">
        <v>6</v>
      </c>
      <c r="AG966">
        <v>2</v>
      </c>
      <c r="AH966">
        <v>1</v>
      </c>
      <c r="AI966" s="5">
        <v>0.2</v>
      </c>
      <c r="AJ966" s="5">
        <v>0.248</v>
      </c>
      <c r="AK966" s="5">
        <v>0.34499999999999997</v>
      </c>
      <c r="AL966" s="5">
        <v>0.2</v>
      </c>
      <c r="AM966" s="5">
        <v>0.28299999999999997</v>
      </c>
      <c r="AN966">
        <v>-0.1</v>
      </c>
      <c r="AO966">
        <v>1.2</v>
      </c>
      <c r="AP966">
        <v>7</v>
      </c>
      <c r="AQ966">
        <v>-15.88</v>
      </c>
      <c r="AR966">
        <v>-1.1000000000000001</v>
      </c>
      <c r="AS966" t="s">
        <v>2197</v>
      </c>
      <c r="AT966">
        <v>-1</v>
      </c>
      <c r="AU966">
        <v>-7.8</v>
      </c>
      <c r="AV966">
        <v>2</v>
      </c>
      <c r="AW966">
        <v>2</v>
      </c>
      <c r="AX966">
        <v>0</v>
      </c>
      <c r="AY966">
        <v>2</v>
      </c>
      <c r="AZ966" t="s">
        <v>4770</v>
      </c>
      <c r="BA966">
        <v>2</v>
      </c>
      <c r="BB966" t="s">
        <v>36</v>
      </c>
      <c r="BC966" t="s">
        <v>35</v>
      </c>
      <c r="BD966" s="4">
        <f>HYPERLINK("http://mlb.mlb.com/team/player.jsp?player_id=656448",656448)</f>
        <v>656448</v>
      </c>
      <c r="BE966">
        <v>0</v>
      </c>
      <c r="BF966">
        <v>0</v>
      </c>
      <c r="BG966">
        <v>0</v>
      </c>
      <c r="BH966">
        <v>0</v>
      </c>
    </row>
    <row r="967" spans="1:60" x14ac:dyDescent="0.3">
      <c r="A967" s="4">
        <f>HYPERLINK("http://legacy.baseballprospectus.com/p/106480",106480)</f>
        <v>106480</v>
      </c>
      <c r="B967" t="s">
        <v>516</v>
      </c>
      <c r="C967" t="s">
        <v>1782</v>
      </c>
      <c r="D967" s="10">
        <v>35418</v>
      </c>
      <c r="E967" t="s">
        <v>58</v>
      </c>
      <c r="F967" t="s">
        <v>33</v>
      </c>
      <c r="G967" t="s">
        <v>33</v>
      </c>
      <c r="H967">
        <v>71</v>
      </c>
      <c r="I967">
        <v>190</v>
      </c>
      <c r="J967">
        <v>2018</v>
      </c>
      <c r="K967" s="4" t="str">
        <f>HYPERLINK("http://legacy.baseballprospectus.com/fantasy/dc/index.php?tm=SFN","SFN")</f>
        <v>SFN</v>
      </c>
      <c r="L967" t="s">
        <v>100</v>
      </c>
      <c r="M967" t="s">
        <v>34</v>
      </c>
      <c r="N967">
        <v>21</v>
      </c>
      <c r="O967">
        <v>250</v>
      </c>
      <c r="P967" t="s">
        <v>1680</v>
      </c>
      <c r="Q967">
        <v>232</v>
      </c>
      <c r="R967">
        <v>24</v>
      </c>
      <c r="S967">
        <v>31</v>
      </c>
      <c r="T967">
        <v>10</v>
      </c>
      <c r="U967">
        <v>1</v>
      </c>
      <c r="V967">
        <v>4</v>
      </c>
      <c r="W967">
        <v>46</v>
      </c>
      <c r="X967">
        <v>70</v>
      </c>
      <c r="Y967">
        <v>20</v>
      </c>
      <c r="Z967">
        <v>12</v>
      </c>
      <c r="AA967">
        <v>1</v>
      </c>
      <c r="AB967">
        <v>2</v>
      </c>
      <c r="AC967">
        <v>68</v>
      </c>
      <c r="AD967">
        <v>2</v>
      </c>
      <c r="AE967">
        <v>2</v>
      </c>
      <c r="AF967">
        <v>5</v>
      </c>
      <c r="AG967">
        <v>1</v>
      </c>
      <c r="AH967">
        <v>1</v>
      </c>
      <c r="AI967" s="5">
        <v>0.20200000000000001</v>
      </c>
      <c r="AJ967" s="5">
        <v>0.246</v>
      </c>
      <c r="AK967" s="5">
        <v>0.313</v>
      </c>
      <c r="AL967" s="5">
        <v>0.19400000000000001</v>
      </c>
      <c r="AM967" s="5">
        <v>0.26100000000000001</v>
      </c>
      <c r="AN967">
        <v>-0.2</v>
      </c>
      <c r="AO967">
        <v>3.56</v>
      </c>
      <c r="AP967">
        <v>7</v>
      </c>
      <c r="AQ967">
        <v>-17.23</v>
      </c>
      <c r="AR967">
        <v>-2.6</v>
      </c>
      <c r="AS967" t="s">
        <v>4771</v>
      </c>
      <c r="AT967">
        <v>-1</v>
      </c>
      <c r="AU967">
        <v>-6.9</v>
      </c>
      <c r="AV967">
        <v>4</v>
      </c>
      <c r="AW967">
        <v>4</v>
      </c>
      <c r="AX967">
        <v>0</v>
      </c>
      <c r="AY967">
        <v>4</v>
      </c>
      <c r="AZ967" t="s">
        <v>4772</v>
      </c>
      <c r="BA967">
        <v>4</v>
      </c>
      <c r="BB967" t="s">
        <v>36</v>
      </c>
      <c r="BC967" t="s">
        <v>35</v>
      </c>
      <c r="BD967" s="4">
        <f>HYPERLINK("http://mlb.mlb.com/team/player.jsp?player_id=663692",663692)</f>
        <v>663692</v>
      </c>
      <c r="BE967">
        <v>0</v>
      </c>
      <c r="BF967">
        <v>0</v>
      </c>
      <c r="BG967">
        <v>0</v>
      </c>
      <c r="BH967">
        <v>0</v>
      </c>
    </row>
    <row r="968" spans="1:60" x14ac:dyDescent="0.3">
      <c r="A968" s="4">
        <f>HYPERLINK("http://legacy.baseballprospectus.com/p/107616",107616)</f>
        <v>107616</v>
      </c>
      <c r="B968" t="s">
        <v>4774</v>
      </c>
      <c r="C968" t="s">
        <v>4775</v>
      </c>
      <c r="D968" s="10">
        <v>36204</v>
      </c>
      <c r="E968" t="s">
        <v>65</v>
      </c>
      <c r="F968" t="s">
        <v>33</v>
      </c>
      <c r="G968" t="s">
        <v>9</v>
      </c>
      <c r="H968">
        <v>72</v>
      </c>
      <c r="I968">
        <v>170</v>
      </c>
      <c r="J968">
        <v>2018</v>
      </c>
      <c r="K968" s="4" t="str">
        <f>HYPERLINK("http://legacy.baseballprospectus.com/fantasy/dc/index.php?tm=HOU","HOU")</f>
        <v>HOU</v>
      </c>
      <c r="L968" t="s">
        <v>95</v>
      </c>
      <c r="M968" t="s">
        <v>34</v>
      </c>
      <c r="N968">
        <v>19</v>
      </c>
      <c r="O968">
        <v>250</v>
      </c>
      <c r="P968" t="s">
        <v>1680</v>
      </c>
      <c r="Q968">
        <v>231</v>
      </c>
      <c r="R968">
        <v>26</v>
      </c>
      <c r="S968">
        <v>29</v>
      </c>
      <c r="T968">
        <v>9</v>
      </c>
      <c r="U968">
        <v>1</v>
      </c>
      <c r="V968">
        <v>6</v>
      </c>
      <c r="W968">
        <v>45</v>
      </c>
      <c r="X968">
        <v>74</v>
      </c>
      <c r="Y968">
        <v>22</v>
      </c>
      <c r="Z968">
        <v>16</v>
      </c>
      <c r="AA968">
        <v>1</v>
      </c>
      <c r="AB968">
        <v>1</v>
      </c>
      <c r="AC968">
        <v>83</v>
      </c>
      <c r="AD968">
        <v>1</v>
      </c>
      <c r="AE968">
        <v>1</v>
      </c>
      <c r="AF968">
        <v>7</v>
      </c>
      <c r="AG968">
        <v>3</v>
      </c>
      <c r="AH968">
        <v>1</v>
      </c>
      <c r="AI968" s="5">
        <v>0.19600000000000001</v>
      </c>
      <c r="AJ968" s="5">
        <v>0.249</v>
      </c>
      <c r="AK968" s="5">
        <v>0.32</v>
      </c>
      <c r="AL968" s="5">
        <v>0.19400000000000001</v>
      </c>
      <c r="AM968" s="5">
        <v>0.27200000000000002</v>
      </c>
      <c r="AN968">
        <v>0</v>
      </c>
      <c r="AO968">
        <v>2.56</v>
      </c>
      <c r="AP968">
        <v>7</v>
      </c>
      <c r="AQ968">
        <v>-17.329999999999998</v>
      </c>
      <c r="AR968">
        <v>-1.2</v>
      </c>
      <c r="AS968" t="s">
        <v>82</v>
      </c>
      <c r="AT968">
        <v>-1</v>
      </c>
      <c r="AU968">
        <v>-7.8</v>
      </c>
      <c r="AV968">
        <v>0</v>
      </c>
      <c r="AW968">
        <v>6</v>
      </c>
      <c r="AX968">
        <v>2</v>
      </c>
      <c r="AY968">
        <v>5</v>
      </c>
      <c r="AZ968" t="s">
        <v>1978</v>
      </c>
      <c r="BA968">
        <v>11</v>
      </c>
      <c r="BB968" t="s">
        <v>36</v>
      </c>
      <c r="BC968" t="s">
        <v>35</v>
      </c>
      <c r="BD968" s="4">
        <f>HYPERLINK("http://mlb.mlb.com/team/player.jsp?player_id=665482",665482)</f>
        <v>665482</v>
      </c>
      <c r="BE968">
        <v>0</v>
      </c>
      <c r="BF968">
        <v>0</v>
      </c>
      <c r="BG968">
        <v>0</v>
      </c>
      <c r="BH968">
        <v>0</v>
      </c>
    </row>
    <row r="969" spans="1:60" x14ac:dyDescent="0.3">
      <c r="A969" s="4">
        <f>HYPERLINK("http://legacy.baseballprospectus.com/p/108012",108012)</f>
        <v>108012</v>
      </c>
      <c r="B969" t="s">
        <v>145</v>
      </c>
      <c r="C969" t="s">
        <v>3012</v>
      </c>
      <c r="D969" s="10">
        <v>36158</v>
      </c>
      <c r="E969" t="s">
        <v>53</v>
      </c>
      <c r="F969" t="s">
        <v>33</v>
      </c>
      <c r="G969" t="s">
        <v>33</v>
      </c>
      <c r="H969">
        <v>73</v>
      </c>
      <c r="I969">
        <v>165</v>
      </c>
      <c r="J969">
        <v>2018</v>
      </c>
      <c r="K969" s="4" t="str">
        <f>HYPERLINK("http://legacy.baseballprospectus.com/fantasy/dc/index.php?tm=MIN","MIN")</f>
        <v>MIN</v>
      </c>
      <c r="L969" t="s">
        <v>95</v>
      </c>
      <c r="M969" t="s">
        <v>34</v>
      </c>
      <c r="N969">
        <v>19</v>
      </c>
      <c r="O969">
        <v>250</v>
      </c>
      <c r="P969" t="s">
        <v>1680</v>
      </c>
      <c r="Q969">
        <v>230</v>
      </c>
      <c r="R969">
        <v>26</v>
      </c>
      <c r="S969">
        <v>29</v>
      </c>
      <c r="T969">
        <v>9</v>
      </c>
      <c r="U969">
        <v>1</v>
      </c>
      <c r="V969">
        <v>7</v>
      </c>
      <c r="W969">
        <v>46</v>
      </c>
      <c r="X969">
        <v>78</v>
      </c>
      <c r="Y969">
        <v>24</v>
      </c>
      <c r="Z969">
        <v>17</v>
      </c>
      <c r="AA969">
        <v>1</v>
      </c>
      <c r="AB969">
        <v>1</v>
      </c>
      <c r="AC969">
        <v>86</v>
      </c>
      <c r="AD969">
        <v>1</v>
      </c>
      <c r="AE969">
        <v>1</v>
      </c>
      <c r="AF969">
        <v>6</v>
      </c>
      <c r="AG969">
        <v>1</v>
      </c>
      <c r="AH969">
        <v>0</v>
      </c>
      <c r="AI969" s="5">
        <v>0.19700000000000001</v>
      </c>
      <c r="AJ969" s="5">
        <v>0.255</v>
      </c>
      <c r="AK969" s="5">
        <v>0.33300000000000002</v>
      </c>
      <c r="AL969" s="5">
        <v>0.192</v>
      </c>
      <c r="AM969" s="5">
        <v>0.27700000000000002</v>
      </c>
      <c r="AN969">
        <v>-0.4</v>
      </c>
      <c r="AO969">
        <v>4.12</v>
      </c>
      <c r="AP969">
        <v>7</v>
      </c>
      <c r="AQ969">
        <v>-17.77</v>
      </c>
      <c r="AR969">
        <v>-2.5</v>
      </c>
      <c r="AS969" t="s">
        <v>1013</v>
      </c>
      <c r="AT969">
        <v>-1</v>
      </c>
      <c r="AU969">
        <v>-7.1</v>
      </c>
      <c r="AV969">
        <v>0</v>
      </c>
      <c r="AW969">
        <v>5</v>
      </c>
      <c r="AX969">
        <v>2</v>
      </c>
      <c r="AY969">
        <v>6</v>
      </c>
      <c r="AZ969" t="s">
        <v>1975</v>
      </c>
      <c r="BA969">
        <v>10</v>
      </c>
      <c r="BB969" t="s">
        <v>36</v>
      </c>
      <c r="BC969" t="s">
        <v>35</v>
      </c>
      <c r="BD969" s="4">
        <f>HYPERLINK("http://mlb.mlb.com/team/player.jsp?player_id=665820",665820)</f>
        <v>665820</v>
      </c>
      <c r="BE969">
        <v>541</v>
      </c>
      <c r="BF969">
        <v>1541</v>
      </c>
      <c r="BG969">
        <v>0</v>
      </c>
      <c r="BH969">
        <v>0</v>
      </c>
    </row>
    <row r="970" spans="1:60" x14ac:dyDescent="0.3">
      <c r="A970" s="4">
        <f>HYPERLINK("http://legacy.baseballprospectus.com/p/108380",108380)</f>
        <v>108380</v>
      </c>
      <c r="B970" t="s">
        <v>568</v>
      </c>
      <c r="C970" t="s">
        <v>1968</v>
      </c>
      <c r="D970" s="10">
        <v>36123</v>
      </c>
      <c r="E970" t="s">
        <v>53</v>
      </c>
      <c r="F970" t="s">
        <v>33</v>
      </c>
      <c r="G970" t="s">
        <v>33</v>
      </c>
      <c r="H970">
        <v>75</v>
      </c>
      <c r="I970">
        <v>175</v>
      </c>
      <c r="J970">
        <v>2018</v>
      </c>
      <c r="K970" s="4" t="str">
        <f>HYPERLINK("http://legacy.baseballprospectus.com/fantasy/dc/index.php?tm=SLN","SLN")</f>
        <v>SLN</v>
      </c>
      <c r="L970" t="s">
        <v>100</v>
      </c>
      <c r="M970" t="s">
        <v>34</v>
      </c>
      <c r="N970">
        <v>19</v>
      </c>
      <c r="O970">
        <v>250</v>
      </c>
      <c r="P970" t="s">
        <v>1680</v>
      </c>
      <c r="Q970">
        <v>231</v>
      </c>
      <c r="R970">
        <v>26</v>
      </c>
      <c r="S970">
        <v>32</v>
      </c>
      <c r="T970">
        <v>9</v>
      </c>
      <c r="U970">
        <v>1</v>
      </c>
      <c r="V970">
        <v>5</v>
      </c>
      <c r="W970">
        <v>47</v>
      </c>
      <c r="X970">
        <v>73</v>
      </c>
      <c r="Y970">
        <v>20</v>
      </c>
      <c r="Z970">
        <v>14</v>
      </c>
      <c r="AA970">
        <v>1</v>
      </c>
      <c r="AB970">
        <v>2</v>
      </c>
      <c r="AC970">
        <v>76</v>
      </c>
      <c r="AD970">
        <v>1</v>
      </c>
      <c r="AE970">
        <v>2</v>
      </c>
      <c r="AF970">
        <v>6</v>
      </c>
      <c r="AG970">
        <v>4</v>
      </c>
      <c r="AH970">
        <v>2</v>
      </c>
      <c r="AI970" s="5">
        <v>0.20100000000000001</v>
      </c>
      <c r="AJ970" s="5">
        <v>0.25</v>
      </c>
      <c r="AK970" s="5">
        <v>0.311</v>
      </c>
      <c r="AL970" s="5">
        <v>0.189</v>
      </c>
      <c r="AM970" s="5">
        <v>0.27100000000000002</v>
      </c>
      <c r="AN970">
        <v>0</v>
      </c>
      <c r="AO970">
        <v>4.1399999999999997</v>
      </c>
      <c r="AP970">
        <v>7</v>
      </c>
      <c r="AQ970">
        <v>-18.600000000000001</v>
      </c>
      <c r="AR970">
        <v>-2</v>
      </c>
      <c r="AS970" t="s">
        <v>1013</v>
      </c>
      <c r="AT970">
        <v>-1</v>
      </c>
      <c r="AU970">
        <v>-7.5</v>
      </c>
      <c r="AV970">
        <v>0</v>
      </c>
      <c r="AW970">
        <v>3</v>
      </c>
      <c r="AX970">
        <v>1</v>
      </c>
      <c r="AY970">
        <v>4</v>
      </c>
      <c r="AZ970" t="s">
        <v>1988</v>
      </c>
      <c r="BA970">
        <v>7</v>
      </c>
      <c r="BB970" t="s">
        <v>36</v>
      </c>
      <c r="BC970" t="s">
        <v>35</v>
      </c>
      <c r="BD970" s="4">
        <f>HYPERLINK("http://mlb.mlb.com/team/player.jsp?player_id=666206",666206)</f>
        <v>666206</v>
      </c>
      <c r="BE970">
        <v>1567</v>
      </c>
      <c r="BF970">
        <v>567</v>
      </c>
      <c r="BG970">
        <v>0</v>
      </c>
      <c r="BH970">
        <v>0</v>
      </c>
    </row>
    <row r="971" spans="1:60" x14ac:dyDescent="0.3">
      <c r="A971" s="4">
        <f>HYPERLINK("http://legacy.baseballprospectus.com/p/109136",109136)</f>
        <v>109136</v>
      </c>
      <c r="B971" t="s">
        <v>1904</v>
      </c>
      <c r="C971" t="s">
        <v>111</v>
      </c>
      <c r="D971" s="10">
        <v>35430</v>
      </c>
      <c r="E971" t="s">
        <v>57</v>
      </c>
      <c r="F971" t="s">
        <v>33</v>
      </c>
      <c r="G971" t="s">
        <v>33</v>
      </c>
      <c r="H971">
        <v>72</v>
      </c>
      <c r="I971">
        <v>220</v>
      </c>
      <c r="J971">
        <v>2018</v>
      </c>
      <c r="K971" s="4" t="str">
        <f>HYPERLINK("http://legacy.baseballprospectus.com/fantasy/dc/index.php?tm=SDN","SDN")</f>
        <v>SDN</v>
      </c>
      <c r="L971" t="s">
        <v>100</v>
      </c>
      <c r="M971" t="s">
        <v>34</v>
      </c>
      <c r="N971">
        <v>21</v>
      </c>
      <c r="O971">
        <v>250</v>
      </c>
      <c r="P971" t="s">
        <v>1680</v>
      </c>
      <c r="Q971">
        <v>230</v>
      </c>
      <c r="R971">
        <v>23</v>
      </c>
      <c r="S971">
        <v>33</v>
      </c>
      <c r="T971">
        <v>9</v>
      </c>
      <c r="U971">
        <v>0</v>
      </c>
      <c r="V971">
        <v>7</v>
      </c>
      <c r="W971">
        <v>49</v>
      </c>
      <c r="X971">
        <v>79</v>
      </c>
      <c r="Y971">
        <v>27</v>
      </c>
      <c r="Z971">
        <v>15</v>
      </c>
      <c r="AA971">
        <v>1</v>
      </c>
      <c r="AB971">
        <v>3</v>
      </c>
      <c r="AC971">
        <v>78</v>
      </c>
      <c r="AD971">
        <v>0</v>
      </c>
      <c r="AE971">
        <v>1</v>
      </c>
      <c r="AF971">
        <v>7</v>
      </c>
      <c r="AG971">
        <v>0</v>
      </c>
      <c r="AH971">
        <v>0</v>
      </c>
      <c r="AI971" s="5">
        <v>0.21299999999999999</v>
      </c>
      <c r="AJ971" s="5">
        <v>0.27</v>
      </c>
      <c r="AK971" s="5">
        <v>0.34599999999999997</v>
      </c>
      <c r="AL971" s="5">
        <v>0.215</v>
      </c>
      <c r="AM971" s="5">
        <v>0.28799999999999998</v>
      </c>
      <c r="AN971">
        <v>-0.4</v>
      </c>
      <c r="AO971">
        <v>0.36</v>
      </c>
      <c r="AP971">
        <v>7</v>
      </c>
      <c r="AQ971">
        <v>-11.9</v>
      </c>
      <c r="AR971">
        <v>-3.9</v>
      </c>
      <c r="AS971" t="s">
        <v>4776</v>
      </c>
      <c r="AT971">
        <v>-1</v>
      </c>
      <c r="AU971">
        <v>-4.9000000000000004</v>
      </c>
      <c r="AV971">
        <v>1</v>
      </c>
      <c r="AW971">
        <v>3</v>
      </c>
      <c r="AX971">
        <v>0</v>
      </c>
      <c r="AY971">
        <v>4</v>
      </c>
      <c r="AZ971" t="s">
        <v>4777</v>
      </c>
      <c r="BA971">
        <v>6</v>
      </c>
      <c r="BB971" t="s">
        <v>36</v>
      </c>
      <c r="BC971" t="s">
        <v>35</v>
      </c>
      <c r="BD971" s="4">
        <f>HYPERLINK("http://mlb.mlb.com/team/player.jsp?player_id=671250",671250)</f>
        <v>671250</v>
      </c>
      <c r="BE971">
        <v>1684</v>
      </c>
      <c r="BF971">
        <v>684</v>
      </c>
      <c r="BG971">
        <v>0</v>
      </c>
      <c r="BH971">
        <v>0</v>
      </c>
    </row>
    <row r="972" spans="1:60" x14ac:dyDescent="0.3">
      <c r="A972" s="4">
        <f>HYPERLINK("http://legacy.baseballprospectus.com/p/109139",109139)</f>
        <v>109139</v>
      </c>
      <c r="B972" t="s">
        <v>359</v>
      </c>
      <c r="C972" t="s">
        <v>304</v>
      </c>
      <c r="D972" s="10">
        <v>36662</v>
      </c>
      <c r="E972" t="s">
        <v>58</v>
      </c>
      <c r="F972" t="s">
        <v>9</v>
      </c>
      <c r="G972" t="s">
        <v>33</v>
      </c>
      <c r="H972">
        <v>72</v>
      </c>
      <c r="I972">
        <v>190</v>
      </c>
      <c r="J972">
        <v>2018</v>
      </c>
      <c r="K972" s="4" t="str">
        <f>HYPERLINK("http://legacy.baseballprospectus.com/fantasy/dc/index.php?tm=WAS","WAS")</f>
        <v>WAS</v>
      </c>
      <c r="L972" t="s">
        <v>100</v>
      </c>
      <c r="M972" t="s">
        <v>34</v>
      </c>
      <c r="N972">
        <v>18</v>
      </c>
      <c r="O972">
        <v>250</v>
      </c>
      <c r="P972" t="s">
        <v>1680</v>
      </c>
      <c r="Q972">
        <v>236</v>
      </c>
      <c r="R972">
        <v>26</v>
      </c>
      <c r="S972">
        <v>34</v>
      </c>
      <c r="T972">
        <v>9</v>
      </c>
      <c r="U972">
        <v>1</v>
      </c>
      <c r="V972">
        <v>6</v>
      </c>
      <c r="W972">
        <v>50</v>
      </c>
      <c r="X972">
        <v>79</v>
      </c>
      <c r="Y972">
        <v>22</v>
      </c>
      <c r="Z972">
        <v>10</v>
      </c>
      <c r="AA972">
        <v>1</v>
      </c>
      <c r="AB972">
        <v>1</v>
      </c>
      <c r="AC972">
        <v>79</v>
      </c>
      <c r="AD972">
        <v>2</v>
      </c>
      <c r="AE972">
        <v>1</v>
      </c>
      <c r="AF972">
        <v>6</v>
      </c>
      <c r="AG972">
        <v>3</v>
      </c>
      <c r="AH972">
        <v>1</v>
      </c>
      <c r="AI972" s="5">
        <v>0.20899999999999999</v>
      </c>
      <c r="AJ972" s="5">
        <v>0.24099999999999999</v>
      </c>
      <c r="AK972" s="5">
        <v>0.32800000000000001</v>
      </c>
      <c r="AL972" s="5">
        <v>0.186</v>
      </c>
      <c r="AM972" s="5">
        <v>0.28199999999999997</v>
      </c>
      <c r="AN972">
        <v>0.1</v>
      </c>
      <c r="AO972">
        <v>3.55</v>
      </c>
      <c r="AP972">
        <v>7</v>
      </c>
      <c r="AQ972">
        <v>-19.53</v>
      </c>
      <c r="AR972">
        <v>-0.4</v>
      </c>
      <c r="AS972" t="s">
        <v>1813</v>
      </c>
      <c r="AT972">
        <v>-1</v>
      </c>
      <c r="AU972">
        <v>-8.9</v>
      </c>
      <c r="AV972">
        <v>0</v>
      </c>
      <c r="AW972">
        <v>0</v>
      </c>
      <c r="AX972">
        <v>0</v>
      </c>
      <c r="AY972">
        <v>0</v>
      </c>
      <c r="AZ972" t="s">
        <v>1886</v>
      </c>
      <c r="BA972">
        <v>0</v>
      </c>
      <c r="BB972" t="s">
        <v>36</v>
      </c>
      <c r="BC972" t="s">
        <v>35</v>
      </c>
      <c r="BD972" s="4">
        <f>HYPERLINK("http://mlb.mlb.com/team/player.jsp?player_id=671277",671277)</f>
        <v>671277</v>
      </c>
      <c r="BE972">
        <v>0</v>
      </c>
      <c r="BF972">
        <v>0</v>
      </c>
      <c r="BG972">
        <v>0</v>
      </c>
      <c r="BH972">
        <v>0</v>
      </c>
    </row>
    <row r="973" spans="1:60" x14ac:dyDescent="0.3">
      <c r="A973" s="4">
        <f>HYPERLINK("http://legacy.baseballprospectus.com/p/109490",109490)</f>
        <v>109490</v>
      </c>
      <c r="B973" t="s">
        <v>4755</v>
      </c>
      <c r="C973" t="s">
        <v>362</v>
      </c>
      <c r="D973" s="10">
        <v>36011</v>
      </c>
      <c r="E973" t="s">
        <v>65</v>
      </c>
      <c r="F973" t="s">
        <v>9</v>
      </c>
      <c r="G973" t="s">
        <v>33</v>
      </c>
      <c r="H973">
        <v>72</v>
      </c>
      <c r="I973">
        <v>170</v>
      </c>
      <c r="J973">
        <v>2018</v>
      </c>
      <c r="K973" s="4" t="str">
        <f>HYPERLINK("http://legacy.baseballprospectus.com/fantasy/dc/index.php?tm=BOS","BOS")</f>
        <v>BOS</v>
      </c>
      <c r="L973" t="s">
        <v>95</v>
      </c>
      <c r="M973" t="s">
        <v>34</v>
      </c>
      <c r="N973">
        <v>19</v>
      </c>
      <c r="O973">
        <v>250</v>
      </c>
      <c r="P973" t="s">
        <v>1680</v>
      </c>
      <c r="Q973">
        <v>224</v>
      </c>
      <c r="R973">
        <v>26</v>
      </c>
      <c r="S973">
        <v>28</v>
      </c>
      <c r="T973">
        <v>9</v>
      </c>
      <c r="U973">
        <v>0</v>
      </c>
      <c r="V973">
        <v>4</v>
      </c>
      <c r="W973">
        <v>41</v>
      </c>
      <c r="X973">
        <v>62</v>
      </c>
      <c r="Y973">
        <v>19</v>
      </c>
      <c r="Z973">
        <v>23</v>
      </c>
      <c r="AA973">
        <v>1</v>
      </c>
      <c r="AB973">
        <v>1</v>
      </c>
      <c r="AC973">
        <v>87</v>
      </c>
      <c r="AD973">
        <v>1</v>
      </c>
      <c r="AE973">
        <v>1</v>
      </c>
      <c r="AF973">
        <v>6</v>
      </c>
      <c r="AG973">
        <v>3</v>
      </c>
      <c r="AH973">
        <v>1</v>
      </c>
      <c r="AI973" s="5">
        <v>0.186</v>
      </c>
      <c r="AJ973" s="5">
        <v>0.26400000000000001</v>
      </c>
      <c r="AK973" s="5">
        <v>0.28699999999999998</v>
      </c>
      <c r="AL973" s="5">
        <v>0.192</v>
      </c>
      <c r="AM973" s="5">
        <v>0.27700000000000002</v>
      </c>
      <c r="AN973">
        <v>-0.1</v>
      </c>
      <c r="AO973">
        <v>3.19</v>
      </c>
      <c r="AP973">
        <v>7</v>
      </c>
      <c r="AQ973">
        <v>-17.82</v>
      </c>
      <c r="AR973">
        <v>-1.1000000000000001</v>
      </c>
      <c r="AS973" t="s">
        <v>83</v>
      </c>
      <c r="AT973">
        <v>-1</v>
      </c>
      <c r="AU973">
        <v>-7.7</v>
      </c>
      <c r="AV973">
        <v>0</v>
      </c>
      <c r="AW973">
        <v>7</v>
      </c>
      <c r="AX973">
        <v>2</v>
      </c>
      <c r="AY973">
        <v>7</v>
      </c>
      <c r="AZ973" t="s">
        <v>4747</v>
      </c>
      <c r="BA973">
        <v>14</v>
      </c>
      <c r="BB973" t="s">
        <v>36</v>
      </c>
      <c r="BC973" t="s">
        <v>35</v>
      </c>
      <c r="BD973" s="4">
        <f>HYPERLINK("http://mlb.mlb.com/team/player.jsp?player_id=669447",669447)</f>
        <v>669447</v>
      </c>
      <c r="BE973">
        <v>637</v>
      </c>
      <c r="BF973">
        <v>1637</v>
      </c>
      <c r="BG973">
        <v>0</v>
      </c>
      <c r="BH973">
        <v>0</v>
      </c>
    </row>
    <row r="974" spans="1:60" x14ac:dyDescent="0.3">
      <c r="A974" s="4">
        <f>HYPERLINK("http://legacy.baseballprospectus.com/p/109681",109681)</f>
        <v>109681</v>
      </c>
      <c r="B974" t="s">
        <v>4778</v>
      </c>
      <c r="C974" t="s">
        <v>4779</v>
      </c>
      <c r="D974" s="10">
        <v>36068</v>
      </c>
      <c r="E974" t="s">
        <v>54</v>
      </c>
      <c r="F974" t="s">
        <v>33</v>
      </c>
      <c r="G974" t="s">
        <v>33</v>
      </c>
      <c r="H974">
        <v>74</v>
      </c>
      <c r="I974">
        <v>185</v>
      </c>
      <c r="J974">
        <v>2018</v>
      </c>
      <c r="K974" s="4" t="str">
        <f>HYPERLINK("http://legacy.baseballprospectus.com/fantasy/dc/index.php?tm=TOR","TOR")</f>
        <v>TOR</v>
      </c>
      <c r="L974" t="s">
        <v>95</v>
      </c>
      <c r="M974" t="s">
        <v>34</v>
      </c>
      <c r="N974">
        <v>19</v>
      </c>
      <c r="O974">
        <v>250</v>
      </c>
      <c r="P974" t="s">
        <v>1680</v>
      </c>
      <c r="Q974">
        <v>235</v>
      </c>
      <c r="R974">
        <v>20</v>
      </c>
      <c r="S974">
        <v>28</v>
      </c>
      <c r="T974">
        <v>9</v>
      </c>
      <c r="U974">
        <v>0</v>
      </c>
      <c r="V974">
        <v>6</v>
      </c>
      <c r="W974">
        <v>43</v>
      </c>
      <c r="X974">
        <v>70</v>
      </c>
      <c r="Y974">
        <v>25</v>
      </c>
      <c r="Z974">
        <v>11</v>
      </c>
      <c r="AA974">
        <v>1</v>
      </c>
      <c r="AB974">
        <v>1</v>
      </c>
      <c r="AC974">
        <v>89</v>
      </c>
      <c r="AD974">
        <v>1</v>
      </c>
      <c r="AE974">
        <v>1</v>
      </c>
      <c r="AF974">
        <v>6</v>
      </c>
      <c r="AG974">
        <v>1</v>
      </c>
      <c r="AH974">
        <v>0</v>
      </c>
      <c r="AI974" s="5">
        <v>0.188</v>
      </c>
      <c r="AJ974" s="5">
        <v>0.22800000000000001</v>
      </c>
      <c r="AK974" s="5">
        <v>0.309</v>
      </c>
      <c r="AL974" s="5">
        <v>0.18</v>
      </c>
      <c r="AM974" s="5">
        <v>0.26600000000000001</v>
      </c>
      <c r="AN974">
        <v>-0.3</v>
      </c>
      <c r="AO974">
        <v>5.27</v>
      </c>
      <c r="AP974">
        <v>7</v>
      </c>
      <c r="AQ974">
        <v>-20.98</v>
      </c>
      <c r="AR974">
        <v>-0.3</v>
      </c>
      <c r="AS974" t="s">
        <v>55</v>
      </c>
      <c r="AT974">
        <v>-1</v>
      </c>
      <c r="AU974">
        <v>-9</v>
      </c>
      <c r="AV974">
        <v>0</v>
      </c>
      <c r="AW974">
        <v>4</v>
      </c>
      <c r="AX974">
        <v>1</v>
      </c>
      <c r="AY974">
        <v>4</v>
      </c>
      <c r="AZ974" t="s">
        <v>4780</v>
      </c>
      <c r="BA974">
        <v>8</v>
      </c>
      <c r="BB974" t="s">
        <v>36</v>
      </c>
      <c r="BC974" t="s">
        <v>35</v>
      </c>
      <c r="BD974" s="4">
        <f>HYPERLINK("http://mlb.mlb.com/team/player.jsp?player_id=668470",668470)</f>
        <v>668470</v>
      </c>
      <c r="BE974">
        <v>0</v>
      </c>
      <c r="BF974">
        <v>0</v>
      </c>
      <c r="BG974">
        <v>0</v>
      </c>
      <c r="BH974">
        <v>0</v>
      </c>
    </row>
    <row r="975" spans="1:60" x14ac:dyDescent="0.3">
      <c r="A975" s="4">
        <f>HYPERLINK("http://legacy.baseballprospectus.com/p/110305",110305)</f>
        <v>110305</v>
      </c>
      <c r="B975" t="s">
        <v>4756</v>
      </c>
      <c r="C975" t="s">
        <v>411</v>
      </c>
      <c r="D975" s="10">
        <v>35051</v>
      </c>
      <c r="E975" t="s">
        <v>50</v>
      </c>
      <c r="F975" t="s">
        <v>9</v>
      </c>
      <c r="G975" t="s">
        <v>9</v>
      </c>
      <c r="H975">
        <v>74</v>
      </c>
      <c r="I975">
        <v>212</v>
      </c>
      <c r="J975">
        <v>2018</v>
      </c>
      <c r="K975" s="4" t="str">
        <f>HYPERLINK("http://legacy.baseballprospectus.com/fantasy/dc/index.php?tm=TBA","TBA")</f>
        <v>TBA</v>
      </c>
      <c r="L975" t="s">
        <v>95</v>
      </c>
      <c r="M975" t="s">
        <v>34</v>
      </c>
      <c r="N975">
        <v>22</v>
      </c>
      <c r="O975">
        <v>250</v>
      </c>
      <c r="P975" t="s">
        <v>1680</v>
      </c>
      <c r="Q975">
        <v>225</v>
      </c>
      <c r="R975">
        <v>24</v>
      </c>
      <c r="S975">
        <v>29</v>
      </c>
      <c r="T975">
        <v>8</v>
      </c>
      <c r="U975">
        <v>1</v>
      </c>
      <c r="V975">
        <v>7</v>
      </c>
      <c r="W975">
        <v>45</v>
      </c>
      <c r="X975">
        <v>76</v>
      </c>
      <c r="Y975">
        <v>27</v>
      </c>
      <c r="Z975">
        <v>21</v>
      </c>
      <c r="AA975">
        <v>1</v>
      </c>
      <c r="AB975">
        <v>2</v>
      </c>
      <c r="AC975">
        <v>77</v>
      </c>
      <c r="AD975">
        <v>1</v>
      </c>
      <c r="AE975">
        <v>1</v>
      </c>
      <c r="AF975">
        <v>6</v>
      </c>
      <c r="AG975">
        <v>1</v>
      </c>
      <c r="AH975">
        <v>0</v>
      </c>
      <c r="AI975" s="5">
        <v>0.19800000000000001</v>
      </c>
      <c r="AJ975" s="5">
        <v>0.27200000000000002</v>
      </c>
      <c r="AK975" s="5">
        <v>0.33400000000000002</v>
      </c>
      <c r="AL975" s="5">
        <v>0.21299999999999999</v>
      </c>
      <c r="AM975" s="5">
        <v>0.26300000000000001</v>
      </c>
      <c r="AN975">
        <v>-0.3</v>
      </c>
      <c r="AO975">
        <v>-2.19</v>
      </c>
      <c r="AP975">
        <v>7</v>
      </c>
      <c r="AQ975">
        <v>-12.38</v>
      </c>
      <c r="AR975">
        <v>-0.9</v>
      </c>
      <c r="AS975" t="s">
        <v>64</v>
      </c>
      <c r="AT975">
        <v>-1</v>
      </c>
      <c r="AU975">
        <v>-7.9</v>
      </c>
      <c r="AV975">
        <v>2</v>
      </c>
      <c r="AW975">
        <v>3</v>
      </c>
      <c r="AX975">
        <v>0</v>
      </c>
      <c r="AY975">
        <v>6</v>
      </c>
      <c r="AZ975" t="s">
        <v>4757</v>
      </c>
      <c r="BA975">
        <v>7</v>
      </c>
      <c r="BB975" t="s">
        <v>36</v>
      </c>
      <c r="BC975" t="s">
        <v>35</v>
      </c>
      <c r="BD975" s="4">
        <f>HYPERLINK("http://mlb.mlb.com/team/player.jsp?player_id=656713",656713)</f>
        <v>656713</v>
      </c>
      <c r="BE975">
        <v>221</v>
      </c>
      <c r="BF975">
        <v>1221</v>
      </c>
      <c r="BG975">
        <v>0</v>
      </c>
      <c r="BH975">
        <v>0</v>
      </c>
    </row>
    <row r="976" spans="1:60" x14ac:dyDescent="0.3">
      <c r="A976" s="4">
        <f>HYPERLINK("http://legacy.baseballprospectus.com/p/110621",110621)</f>
        <v>110621</v>
      </c>
      <c r="B976" t="s">
        <v>591</v>
      </c>
      <c r="C976" t="s">
        <v>4758</v>
      </c>
      <c r="D976" s="10">
        <v>36410</v>
      </c>
      <c r="E976" t="s">
        <v>65</v>
      </c>
      <c r="F976" t="s">
        <v>33</v>
      </c>
      <c r="G976" t="s">
        <v>33</v>
      </c>
      <c r="H976">
        <v>74</v>
      </c>
      <c r="I976">
        <v>185</v>
      </c>
      <c r="J976">
        <v>2018</v>
      </c>
      <c r="K976" s="4" t="str">
        <f>HYPERLINK("http://legacy.baseballprospectus.com/fantasy/dc/index.php?tm=SFN","SFN")</f>
        <v>SFN</v>
      </c>
      <c r="L976" t="s">
        <v>100</v>
      </c>
      <c r="M976" t="s">
        <v>34</v>
      </c>
      <c r="N976">
        <v>18</v>
      </c>
      <c r="O976">
        <v>250</v>
      </c>
      <c r="P976" t="s">
        <v>1680</v>
      </c>
      <c r="Q976">
        <v>235</v>
      </c>
      <c r="R976">
        <v>27</v>
      </c>
      <c r="S976">
        <v>29</v>
      </c>
      <c r="T976">
        <v>9</v>
      </c>
      <c r="U976">
        <v>1</v>
      </c>
      <c r="V976">
        <v>6</v>
      </c>
      <c r="W976">
        <v>45</v>
      </c>
      <c r="X976">
        <v>74</v>
      </c>
      <c r="Y976">
        <v>21</v>
      </c>
      <c r="Z976">
        <v>12</v>
      </c>
      <c r="AA976">
        <v>1</v>
      </c>
      <c r="AB976">
        <v>1</v>
      </c>
      <c r="AC976">
        <v>92</v>
      </c>
      <c r="AD976">
        <v>1</v>
      </c>
      <c r="AE976">
        <v>1</v>
      </c>
      <c r="AF976">
        <v>6</v>
      </c>
      <c r="AG976">
        <v>5</v>
      </c>
      <c r="AH976">
        <v>2</v>
      </c>
      <c r="AI976" s="5">
        <v>0.193</v>
      </c>
      <c r="AJ976" s="5">
        <v>0.23300000000000001</v>
      </c>
      <c r="AK976" s="5">
        <v>0.31900000000000001</v>
      </c>
      <c r="AL976" s="5">
        <v>0.191</v>
      </c>
      <c r="AM976" s="5">
        <v>0.28199999999999997</v>
      </c>
      <c r="AN976">
        <v>0.5</v>
      </c>
      <c r="AO976">
        <v>3.15</v>
      </c>
      <c r="AP976">
        <v>7</v>
      </c>
      <c r="AQ976">
        <v>-18.16</v>
      </c>
      <c r="AR976">
        <v>-1.3</v>
      </c>
      <c r="AS976" t="s">
        <v>72</v>
      </c>
      <c r="AT976">
        <v>-1</v>
      </c>
      <c r="AU976">
        <v>-7.5</v>
      </c>
      <c r="AV976">
        <v>0</v>
      </c>
      <c r="AW976">
        <v>0</v>
      </c>
      <c r="AX976">
        <v>0</v>
      </c>
      <c r="AY976">
        <v>0</v>
      </c>
      <c r="AZ976" t="s">
        <v>1886</v>
      </c>
      <c r="BA976">
        <v>0</v>
      </c>
      <c r="BB976" t="s">
        <v>36</v>
      </c>
      <c r="BC976" t="s">
        <v>35</v>
      </c>
      <c r="BD976" s="4">
        <f>HYPERLINK("http://mlb.mlb.com/team/player.jsp?player_id=671218",671218)</f>
        <v>671218</v>
      </c>
      <c r="BE976">
        <v>1688</v>
      </c>
      <c r="BF976">
        <v>688</v>
      </c>
      <c r="BG976">
        <v>0</v>
      </c>
      <c r="BH976">
        <v>0</v>
      </c>
    </row>
    <row r="977" spans="1:60" x14ac:dyDescent="0.3">
      <c r="A977" s="4">
        <f>HYPERLINK("http://legacy.baseballprospectus.com/p/110816",110816)</f>
        <v>110816</v>
      </c>
      <c r="B977" t="s">
        <v>4759</v>
      </c>
      <c r="C977" t="s">
        <v>234</v>
      </c>
      <c r="D977" s="10">
        <v>36166</v>
      </c>
      <c r="E977" t="s">
        <v>53</v>
      </c>
      <c r="F977" t="s">
        <v>33</v>
      </c>
      <c r="G977" t="s">
        <v>33</v>
      </c>
      <c r="H977">
        <v>74</v>
      </c>
      <c r="I977">
        <v>175</v>
      </c>
      <c r="J977">
        <v>2018</v>
      </c>
      <c r="K977" s="4" t="str">
        <f>HYPERLINK("http://legacy.baseballprospectus.com/fantasy/dc/index.php?tm=TEX","TEX")</f>
        <v>TEX</v>
      </c>
      <c r="L977" t="s">
        <v>95</v>
      </c>
      <c r="M977" t="s">
        <v>34</v>
      </c>
      <c r="N977">
        <v>19</v>
      </c>
      <c r="O977">
        <v>250</v>
      </c>
      <c r="P977" t="s">
        <v>1680</v>
      </c>
      <c r="Q977">
        <v>233</v>
      </c>
      <c r="R977">
        <v>25</v>
      </c>
      <c r="S977">
        <v>32</v>
      </c>
      <c r="T977">
        <v>9</v>
      </c>
      <c r="U977">
        <v>1</v>
      </c>
      <c r="V977">
        <v>6</v>
      </c>
      <c r="W977">
        <v>48</v>
      </c>
      <c r="X977">
        <v>77</v>
      </c>
      <c r="Y977">
        <v>23</v>
      </c>
      <c r="Z977">
        <v>13</v>
      </c>
      <c r="AA977">
        <v>1</v>
      </c>
      <c r="AB977">
        <v>2</v>
      </c>
      <c r="AC977">
        <v>80</v>
      </c>
      <c r="AD977">
        <v>1</v>
      </c>
      <c r="AE977">
        <v>1</v>
      </c>
      <c r="AF977">
        <v>6</v>
      </c>
      <c r="AG977">
        <v>0</v>
      </c>
      <c r="AH977">
        <v>0</v>
      </c>
      <c r="AI977" s="5">
        <v>0.20399999999999999</v>
      </c>
      <c r="AJ977" s="5">
        <v>0.249</v>
      </c>
      <c r="AK977" s="5">
        <v>0.32800000000000001</v>
      </c>
      <c r="AL977" s="5">
        <v>0.188</v>
      </c>
      <c r="AM977" s="5">
        <v>0.27800000000000002</v>
      </c>
      <c r="AN977">
        <v>-0.3</v>
      </c>
      <c r="AO977">
        <v>4.18</v>
      </c>
      <c r="AP977">
        <v>7</v>
      </c>
      <c r="AQ977">
        <v>-18.91</v>
      </c>
      <c r="AR977">
        <v>-0.6</v>
      </c>
      <c r="AS977" t="s">
        <v>73</v>
      </c>
      <c r="AT977">
        <v>-1</v>
      </c>
      <c r="AU977">
        <v>-8</v>
      </c>
      <c r="AV977">
        <v>0</v>
      </c>
      <c r="AW977">
        <v>3</v>
      </c>
      <c r="AX977">
        <v>1</v>
      </c>
      <c r="AY977">
        <v>3</v>
      </c>
      <c r="AZ977" t="s">
        <v>4707</v>
      </c>
      <c r="BA977">
        <v>6</v>
      </c>
      <c r="BB977" t="s">
        <v>36</v>
      </c>
      <c r="BC977" t="s">
        <v>35</v>
      </c>
      <c r="BD977" s="4">
        <f>HYPERLINK("http://mlb.mlb.com/team/player.jsp?player_id=669451",669451)</f>
        <v>669451</v>
      </c>
      <c r="BE977">
        <v>546</v>
      </c>
      <c r="BF977">
        <v>1546</v>
      </c>
      <c r="BG977">
        <v>0</v>
      </c>
      <c r="BH977">
        <v>0</v>
      </c>
    </row>
    <row r="978" spans="1:60" x14ac:dyDescent="0.3">
      <c r="A978" s="4">
        <f>HYPERLINK("http://legacy.baseballprospectus.com/p/111057",111057)</f>
        <v>111057</v>
      </c>
      <c r="B978" t="s">
        <v>982</v>
      </c>
      <c r="C978" t="s">
        <v>245</v>
      </c>
      <c r="D978" s="10">
        <v>35181</v>
      </c>
      <c r="E978" t="s">
        <v>50</v>
      </c>
      <c r="F978" t="s">
        <v>33</v>
      </c>
      <c r="G978" t="s">
        <v>9</v>
      </c>
      <c r="H978">
        <v>75</v>
      </c>
      <c r="I978">
        <v>205</v>
      </c>
      <c r="J978">
        <v>2018</v>
      </c>
      <c r="K978" s="4" t="str">
        <f>HYPERLINK("http://legacy.baseballprospectus.com/fantasy/dc/index.php?tm=SEA","SEA")</f>
        <v>SEA</v>
      </c>
      <c r="L978" t="s">
        <v>95</v>
      </c>
      <c r="M978" t="s">
        <v>34</v>
      </c>
      <c r="N978">
        <v>22</v>
      </c>
      <c r="O978">
        <v>250</v>
      </c>
      <c r="P978" t="s">
        <v>1680</v>
      </c>
      <c r="Q978">
        <v>228</v>
      </c>
      <c r="R978">
        <v>25</v>
      </c>
      <c r="S978">
        <v>31</v>
      </c>
      <c r="T978">
        <v>9</v>
      </c>
      <c r="U978">
        <v>1</v>
      </c>
      <c r="V978">
        <v>7</v>
      </c>
      <c r="W978">
        <v>48</v>
      </c>
      <c r="X978">
        <v>80</v>
      </c>
      <c r="Y978">
        <v>28</v>
      </c>
      <c r="Z978">
        <v>17</v>
      </c>
      <c r="AA978">
        <v>1</v>
      </c>
      <c r="AB978">
        <v>2</v>
      </c>
      <c r="AC978">
        <v>70</v>
      </c>
      <c r="AD978">
        <v>1</v>
      </c>
      <c r="AE978">
        <v>2</v>
      </c>
      <c r="AF978">
        <v>7</v>
      </c>
      <c r="AG978">
        <v>2</v>
      </c>
      <c r="AH978">
        <v>1</v>
      </c>
      <c r="AI978" s="5">
        <v>0.20899999999999999</v>
      </c>
      <c r="AJ978" s="5">
        <v>0.26800000000000002</v>
      </c>
      <c r="AK978" s="5">
        <v>0.35199999999999998</v>
      </c>
      <c r="AL978" s="5">
        <v>0.21099999999999999</v>
      </c>
      <c r="AM978" s="5">
        <v>0.26300000000000001</v>
      </c>
      <c r="AN978">
        <v>-0.3</v>
      </c>
      <c r="AO978">
        <v>-2.1800000000000002</v>
      </c>
      <c r="AP978">
        <v>7</v>
      </c>
      <c r="AQ978">
        <v>-12.82</v>
      </c>
      <c r="AR978">
        <v>-1.1000000000000001</v>
      </c>
      <c r="AS978" t="s">
        <v>64</v>
      </c>
      <c r="AT978">
        <v>-1</v>
      </c>
      <c r="AU978">
        <v>-8.3000000000000007</v>
      </c>
      <c r="AV978">
        <v>2</v>
      </c>
      <c r="AW978">
        <v>4</v>
      </c>
      <c r="AX978">
        <v>0</v>
      </c>
      <c r="AY978">
        <v>4</v>
      </c>
      <c r="AZ978" t="s">
        <v>4781</v>
      </c>
      <c r="BA978">
        <v>5</v>
      </c>
      <c r="BB978" t="s">
        <v>36</v>
      </c>
      <c r="BC978" t="s">
        <v>35</v>
      </c>
      <c r="BD978" s="4">
        <f>HYPERLINK("http://mlb.mlb.com/team/player.jsp?player_id=657108",657108)</f>
        <v>657108</v>
      </c>
      <c r="BE978">
        <v>431</v>
      </c>
      <c r="BF978">
        <v>1431</v>
      </c>
      <c r="BG978">
        <v>0</v>
      </c>
      <c r="BH978">
        <v>0</v>
      </c>
    </row>
    <row r="979" spans="1:60" x14ac:dyDescent="0.3">
      <c r="A979" s="4">
        <f>HYPERLINK("http://legacy.baseballprospectus.com/p/66955",66955)</f>
        <v>66955</v>
      </c>
      <c r="B979" t="s">
        <v>236</v>
      </c>
      <c r="C979" t="s">
        <v>108</v>
      </c>
      <c r="D979" s="10">
        <v>33667</v>
      </c>
      <c r="E979" t="s">
        <v>57</v>
      </c>
      <c r="F979" t="s">
        <v>33</v>
      </c>
      <c r="G979" t="s">
        <v>33</v>
      </c>
      <c r="H979">
        <v>76</v>
      </c>
      <c r="I979">
        <v>210</v>
      </c>
      <c r="J979">
        <v>2018</v>
      </c>
      <c r="K979" s="4" t="str">
        <f>HYPERLINK("http://legacy.baseballprospectus.com/fantasy/dc/index.php?tm=DET","DET")</f>
        <v>DET</v>
      </c>
      <c r="L979" t="s">
        <v>95</v>
      </c>
      <c r="M979" t="s">
        <v>34</v>
      </c>
      <c r="N979">
        <v>26</v>
      </c>
      <c r="O979">
        <v>615</v>
      </c>
      <c r="P979">
        <v>154</v>
      </c>
      <c r="Q979">
        <v>566</v>
      </c>
      <c r="R979">
        <v>78</v>
      </c>
      <c r="S979">
        <v>93</v>
      </c>
      <c r="T979">
        <v>33</v>
      </c>
      <c r="U979">
        <v>5</v>
      </c>
      <c r="V979">
        <v>20</v>
      </c>
      <c r="W979">
        <v>151</v>
      </c>
      <c r="X979">
        <v>254</v>
      </c>
      <c r="Y979">
        <v>71</v>
      </c>
      <c r="Z979">
        <v>40</v>
      </c>
      <c r="AA979">
        <v>2</v>
      </c>
      <c r="AB979">
        <v>4</v>
      </c>
      <c r="AC979">
        <v>137</v>
      </c>
      <c r="AD979">
        <v>0</v>
      </c>
      <c r="AE979">
        <v>5</v>
      </c>
      <c r="AF979">
        <v>14</v>
      </c>
      <c r="AG979">
        <v>3</v>
      </c>
      <c r="AH979">
        <v>3</v>
      </c>
      <c r="AI979" s="5">
        <v>0.26700000000000002</v>
      </c>
      <c r="AJ979" s="5">
        <v>0.317</v>
      </c>
      <c r="AK979" s="5">
        <v>0.44900000000000001</v>
      </c>
      <c r="AL979" s="5">
        <v>0.25700000000000001</v>
      </c>
      <c r="AM979" s="5">
        <v>0.317</v>
      </c>
      <c r="AN979">
        <v>-1.2</v>
      </c>
      <c r="AO979">
        <v>-1.56</v>
      </c>
      <c r="AP979">
        <v>16.510000000000002</v>
      </c>
      <c r="AQ979">
        <v>-1.85</v>
      </c>
      <c r="AR979">
        <v>-23</v>
      </c>
      <c r="AS979" t="s">
        <v>4876</v>
      </c>
      <c r="AT979">
        <v>-1.1000000000000001</v>
      </c>
      <c r="AU979">
        <v>11.9</v>
      </c>
      <c r="AV979">
        <v>3</v>
      </c>
      <c r="AW979">
        <v>52</v>
      </c>
      <c r="AX979">
        <v>2</v>
      </c>
      <c r="AY979">
        <v>10</v>
      </c>
      <c r="AZ979" t="s">
        <v>4813</v>
      </c>
      <c r="BA979">
        <v>97</v>
      </c>
      <c r="BB979" t="s">
        <v>35</v>
      </c>
      <c r="BC979" t="s">
        <v>36</v>
      </c>
      <c r="BD979" s="4">
        <f>HYPERLINK("http://mlb.mlb.com/team/player.jsp?player_id=592206",592206)</f>
        <v>592206</v>
      </c>
      <c r="BE979">
        <v>464</v>
      </c>
      <c r="BF979">
        <v>1464</v>
      </c>
      <c r="BG979">
        <v>665</v>
      </c>
      <c r="BH979">
        <v>614</v>
      </c>
    </row>
    <row r="980" spans="1:60" x14ac:dyDescent="0.3">
      <c r="A980" s="4">
        <f>HYPERLINK("http://legacy.baseballprospectus.com/p/40947",40947)</f>
        <v>40947</v>
      </c>
      <c r="B980" t="s">
        <v>561</v>
      </c>
      <c r="C980" t="s">
        <v>562</v>
      </c>
      <c r="D980" s="10">
        <v>29958</v>
      </c>
      <c r="E980" t="s">
        <v>54</v>
      </c>
      <c r="F980" t="s">
        <v>37</v>
      </c>
      <c r="G980" t="s">
        <v>33</v>
      </c>
      <c r="H980">
        <v>69</v>
      </c>
      <c r="I980">
        <v>240</v>
      </c>
      <c r="J980">
        <v>2018</v>
      </c>
      <c r="K980" s="4" t="str">
        <f>HYPERLINK("http://legacy.baseballprospectus.com/fantasy/dc/index.php?tm=DET","DET")</f>
        <v>DET</v>
      </c>
      <c r="L980" t="s">
        <v>95</v>
      </c>
      <c r="M980" t="s">
        <v>34</v>
      </c>
      <c r="N980">
        <v>36</v>
      </c>
      <c r="O980">
        <v>250</v>
      </c>
      <c r="P980" t="s">
        <v>1680</v>
      </c>
      <c r="Q980">
        <v>231</v>
      </c>
      <c r="R980">
        <v>23</v>
      </c>
      <c r="S980">
        <v>46</v>
      </c>
      <c r="T980">
        <v>11</v>
      </c>
      <c r="U980">
        <v>1</v>
      </c>
      <c r="V980">
        <v>3</v>
      </c>
      <c r="W980">
        <v>61</v>
      </c>
      <c r="X980">
        <v>83</v>
      </c>
      <c r="Y980">
        <v>22</v>
      </c>
      <c r="Z980">
        <v>14</v>
      </c>
      <c r="AA980">
        <v>1</v>
      </c>
      <c r="AB980">
        <v>1</v>
      </c>
      <c r="AC980">
        <v>29</v>
      </c>
      <c r="AD980">
        <v>1</v>
      </c>
      <c r="AE980">
        <v>2</v>
      </c>
      <c r="AF980">
        <v>8</v>
      </c>
      <c r="AG980">
        <v>1</v>
      </c>
      <c r="AH980">
        <v>0</v>
      </c>
      <c r="AI980" s="5">
        <v>0.25900000000000001</v>
      </c>
      <c r="AJ980" s="5">
        <v>0.30299999999999999</v>
      </c>
      <c r="AK980" s="5">
        <v>0.34499999999999997</v>
      </c>
      <c r="AL980" s="5">
        <v>0.219</v>
      </c>
      <c r="AM980" s="5">
        <v>0.28199999999999997</v>
      </c>
      <c r="AN980">
        <v>-1.4</v>
      </c>
      <c r="AO980">
        <v>5.13</v>
      </c>
      <c r="AP980">
        <v>7</v>
      </c>
      <c r="AQ980">
        <v>-10.68</v>
      </c>
      <c r="AR980">
        <v>-10</v>
      </c>
      <c r="AS980" t="s">
        <v>4782</v>
      </c>
      <c r="AT980">
        <v>-1.1000000000000001</v>
      </c>
      <c r="AU980">
        <v>0.1</v>
      </c>
      <c r="AV980">
        <v>2</v>
      </c>
      <c r="AW980">
        <v>23</v>
      </c>
      <c r="AX980">
        <v>13</v>
      </c>
      <c r="AY980">
        <v>32</v>
      </c>
      <c r="AZ980" t="s">
        <v>4783</v>
      </c>
      <c r="BA980">
        <v>72</v>
      </c>
      <c r="BB980" t="s">
        <v>36</v>
      </c>
      <c r="BC980" t="s">
        <v>36</v>
      </c>
      <c r="BD980" s="4">
        <f>HYPERLINK("http://mlb.mlb.com/team/player.jsp?player_id=430910",430910)</f>
        <v>430910</v>
      </c>
      <c r="BE980">
        <v>0</v>
      </c>
      <c r="BF980">
        <v>0</v>
      </c>
      <c r="BG980">
        <v>0</v>
      </c>
      <c r="BH980">
        <v>0</v>
      </c>
    </row>
    <row r="981" spans="1:60" x14ac:dyDescent="0.3">
      <c r="A981" s="4">
        <f>HYPERLINK("http://legacy.baseballprospectus.com/p/46537",46537)</f>
        <v>46537</v>
      </c>
      <c r="B981" t="s">
        <v>595</v>
      </c>
      <c r="C981" t="s">
        <v>384</v>
      </c>
      <c r="D981" s="10">
        <v>30557</v>
      </c>
      <c r="E981" t="s">
        <v>54</v>
      </c>
      <c r="F981" t="s">
        <v>33</v>
      </c>
      <c r="G981" t="s">
        <v>33</v>
      </c>
      <c r="H981">
        <v>74</v>
      </c>
      <c r="I981">
        <v>240</v>
      </c>
      <c r="J981">
        <v>2018</v>
      </c>
      <c r="K981" s="4" t="str">
        <f>HYPERLINK("http://legacy.baseballprospectus.com/fantasy/dc/index.php?tm=ARI","ARI")</f>
        <v>ARI</v>
      </c>
      <c r="L981" t="s">
        <v>95</v>
      </c>
      <c r="M981" t="s">
        <v>34</v>
      </c>
      <c r="N981">
        <v>34</v>
      </c>
      <c r="O981">
        <v>250</v>
      </c>
      <c r="P981" t="s">
        <v>1680</v>
      </c>
      <c r="Q981">
        <v>219</v>
      </c>
      <c r="R981">
        <v>29</v>
      </c>
      <c r="S981">
        <v>28</v>
      </c>
      <c r="T981">
        <v>11</v>
      </c>
      <c r="U981">
        <v>1</v>
      </c>
      <c r="V981">
        <v>9</v>
      </c>
      <c r="W981">
        <v>49</v>
      </c>
      <c r="X981">
        <v>89</v>
      </c>
      <c r="Y981">
        <v>31</v>
      </c>
      <c r="Z981">
        <v>25</v>
      </c>
      <c r="AA981">
        <v>1</v>
      </c>
      <c r="AB981">
        <v>3</v>
      </c>
      <c r="AC981">
        <v>75</v>
      </c>
      <c r="AD981">
        <v>1</v>
      </c>
      <c r="AE981">
        <v>1</v>
      </c>
      <c r="AF981">
        <v>5</v>
      </c>
      <c r="AG981">
        <v>1</v>
      </c>
      <c r="AH981">
        <v>0</v>
      </c>
      <c r="AI981" s="5">
        <v>0.222</v>
      </c>
      <c r="AJ981" s="5">
        <v>0.308</v>
      </c>
      <c r="AK981" s="5">
        <v>0.40500000000000003</v>
      </c>
      <c r="AL981" s="5">
        <v>0.23499999999999999</v>
      </c>
      <c r="AM981" s="5">
        <v>0.28599999999999998</v>
      </c>
      <c r="AN981">
        <v>-0.4</v>
      </c>
      <c r="AO981">
        <v>5.4</v>
      </c>
      <c r="AP981">
        <v>7</v>
      </c>
      <c r="AQ981">
        <v>-6.57</v>
      </c>
      <c r="AR981">
        <v>-15.1</v>
      </c>
      <c r="AS981" t="s">
        <v>4764</v>
      </c>
      <c r="AT981">
        <v>-1.1000000000000001</v>
      </c>
      <c r="AU981">
        <v>5.4</v>
      </c>
      <c r="AV981">
        <v>4</v>
      </c>
      <c r="AW981">
        <v>28</v>
      </c>
      <c r="AX981">
        <v>7</v>
      </c>
      <c r="AY981">
        <v>24</v>
      </c>
      <c r="AZ981" t="s">
        <v>4765</v>
      </c>
      <c r="BA981">
        <v>74</v>
      </c>
      <c r="BB981" t="s">
        <v>36</v>
      </c>
      <c r="BC981" t="s">
        <v>36</v>
      </c>
      <c r="BD981" s="4">
        <f>HYPERLINK("http://mlb.mlb.com/team/player.jsp?player_id=489232",489232)</f>
        <v>489232</v>
      </c>
      <c r="BE981">
        <v>0</v>
      </c>
      <c r="BF981">
        <v>0</v>
      </c>
      <c r="BG981">
        <v>7</v>
      </c>
      <c r="BH981">
        <v>7</v>
      </c>
    </row>
    <row r="982" spans="1:60" x14ac:dyDescent="0.3">
      <c r="A982" s="4">
        <f>HYPERLINK("http://legacy.baseballprospectus.com/p/102810",102810)</f>
        <v>102810</v>
      </c>
      <c r="B982" t="s">
        <v>1981</v>
      </c>
      <c r="C982" t="s">
        <v>1982</v>
      </c>
      <c r="D982" s="10">
        <v>35227</v>
      </c>
      <c r="E982" t="s">
        <v>50</v>
      </c>
      <c r="F982" t="s">
        <v>9</v>
      </c>
      <c r="G982" t="s">
        <v>33</v>
      </c>
      <c r="H982">
        <v>73</v>
      </c>
      <c r="I982">
        <v>195</v>
      </c>
      <c r="J982">
        <v>2018</v>
      </c>
      <c r="K982" s="4" t="str">
        <f>HYPERLINK("http://legacy.baseballprospectus.com/fantasy/dc/index.php?tm=KCA","KCA")</f>
        <v>KCA</v>
      </c>
      <c r="L982" t="s">
        <v>95</v>
      </c>
      <c r="M982" t="s">
        <v>34</v>
      </c>
      <c r="N982">
        <v>22</v>
      </c>
      <c r="O982">
        <v>250</v>
      </c>
      <c r="P982" t="s">
        <v>1680</v>
      </c>
      <c r="Q982">
        <v>233</v>
      </c>
      <c r="R982">
        <v>26</v>
      </c>
      <c r="S982">
        <v>36</v>
      </c>
      <c r="T982">
        <v>11</v>
      </c>
      <c r="U982">
        <v>1</v>
      </c>
      <c r="V982">
        <v>7</v>
      </c>
      <c r="W982">
        <v>55</v>
      </c>
      <c r="X982">
        <v>89</v>
      </c>
      <c r="Y982">
        <v>29</v>
      </c>
      <c r="Z982">
        <v>14</v>
      </c>
      <c r="AA982">
        <v>1</v>
      </c>
      <c r="AB982">
        <v>1</v>
      </c>
      <c r="AC982">
        <v>54</v>
      </c>
      <c r="AD982">
        <v>1</v>
      </c>
      <c r="AE982">
        <v>1</v>
      </c>
      <c r="AF982">
        <v>7</v>
      </c>
      <c r="AG982">
        <v>3</v>
      </c>
      <c r="AH982">
        <v>1</v>
      </c>
      <c r="AI982" s="5">
        <v>0.23699999999999999</v>
      </c>
      <c r="AJ982" s="5">
        <v>0.28199999999999997</v>
      </c>
      <c r="AK982" s="5">
        <v>0.39</v>
      </c>
      <c r="AL982" s="5">
        <v>0.222</v>
      </c>
      <c r="AM982" s="5">
        <v>0.27600000000000002</v>
      </c>
      <c r="AN982">
        <v>0.1</v>
      </c>
      <c r="AO982">
        <v>-2.27</v>
      </c>
      <c r="AP982">
        <v>7</v>
      </c>
      <c r="AQ982">
        <v>-9.9</v>
      </c>
      <c r="AR982">
        <v>-4.8</v>
      </c>
      <c r="AS982" t="s">
        <v>2191</v>
      </c>
      <c r="AT982">
        <v>-1.1000000000000001</v>
      </c>
      <c r="AU982">
        <v>-5.0999999999999996</v>
      </c>
      <c r="AV982">
        <v>4</v>
      </c>
      <c r="AW982">
        <v>8</v>
      </c>
      <c r="AX982">
        <v>2</v>
      </c>
      <c r="AY982">
        <v>11</v>
      </c>
      <c r="AZ982" t="s">
        <v>4784</v>
      </c>
      <c r="BA982">
        <v>16</v>
      </c>
      <c r="BB982" t="s">
        <v>36</v>
      </c>
      <c r="BC982" t="s">
        <v>35</v>
      </c>
      <c r="BD982" s="4">
        <f>HYPERLINK("http://mlb.mlb.com/team/player.jsp?player_id=642279",642279)</f>
        <v>642279</v>
      </c>
      <c r="BE982">
        <v>429</v>
      </c>
      <c r="BF982">
        <v>1429</v>
      </c>
      <c r="BG982">
        <v>0</v>
      </c>
      <c r="BH982">
        <v>0</v>
      </c>
    </row>
    <row r="983" spans="1:60" x14ac:dyDescent="0.3">
      <c r="A983" s="4">
        <f>HYPERLINK("http://legacy.baseballprospectus.com/p/104235",104235)</f>
        <v>104235</v>
      </c>
      <c r="B983" t="s">
        <v>1417</v>
      </c>
      <c r="C983" t="s">
        <v>1444</v>
      </c>
      <c r="D983" s="10">
        <v>35319</v>
      </c>
      <c r="E983" t="s">
        <v>57</v>
      </c>
      <c r="F983" t="s">
        <v>33</v>
      </c>
      <c r="G983" t="s">
        <v>33</v>
      </c>
      <c r="H983">
        <v>75</v>
      </c>
      <c r="I983">
        <v>200</v>
      </c>
      <c r="J983">
        <v>2018</v>
      </c>
      <c r="K983" s="4" t="str">
        <f>HYPERLINK("http://legacy.baseballprospectus.com/fantasy/dc/index.php?tm=CHA","CHA")</f>
        <v>CHA</v>
      </c>
      <c r="L983" t="s">
        <v>95</v>
      </c>
      <c r="M983" t="s">
        <v>34</v>
      </c>
      <c r="N983">
        <v>21</v>
      </c>
      <c r="O983">
        <v>250</v>
      </c>
      <c r="P983" t="s">
        <v>1680</v>
      </c>
      <c r="Q983">
        <v>231</v>
      </c>
      <c r="R983">
        <v>24</v>
      </c>
      <c r="S983">
        <v>28</v>
      </c>
      <c r="T983">
        <v>10</v>
      </c>
      <c r="U983">
        <v>0</v>
      </c>
      <c r="V983">
        <v>9</v>
      </c>
      <c r="W983">
        <v>47</v>
      </c>
      <c r="X983">
        <v>84</v>
      </c>
      <c r="Y983">
        <v>30</v>
      </c>
      <c r="Z983">
        <v>13</v>
      </c>
      <c r="AA983">
        <v>1</v>
      </c>
      <c r="AB983">
        <v>4</v>
      </c>
      <c r="AC983">
        <v>95</v>
      </c>
      <c r="AD983">
        <v>1</v>
      </c>
      <c r="AE983">
        <v>1</v>
      </c>
      <c r="AF983">
        <v>6</v>
      </c>
      <c r="AG983">
        <v>0</v>
      </c>
      <c r="AH983">
        <v>0</v>
      </c>
      <c r="AI983" s="5">
        <v>0.20100000000000001</v>
      </c>
      <c r="AJ983" s="5">
        <v>0.255</v>
      </c>
      <c r="AK983" s="5">
        <v>0.35899999999999999</v>
      </c>
      <c r="AL983" s="5">
        <v>0.20699999999999999</v>
      </c>
      <c r="AM983" s="5">
        <v>0.29199999999999998</v>
      </c>
      <c r="AN983">
        <v>-0.4</v>
      </c>
      <c r="AO983">
        <v>-0.17</v>
      </c>
      <c r="AP983">
        <v>7</v>
      </c>
      <c r="AQ983">
        <v>-13.93</v>
      </c>
      <c r="AR983">
        <v>-2.5</v>
      </c>
      <c r="AS983" t="s">
        <v>1223</v>
      </c>
      <c r="AT983">
        <v>-1.1000000000000001</v>
      </c>
      <c r="AU983">
        <v>-7.5</v>
      </c>
      <c r="AV983">
        <v>0</v>
      </c>
      <c r="AW983">
        <v>1</v>
      </c>
      <c r="AX983">
        <v>0</v>
      </c>
      <c r="AY983">
        <v>4</v>
      </c>
      <c r="AZ983" t="s">
        <v>4785</v>
      </c>
      <c r="BA983">
        <v>4</v>
      </c>
      <c r="BB983" t="s">
        <v>36</v>
      </c>
      <c r="BC983" t="s">
        <v>35</v>
      </c>
      <c r="BD983" s="4">
        <f>HYPERLINK("http://mlb.mlb.com/team/player.jsp?player_id=650520",650520)</f>
        <v>650520</v>
      </c>
      <c r="BE983">
        <v>645</v>
      </c>
      <c r="BF983">
        <v>1645</v>
      </c>
      <c r="BG983">
        <v>0</v>
      </c>
      <c r="BH983">
        <v>0</v>
      </c>
    </row>
    <row r="984" spans="1:60" x14ac:dyDescent="0.3">
      <c r="A984" s="4">
        <f>HYPERLINK("http://legacy.baseballprospectus.com/p/104328",104328)</f>
        <v>104328</v>
      </c>
      <c r="B984" t="s">
        <v>642</v>
      </c>
      <c r="C984" t="s">
        <v>1786</v>
      </c>
      <c r="D984" s="10">
        <v>35371</v>
      </c>
      <c r="E984" t="s">
        <v>57</v>
      </c>
      <c r="F984" t="s">
        <v>9</v>
      </c>
      <c r="G984" t="s">
        <v>9</v>
      </c>
      <c r="H984">
        <v>72</v>
      </c>
      <c r="I984">
        <v>190</v>
      </c>
      <c r="J984">
        <v>2018</v>
      </c>
      <c r="K984" s="4" t="str">
        <f>HYPERLINK("http://legacy.baseballprospectus.com/fantasy/dc/index.php?tm=MIA","MIA")</f>
        <v>MIA</v>
      </c>
      <c r="L984" t="s">
        <v>100</v>
      </c>
      <c r="M984" t="s">
        <v>34</v>
      </c>
      <c r="N984">
        <v>21</v>
      </c>
      <c r="O984">
        <v>250</v>
      </c>
      <c r="P984" t="s">
        <v>1680</v>
      </c>
      <c r="Q984">
        <v>228</v>
      </c>
      <c r="R984">
        <v>22</v>
      </c>
      <c r="S984">
        <v>29</v>
      </c>
      <c r="T984">
        <v>9</v>
      </c>
      <c r="U984">
        <v>1</v>
      </c>
      <c r="V984">
        <v>6</v>
      </c>
      <c r="W984">
        <v>45</v>
      </c>
      <c r="X984">
        <v>74</v>
      </c>
      <c r="Y984">
        <v>25</v>
      </c>
      <c r="Z984">
        <v>19</v>
      </c>
      <c r="AA984">
        <v>1</v>
      </c>
      <c r="AB984">
        <v>1</v>
      </c>
      <c r="AC984">
        <v>84</v>
      </c>
      <c r="AD984">
        <v>1</v>
      </c>
      <c r="AE984">
        <v>1</v>
      </c>
      <c r="AF984">
        <v>6</v>
      </c>
      <c r="AG984">
        <v>0</v>
      </c>
      <c r="AH984">
        <v>0</v>
      </c>
      <c r="AI984" s="5">
        <v>0.19800000000000001</v>
      </c>
      <c r="AJ984" s="5">
        <v>0.26200000000000001</v>
      </c>
      <c r="AK984" s="5">
        <v>0.32300000000000001</v>
      </c>
      <c r="AL984" s="5">
        <v>0.2</v>
      </c>
      <c r="AM984" s="5">
        <v>0.28000000000000003</v>
      </c>
      <c r="AN984">
        <v>-0.2</v>
      </c>
      <c r="AO984">
        <v>-0.27</v>
      </c>
      <c r="AP984">
        <v>7</v>
      </c>
      <c r="AQ984">
        <v>-15.69</v>
      </c>
      <c r="AR984">
        <v>-0.4</v>
      </c>
      <c r="AS984" t="s">
        <v>1545</v>
      </c>
      <c r="AT984">
        <v>-1.1000000000000001</v>
      </c>
      <c r="AU984">
        <v>-9.1999999999999993</v>
      </c>
      <c r="AV984">
        <v>1</v>
      </c>
      <c r="AW984">
        <v>1</v>
      </c>
      <c r="AX984">
        <v>0</v>
      </c>
      <c r="AY984">
        <v>2</v>
      </c>
      <c r="AZ984" t="s">
        <v>4786</v>
      </c>
      <c r="BA984">
        <v>2</v>
      </c>
      <c r="BB984" t="s">
        <v>36</v>
      </c>
      <c r="BC984" t="s">
        <v>35</v>
      </c>
      <c r="BD984" s="4">
        <f>HYPERLINK("http://mlb.mlb.com/team/player.jsp?player_id=650675",650675)</f>
        <v>650675</v>
      </c>
      <c r="BE984">
        <v>0</v>
      </c>
      <c r="BF984">
        <v>0</v>
      </c>
      <c r="BG984">
        <v>0</v>
      </c>
      <c r="BH984">
        <v>0</v>
      </c>
    </row>
    <row r="985" spans="1:60" x14ac:dyDescent="0.3">
      <c r="A985" s="4">
        <f>HYPERLINK("http://legacy.baseballprospectus.com/p/106025",106025)</f>
        <v>106025</v>
      </c>
      <c r="B985" t="s">
        <v>359</v>
      </c>
      <c r="C985" t="s">
        <v>4787</v>
      </c>
      <c r="D985" s="10">
        <v>35886</v>
      </c>
      <c r="E985" t="s">
        <v>53</v>
      </c>
      <c r="F985" t="s">
        <v>37</v>
      </c>
      <c r="G985" t="s">
        <v>33</v>
      </c>
      <c r="H985">
        <v>72</v>
      </c>
      <c r="I985">
        <v>176</v>
      </c>
      <c r="J985">
        <v>2018</v>
      </c>
      <c r="K985" s="4" t="str">
        <f>HYPERLINK("http://legacy.baseballprospectus.com/fantasy/dc/index.php?tm=NYA","NYA")</f>
        <v>NYA</v>
      </c>
      <c r="L985" t="s">
        <v>95</v>
      </c>
      <c r="M985" t="s">
        <v>34</v>
      </c>
      <c r="N985">
        <v>20</v>
      </c>
      <c r="O985">
        <v>250</v>
      </c>
      <c r="P985" t="s">
        <v>1680</v>
      </c>
      <c r="Q985">
        <v>234</v>
      </c>
      <c r="R985">
        <v>26</v>
      </c>
      <c r="S985">
        <v>31</v>
      </c>
      <c r="T985">
        <v>9</v>
      </c>
      <c r="U985">
        <v>1</v>
      </c>
      <c r="V985">
        <v>5</v>
      </c>
      <c r="W985">
        <v>46</v>
      </c>
      <c r="X985">
        <v>72</v>
      </c>
      <c r="Y985">
        <v>20</v>
      </c>
      <c r="Z985">
        <v>12</v>
      </c>
      <c r="AA985">
        <v>1</v>
      </c>
      <c r="AB985">
        <v>1</v>
      </c>
      <c r="AC985">
        <v>79</v>
      </c>
      <c r="AD985">
        <v>2</v>
      </c>
      <c r="AE985">
        <v>1</v>
      </c>
      <c r="AF985">
        <v>6</v>
      </c>
      <c r="AG985">
        <v>3</v>
      </c>
      <c r="AH985">
        <v>3</v>
      </c>
      <c r="AI985" s="5">
        <v>0.19500000000000001</v>
      </c>
      <c r="AJ985" s="5">
        <v>0.23599999999999999</v>
      </c>
      <c r="AK985" s="5">
        <v>0.308</v>
      </c>
      <c r="AL985" s="5">
        <v>0.183</v>
      </c>
      <c r="AM985" s="5">
        <v>0.26200000000000001</v>
      </c>
      <c r="AN985">
        <v>-0.7</v>
      </c>
      <c r="AO985">
        <v>4.24</v>
      </c>
      <c r="AP985">
        <v>7</v>
      </c>
      <c r="AQ985">
        <v>-20.23</v>
      </c>
      <c r="AR985">
        <v>-0.6</v>
      </c>
      <c r="AS985" t="s">
        <v>1810</v>
      </c>
      <c r="AT985">
        <v>-1.1000000000000001</v>
      </c>
      <c r="AU985">
        <v>-9.6999999999999993</v>
      </c>
      <c r="AV985">
        <v>1</v>
      </c>
      <c r="AW985">
        <v>2</v>
      </c>
      <c r="AX985">
        <v>0</v>
      </c>
      <c r="AY985">
        <v>1</v>
      </c>
      <c r="AZ985" t="s">
        <v>4788</v>
      </c>
      <c r="BA985">
        <v>4</v>
      </c>
      <c r="BB985" t="s">
        <v>36</v>
      </c>
      <c r="BC985" t="s">
        <v>35</v>
      </c>
      <c r="BD985" s="4">
        <f>HYPERLINK("http://mlb.mlb.com/team/player.jsp?player_id=660564",660564)</f>
        <v>660564</v>
      </c>
      <c r="BE985">
        <v>0</v>
      </c>
      <c r="BF985">
        <v>0</v>
      </c>
      <c r="BG985">
        <v>0</v>
      </c>
      <c r="BH985">
        <v>0</v>
      </c>
    </row>
    <row r="986" spans="1:60" x14ac:dyDescent="0.3">
      <c r="A986" s="4">
        <f>HYPERLINK("http://legacy.baseballprospectus.com/p/106143",106143)</f>
        <v>106143</v>
      </c>
      <c r="B986" t="s">
        <v>420</v>
      </c>
      <c r="C986" t="s">
        <v>562</v>
      </c>
      <c r="D986" s="10">
        <v>35684</v>
      </c>
      <c r="E986" t="s">
        <v>65</v>
      </c>
      <c r="F986" t="s">
        <v>33</v>
      </c>
      <c r="G986" t="s">
        <v>33</v>
      </c>
      <c r="H986">
        <v>74</v>
      </c>
      <c r="I986">
        <v>175</v>
      </c>
      <c r="J986">
        <v>2018</v>
      </c>
      <c r="K986" s="4" t="str">
        <f>HYPERLINK("http://legacy.baseballprospectus.com/fantasy/dc/index.php?tm=MIA","MIA")</f>
        <v>MIA</v>
      </c>
      <c r="L986" t="s">
        <v>100</v>
      </c>
      <c r="M986" t="s">
        <v>34</v>
      </c>
      <c r="N986">
        <v>20</v>
      </c>
      <c r="O986">
        <v>250</v>
      </c>
      <c r="P986" t="s">
        <v>1680</v>
      </c>
      <c r="Q986">
        <v>234</v>
      </c>
      <c r="R986">
        <v>28</v>
      </c>
      <c r="S986">
        <v>32</v>
      </c>
      <c r="T986">
        <v>8</v>
      </c>
      <c r="U986">
        <v>1</v>
      </c>
      <c r="V986">
        <v>6</v>
      </c>
      <c r="W986">
        <v>47</v>
      </c>
      <c r="X986">
        <v>75</v>
      </c>
      <c r="Y986">
        <v>22</v>
      </c>
      <c r="Z986">
        <v>11</v>
      </c>
      <c r="AA986">
        <v>1</v>
      </c>
      <c r="AB986">
        <v>1</v>
      </c>
      <c r="AC986">
        <v>79</v>
      </c>
      <c r="AD986">
        <v>3</v>
      </c>
      <c r="AE986">
        <v>1</v>
      </c>
      <c r="AF986">
        <v>6</v>
      </c>
      <c r="AG986">
        <v>6</v>
      </c>
      <c r="AH986">
        <v>2</v>
      </c>
      <c r="AI986" s="5">
        <v>0.20499999999999999</v>
      </c>
      <c r="AJ986" s="5">
        <v>0.24099999999999999</v>
      </c>
      <c r="AK986" s="5">
        <v>0.33400000000000002</v>
      </c>
      <c r="AL986" s="5">
        <v>0.192</v>
      </c>
      <c r="AM986" s="5">
        <v>0.27200000000000002</v>
      </c>
      <c r="AN986">
        <v>0.8</v>
      </c>
      <c r="AO986">
        <v>2.42</v>
      </c>
      <c r="AP986">
        <v>7</v>
      </c>
      <c r="AQ986">
        <v>-17.98</v>
      </c>
      <c r="AR986">
        <v>-2.2999999999999998</v>
      </c>
      <c r="AS986" t="s">
        <v>2180</v>
      </c>
      <c r="AT986">
        <v>-1.1000000000000001</v>
      </c>
      <c r="AU986">
        <v>-7.8</v>
      </c>
      <c r="AV986">
        <v>1</v>
      </c>
      <c r="AW986">
        <v>2</v>
      </c>
      <c r="AX986">
        <v>0</v>
      </c>
      <c r="AY986">
        <v>1</v>
      </c>
      <c r="AZ986" t="s">
        <v>4789</v>
      </c>
      <c r="BA986">
        <v>3</v>
      </c>
      <c r="BB986" t="s">
        <v>36</v>
      </c>
      <c r="BC986" t="s">
        <v>35</v>
      </c>
      <c r="BD986" s="4">
        <f>HYPERLINK("http://mlb.mlb.com/team/player.jsp?player_id=659910",659910)</f>
        <v>659910</v>
      </c>
      <c r="BE986">
        <v>1689</v>
      </c>
      <c r="BF986">
        <v>689</v>
      </c>
      <c r="BG986">
        <v>0</v>
      </c>
      <c r="BH986">
        <v>0</v>
      </c>
    </row>
    <row r="987" spans="1:60" x14ac:dyDescent="0.3">
      <c r="A987" s="4">
        <f>HYPERLINK("http://legacy.baseballprospectus.com/p/107106",107106)</f>
        <v>107106</v>
      </c>
      <c r="B987" t="s">
        <v>1273</v>
      </c>
      <c r="C987" t="s">
        <v>391</v>
      </c>
      <c r="D987" s="10">
        <v>34317</v>
      </c>
      <c r="E987" t="s">
        <v>54</v>
      </c>
      <c r="F987" t="s">
        <v>33</v>
      </c>
      <c r="G987" t="s">
        <v>33</v>
      </c>
      <c r="H987">
        <v>73</v>
      </c>
      <c r="I987">
        <v>200</v>
      </c>
      <c r="J987">
        <v>2018</v>
      </c>
      <c r="K987" s="4" t="str">
        <f>HYPERLINK("http://legacy.baseballprospectus.com/fantasy/dc/index.php?tm=ANA","ANA")</f>
        <v>ANA</v>
      </c>
      <c r="L987" t="s">
        <v>95</v>
      </c>
      <c r="M987" t="s">
        <v>34</v>
      </c>
      <c r="N987">
        <v>24</v>
      </c>
      <c r="O987">
        <v>250</v>
      </c>
      <c r="P987" t="s">
        <v>1680</v>
      </c>
      <c r="Q987">
        <v>221</v>
      </c>
      <c r="R987">
        <v>26</v>
      </c>
      <c r="S987">
        <v>36</v>
      </c>
      <c r="T987">
        <v>8</v>
      </c>
      <c r="U987">
        <v>0</v>
      </c>
      <c r="V987">
        <v>7</v>
      </c>
      <c r="W987">
        <v>51</v>
      </c>
      <c r="X987">
        <v>80</v>
      </c>
      <c r="Y987">
        <v>28</v>
      </c>
      <c r="Z987">
        <v>25</v>
      </c>
      <c r="AA987">
        <v>1</v>
      </c>
      <c r="AB987">
        <v>2</v>
      </c>
      <c r="AC987">
        <v>51</v>
      </c>
      <c r="AD987">
        <v>2</v>
      </c>
      <c r="AE987">
        <v>1</v>
      </c>
      <c r="AF987">
        <v>8</v>
      </c>
      <c r="AG987">
        <v>0</v>
      </c>
      <c r="AH987">
        <v>0</v>
      </c>
      <c r="AI987" s="5">
        <v>0.23100000000000001</v>
      </c>
      <c r="AJ987" s="5">
        <v>0.312</v>
      </c>
      <c r="AK987" s="5">
        <v>0.36599999999999999</v>
      </c>
      <c r="AL987" s="5">
        <v>0.23300000000000001</v>
      </c>
      <c r="AM987" s="5">
        <v>0.26400000000000001</v>
      </c>
      <c r="AN987">
        <v>-0.5</v>
      </c>
      <c r="AO987">
        <v>4.88</v>
      </c>
      <c r="AP987">
        <v>7</v>
      </c>
      <c r="AQ987">
        <v>-7.08</v>
      </c>
      <c r="AR987">
        <v>-13.9</v>
      </c>
      <c r="AS987" t="s">
        <v>1713</v>
      </c>
      <c r="AT987">
        <v>-1.1000000000000001</v>
      </c>
      <c r="AU987">
        <v>4.3</v>
      </c>
      <c r="AV987">
        <v>3</v>
      </c>
      <c r="AW987">
        <v>9</v>
      </c>
      <c r="AX987">
        <v>9</v>
      </c>
      <c r="AY987">
        <v>13</v>
      </c>
      <c r="AZ987" t="s">
        <v>4773</v>
      </c>
      <c r="BA987">
        <v>22</v>
      </c>
      <c r="BB987" t="s">
        <v>36</v>
      </c>
      <c r="BC987" t="s">
        <v>35</v>
      </c>
      <c r="BD987" s="4">
        <f>HYPERLINK("http://mlb.mlb.com/team/player.jsp?player_id=621493",621493)</f>
        <v>621493</v>
      </c>
      <c r="BE987">
        <v>391</v>
      </c>
      <c r="BF987">
        <v>1391</v>
      </c>
      <c r="BG987">
        <v>0</v>
      </c>
      <c r="BH987">
        <v>0</v>
      </c>
    </row>
    <row r="988" spans="1:60" x14ac:dyDescent="0.3">
      <c r="A988" s="4">
        <f>HYPERLINK("http://legacy.baseballprospectus.com/p/108471",108471)</f>
        <v>108471</v>
      </c>
      <c r="B988" t="s">
        <v>4790</v>
      </c>
      <c r="C988" t="s">
        <v>2225</v>
      </c>
      <c r="D988" s="10">
        <v>36325</v>
      </c>
      <c r="E988" t="s">
        <v>57</v>
      </c>
      <c r="F988" t="s">
        <v>33</v>
      </c>
      <c r="G988" t="s">
        <v>33</v>
      </c>
      <c r="H988">
        <v>72</v>
      </c>
      <c r="I988">
        <v>175</v>
      </c>
      <c r="J988">
        <v>2018</v>
      </c>
      <c r="K988" s="4" t="str">
        <f>HYPERLINK("http://legacy.baseballprospectus.com/fantasy/dc/index.php?tm=SFN","SFN")</f>
        <v>SFN</v>
      </c>
      <c r="L988" t="s">
        <v>100</v>
      </c>
      <c r="M988" t="s">
        <v>34</v>
      </c>
      <c r="N988">
        <v>19</v>
      </c>
      <c r="O988">
        <v>250</v>
      </c>
      <c r="P988" t="s">
        <v>1680</v>
      </c>
      <c r="Q988">
        <v>233</v>
      </c>
      <c r="R988">
        <v>20</v>
      </c>
      <c r="S988">
        <v>32</v>
      </c>
      <c r="T988">
        <v>10</v>
      </c>
      <c r="U988">
        <v>1</v>
      </c>
      <c r="V988">
        <v>5</v>
      </c>
      <c r="W988">
        <v>48</v>
      </c>
      <c r="X988">
        <v>75</v>
      </c>
      <c r="Y988">
        <v>25</v>
      </c>
      <c r="Z988">
        <v>13</v>
      </c>
      <c r="AA988">
        <v>1</v>
      </c>
      <c r="AB988">
        <v>1</v>
      </c>
      <c r="AC988">
        <v>72</v>
      </c>
      <c r="AD988">
        <v>1</v>
      </c>
      <c r="AE988">
        <v>1</v>
      </c>
      <c r="AF988">
        <v>6</v>
      </c>
      <c r="AG988">
        <v>0</v>
      </c>
      <c r="AH988">
        <v>0</v>
      </c>
      <c r="AI988" s="5">
        <v>0.20499999999999999</v>
      </c>
      <c r="AJ988" s="5">
        <v>0.251</v>
      </c>
      <c r="AK988" s="5">
        <v>0.32300000000000001</v>
      </c>
      <c r="AL988" s="5">
        <v>0.2</v>
      </c>
      <c r="AM988" s="5">
        <v>0.26800000000000002</v>
      </c>
      <c r="AN988">
        <v>-0.4</v>
      </c>
      <c r="AO988">
        <v>-0.02</v>
      </c>
      <c r="AP988">
        <v>7</v>
      </c>
      <c r="AQ988">
        <v>-15.88</v>
      </c>
      <c r="AR988">
        <v>-0.9</v>
      </c>
      <c r="AS988" t="s">
        <v>2173</v>
      </c>
      <c r="AT988">
        <v>-1.1000000000000001</v>
      </c>
      <c r="AU988">
        <v>-9.3000000000000007</v>
      </c>
      <c r="AV988">
        <v>0</v>
      </c>
      <c r="AW988">
        <v>6</v>
      </c>
      <c r="AX988">
        <v>2</v>
      </c>
      <c r="AY988">
        <v>5</v>
      </c>
      <c r="AZ988" t="s">
        <v>2000</v>
      </c>
      <c r="BA988">
        <v>11</v>
      </c>
      <c r="BB988" t="s">
        <v>36</v>
      </c>
      <c r="BC988" t="s">
        <v>35</v>
      </c>
      <c r="BD988" s="4">
        <f>HYPERLINK("http://mlb.mlb.com/team/player.jsp?player_id=665651",665651)</f>
        <v>665651</v>
      </c>
      <c r="BE988">
        <v>0</v>
      </c>
      <c r="BF988">
        <v>0</v>
      </c>
      <c r="BG988">
        <v>0</v>
      </c>
      <c r="BH988">
        <v>0</v>
      </c>
    </row>
    <row r="989" spans="1:60" x14ac:dyDescent="0.3">
      <c r="A989" s="4">
        <f>HYPERLINK("http://legacy.baseballprospectus.com/p/108963",108963)</f>
        <v>108963</v>
      </c>
      <c r="B989" t="s">
        <v>488</v>
      </c>
      <c r="C989" t="s">
        <v>355</v>
      </c>
      <c r="D989" s="10">
        <v>36181</v>
      </c>
      <c r="E989" t="s">
        <v>65</v>
      </c>
      <c r="F989" t="s">
        <v>9</v>
      </c>
      <c r="G989" t="s">
        <v>9</v>
      </c>
      <c r="H989">
        <v>69</v>
      </c>
      <c r="I989">
        <v>155</v>
      </c>
      <c r="J989">
        <v>2018</v>
      </c>
      <c r="K989" s="4" t="str">
        <f>HYPERLINK("http://legacy.baseballprospectus.com/fantasy/dc/index.php?tm=SLN","SLN")</f>
        <v>SLN</v>
      </c>
      <c r="L989" t="s">
        <v>100</v>
      </c>
      <c r="M989" t="s">
        <v>34</v>
      </c>
      <c r="N989">
        <v>19</v>
      </c>
      <c r="O989">
        <v>250</v>
      </c>
      <c r="P989" t="s">
        <v>1680</v>
      </c>
      <c r="Q989">
        <v>233</v>
      </c>
      <c r="R989">
        <v>26</v>
      </c>
      <c r="S989">
        <v>32</v>
      </c>
      <c r="T989">
        <v>10</v>
      </c>
      <c r="U989">
        <v>1</v>
      </c>
      <c r="V989">
        <v>6</v>
      </c>
      <c r="W989">
        <v>49</v>
      </c>
      <c r="X989">
        <v>79</v>
      </c>
      <c r="Y989">
        <v>22</v>
      </c>
      <c r="Z989">
        <v>12</v>
      </c>
      <c r="AA989">
        <v>1</v>
      </c>
      <c r="AB989">
        <v>2</v>
      </c>
      <c r="AC989">
        <v>73</v>
      </c>
      <c r="AD989">
        <v>1</v>
      </c>
      <c r="AE989">
        <v>2</v>
      </c>
      <c r="AF989">
        <v>6</v>
      </c>
      <c r="AG989">
        <v>3</v>
      </c>
      <c r="AH989">
        <v>1</v>
      </c>
      <c r="AI989" s="5">
        <v>0.20899999999999999</v>
      </c>
      <c r="AJ989" s="5">
        <v>0.252</v>
      </c>
      <c r="AK989" s="5">
        <v>0.33300000000000002</v>
      </c>
      <c r="AL989" s="5">
        <v>0.19600000000000001</v>
      </c>
      <c r="AM989" s="5">
        <v>0.27200000000000002</v>
      </c>
      <c r="AN989">
        <v>-0.1</v>
      </c>
      <c r="AO989">
        <v>2.95</v>
      </c>
      <c r="AP989">
        <v>7</v>
      </c>
      <c r="AQ989">
        <v>-16.84</v>
      </c>
      <c r="AR989">
        <v>-2.8</v>
      </c>
      <c r="AS989" t="s">
        <v>1972</v>
      </c>
      <c r="AT989">
        <v>-1.1000000000000001</v>
      </c>
      <c r="AU989">
        <v>-7</v>
      </c>
      <c r="AV989">
        <v>0</v>
      </c>
      <c r="AW989">
        <v>5</v>
      </c>
      <c r="AX989">
        <v>1</v>
      </c>
      <c r="AY989">
        <v>4</v>
      </c>
      <c r="AZ989" t="s">
        <v>4791</v>
      </c>
      <c r="BA989">
        <v>9</v>
      </c>
      <c r="BB989" t="s">
        <v>36</v>
      </c>
      <c r="BC989" t="s">
        <v>35</v>
      </c>
      <c r="BD989" s="4">
        <f>HYPERLINK("http://mlb.mlb.com/team/player.jsp?player_id=671054",671054)</f>
        <v>671054</v>
      </c>
      <c r="BE989">
        <v>0</v>
      </c>
      <c r="BF989">
        <v>0</v>
      </c>
      <c r="BG989">
        <v>0</v>
      </c>
      <c r="BH989">
        <v>0</v>
      </c>
    </row>
    <row r="990" spans="1:60" x14ac:dyDescent="0.3">
      <c r="A990" s="4">
        <f>HYPERLINK("http://legacy.baseballprospectus.com/p/109120",109120)</f>
        <v>109120</v>
      </c>
      <c r="B990" t="s">
        <v>450</v>
      </c>
      <c r="C990" t="s">
        <v>538</v>
      </c>
      <c r="D990" s="10">
        <v>35773</v>
      </c>
      <c r="E990" t="s">
        <v>65</v>
      </c>
      <c r="F990" t="s">
        <v>33</v>
      </c>
      <c r="G990" t="s">
        <v>33</v>
      </c>
      <c r="H990">
        <v>76</v>
      </c>
      <c r="I990">
        <v>195</v>
      </c>
      <c r="J990">
        <v>2018</v>
      </c>
      <c r="K990" s="4" t="str">
        <f>HYPERLINK("http://legacy.baseballprospectus.com/fantasy/dc/index.php?tm=MIA","MIA")</f>
        <v>MIA</v>
      </c>
      <c r="L990" t="s">
        <v>100</v>
      </c>
      <c r="M990" t="s">
        <v>34</v>
      </c>
      <c r="N990">
        <v>20</v>
      </c>
      <c r="O990">
        <v>250</v>
      </c>
      <c r="P990" t="s">
        <v>1680</v>
      </c>
      <c r="Q990">
        <v>220</v>
      </c>
      <c r="R990">
        <v>23</v>
      </c>
      <c r="S990">
        <v>26</v>
      </c>
      <c r="T990">
        <v>7</v>
      </c>
      <c r="U990">
        <v>1</v>
      </c>
      <c r="V990">
        <v>5</v>
      </c>
      <c r="W990">
        <v>39</v>
      </c>
      <c r="X990">
        <v>63</v>
      </c>
      <c r="Y990">
        <v>22</v>
      </c>
      <c r="Z990">
        <v>22</v>
      </c>
      <c r="AA990">
        <v>1</v>
      </c>
      <c r="AB990">
        <v>5</v>
      </c>
      <c r="AC990">
        <v>90</v>
      </c>
      <c r="AD990">
        <v>2</v>
      </c>
      <c r="AE990">
        <v>1</v>
      </c>
      <c r="AF990">
        <v>6</v>
      </c>
      <c r="AG990">
        <v>3</v>
      </c>
      <c r="AH990">
        <v>2</v>
      </c>
      <c r="AI990" s="5">
        <v>0.17799999999999999</v>
      </c>
      <c r="AJ990" s="5">
        <v>0.26500000000000001</v>
      </c>
      <c r="AK990" s="5">
        <v>0.28499999999999998</v>
      </c>
      <c r="AL990" s="5">
        <v>0.192</v>
      </c>
      <c r="AM990" s="5">
        <v>0.26800000000000002</v>
      </c>
      <c r="AN990">
        <v>-0.3</v>
      </c>
      <c r="AO990">
        <v>2.74</v>
      </c>
      <c r="AP990">
        <v>7</v>
      </c>
      <c r="AQ990">
        <v>-17.739999999999998</v>
      </c>
      <c r="AR990">
        <v>-1.9</v>
      </c>
      <c r="AS990" t="s">
        <v>1811</v>
      </c>
      <c r="AT990">
        <v>-1.1000000000000001</v>
      </c>
      <c r="AU990">
        <v>-8.3000000000000007</v>
      </c>
      <c r="AV990">
        <v>1</v>
      </c>
      <c r="AW990">
        <v>3</v>
      </c>
      <c r="AX990">
        <v>0</v>
      </c>
      <c r="AY990">
        <v>2</v>
      </c>
      <c r="AZ990" t="s">
        <v>1963</v>
      </c>
      <c r="BA990">
        <v>4</v>
      </c>
      <c r="BB990" t="s">
        <v>36</v>
      </c>
      <c r="BC990" t="s">
        <v>35</v>
      </c>
      <c r="BD990" s="4">
        <f>HYPERLINK("http://mlb.mlb.com/team/player.jsp?player_id=666196",666196)</f>
        <v>666196</v>
      </c>
      <c r="BE990">
        <v>0</v>
      </c>
      <c r="BF990">
        <v>0</v>
      </c>
      <c r="BG990">
        <v>0</v>
      </c>
      <c r="BH990">
        <v>0</v>
      </c>
    </row>
    <row r="991" spans="1:60" x14ac:dyDescent="0.3">
      <c r="A991" s="4">
        <f>HYPERLINK("http://legacy.baseballprospectus.com/p/109913",109913)</f>
        <v>109913</v>
      </c>
      <c r="B991" t="s">
        <v>380</v>
      </c>
      <c r="C991" t="s">
        <v>125</v>
      </c>
      <c r="D991" s="10">
        <v>35972</v>
      </c>
      <c r="E991" t="s">
        <v>51</v>
      </c>
      <c r="F991" t="s">
        <v>33</v>
      </c>
      <c r="G991" t="s">
        <v>33</v>
      </c>
      <c r="H991">
        <v>75</v>
      </c>
      <c r="I991">
        <v>190</v>
      </c>
      <c r="J991">
        <v>2018</v>
      </c>
      <c r="K991" s="4" t="str">
        <f>HYPERLINK("http://legacy.baseballprospectus.com/fantasy/dc/index.php?tm=SFN","SFN")</f>
        <v>SFN</v>
      </c>
      <c r="L991" t="s">
        <v>100</v>
      </c>
      <c r="M991" t="s">
        <v>34</v>
      </c>
      <c r="N991">
        <v>20</v>
      </c>
      <c r="O991">
        <v>250</v>
      </c>
      <c r="P991" t="s">
        <v>1680</v>
      </c>
      <c r="Q991">
        <v>232</v>
      </c>
      <c r="R991">
        <v>20</v>
      </c>
      <c r="S991">
        <v>32</v>
      </c>
      <c r="T991">
        <v>10</v>
      </c>
      <c r="U991">
        <v>1</v>
      </c>
      <c r="V991">
        <v>5</v>
      </c>
      <c r="W991">
        <v>48</v>
      </c>
      <c r="X991">
        <v>75</v>
      </c>
      <c r="Y991">
        <v>24</v>
      </c>
      <c r="Z991">
        <v>13</v>
      </c>
      <c r="AA991">
        <v>1</v>
      </c>
      <c r="AB991">
        <v>3</v>
      </c>
      <c r="AC991">
        <v>73</v>
      </c>
      <c r="AD991">
        <v>1</v>
      </c>
      <c r="AE991">
        <v>1</v>
      </c>
      <c r="AF991">
        <v>6</v>
      </c>
      <c r="AG991">
        <v>0</v>
      </c>
      <c r="AH991">
        <v>0</v>
      </c>
      <c r="AI991" s="5">
        <v>0.20599999999999999</v>
      </c>
      <c r="AJ991" s="5">
        <v>0.254</v>
      </c>
      <c r="AK991" s="5">
        <v>0.315</v>
      </c>
      <c r="AL991" s="5">
        <v>0.19900000000000001</v>
      </c>
      <c r="AM991" s="5">
        <v>0.27600000000000002</v>
      </c>
      <c r="AN991">
        <v>-0.4</v>
      </c>
      <c r="AO991">
        <v>1.49</v>
      </c>
      <c r="AP991">
        <v>7</v>
      </c>
      <c r="AQ991">
        <v>-15.9</v>
      </c>
      <c r="AR991">
        <v>-2.4</v>
      </c>
      <c r="AS991" t="s">
        <v>1024</v>
      </c>
      <c r="AT991">
        <v>-1.1000000000000001</v>
      </c>
      <c r="AU991">
        <v>-7.8</v>
      </c>
      <c r="AV991">
        <v>1</v>
      </c>
      <c r="AW991">
        <v>3</v>
      </c>
      <c r="AX991">
        <v>0</v>
      </c>
      <c r="AY991">
        <v>1</v>
      </c>
      <c r="AZ991" t="s">
        <v>4800</v>
      </c>
      <c r="BA991">
        <v>4</v>
      </c>
      <c r="BB991" t="s">
        <v>36</v>
      </c>
      <c r="BC991" t="s">
        <v>35</v>
      </c>
      <c r="BD991" s="4">
        <f>HYPERLINK("http://mlb.mlb.com/team/player.jsp?player_id=669363",669363)</f>
        <v>669363</v>
      </c>
      <c r="BE991">
        <v>1777</v>
      </c>
      <c r="BF991">
        <v>777</v>
      </c>
      <c r="BG991">
        <v>0</v>
      </c>
      <c r="BH991">
        <v>0</v>
      </c>
    </row>
    <row r="992" spans="1:60" x14ac:dyDescent="0.3">
      <c r="A992" s="4">
        <f>HYPERLINK("http://legacy.baseballprospectus.com/p/106066",106066)</f>
        <v>106066</v>
      </c>
      <c r="B992" t="s">
        <v>380</v>
      </c>
      <c r="C992" t="s">
        <v>661</v>
      </c>
      <c r="D992" s="10">
        <v>35805</v>
      </c>
      <c r="E992" t="s">
        <v>59</v>
      </c>
      <c r="F992" t="s">
        <v>33</v>
      </c>
      <c r="G992" t="s">
        <v>33</v>
      </c>
      <c r="H992">
        <v>74</v>
      </c>
      <c r="I992">
        <v>180</v>
      </c>
      <c r="J992">
        <v>2018</v>
      </c>
      <c r="K992" s="4" t="str">
        <f>HYPERLINK("http://legacy.baseballprospectus.com/fantasy/dc/index.php?tm=CLE","CLE")</f>
        <v>CLE</v>
      </c>
      <c r="L992" t="s">
        <v>95</v>
      </c>
      <c r="M992" t="s">
        <v>34</v>
      </c>
      <c r="N992">
        <v>20</v>
      </c>
      <c r="O992">
        <v>250</v>
      </c>
      <c r="P992" t="s">
        <v>1680</v>
      </c>
      <c r="Q992">
        <v>239</v>
      </c>
      <c r="R992">
        <v>21</v>
      </c>
      <c r="S992">
        <v>30</v>
      </c>
      <c r="T992">
        <v>11</v>
      </c>
      <c r="U992">
        <v>0</v>
      </c>
      <c r="V992">
        <v>7</v>
      </c>
      <c r="W992">
        <v>48</v>
      </c>
      <c r="X992">
        <v>80</v>
      </c>
      <c r="Y992">
        <v>28</v>
      </c>
      <c r="Z992">
        <v>8</v>
      </c>
      <c r="AA992">
        <v>1</v>
      </c>
      <c r="AB992">
        <v>1</v>
      </c>
      <c r="AC992">
        <v>87</v>
      </c>
      <c r="AD992">
        <v>1</v>
      </c>
      <c r="AE992">
        <v>1</v>
      </c>
      <c r="AF992">
        <v>7</v>
      </c>
      <c r="AG992">
        <v>0</v>
      </c>
      <c r="AH992">
        <v>0</v>
      </c>
      <c r="AI992" s="5">
        <v>0.20300000000000001</v>
      </c>
      <c r="AJ992" s="5">
        <v>0.23</v>
      </c>
      <c r="AK992" s="5">
        <v>0.34100000000000003</v>
      </c>
      <c r="AL992" s="5">
        <v>0.189</v>
      </c>
      <c r="AM992" s="5">
        <v>0.28199999999999997</v>
      </c>
      <c r="AN992">
        <v>-0.5</v>
      </c>
      <c r="AO992">
        <v>0.96</v>
      </c>
      <c r="AP992">
        <v>7</v>
      </c>
      <c r="AQ992">
        <v>-18.649999999999999</v>
      </c>
      <c r="AR992">
        <v>-0.1</v>
      </c>
      <c r="AS992" t="s">
        <v>3860</v>
      </c>
      <c r="AT992">
        <v>-1.2</v>
      </c>
      <c r="AU992">
        <v>-11.2</v>
      </c>
      <c r="AV992">
        <v>1</v>
      </c>
      <c r="AW992">
        <v>3</v>
      </c>
      <c r="AX992">
        <v>0</v>
      </c>
      <c r="AY992">
        <v>1</v>
      </c>
      <c r="AZ992" t="s">
        <v>4796</v>
      </c>
      <c r="BA992">
        <v>4</v>
      </c>
      <c r="BB992" t="s">
        <v>36</v>
      </c>
      <c r="BC992" t="s">
        <v>35</v>
      </c>
      <c r="BD992" s="4">
        <f>HYPERLINK("http://mlb.mlb.com/team/player.jsp?player_id=660757",660757)</f>
        <v>660757</v>
      </c>
      <c r="BE992">
        <v>0</v>
      </c>
      <c r="BF992">
        <v>0</v>
      </c>
      <c r="BG992">
        <v>0</v>
      </c>
      <c r="BH992">
        <v>0</v>
      </c>
    </row>
    <row r="993" spans="1:60" x14ac:dyDescent="0.3">
      <c r="A993" s="4">
        <f>HYPERLINK("http://legacy.baseballprospectus.com/p/108055",108055)</f>
        <v>108055</v>
      </c>
      <c r="B993" t="s">
        <v>1999</v>
      </c>
      <c r="C993" t="s">
        <v>141</v>
      </c>
      <c r="D993" s="10">
        <v>35743</v>
      </c>
      <c r="E993" t="s">
        <v>57</v>
      </c>
      <c r="F993" t="s">
        <v>9</v>
      </c>
      <c r="G993" t="s">
        <v>9</v>
      </c>
      <c r="H993">
        <v>74</v>
      </c>
      <c r="I993">
        <v>195</v>
      </c>
      <c r="J993">
        <v>2018</v>
      </c>
      <c r="K993" s="4" t="str">
        <f>HYPERLINK("http://legacy.baseballprospectus.com/fantasy/dc/index.php?tm=MIN","MIN")</f>
        <v>MIN</v>
      </c>
      <c r="L993" t="s">
        <v>95</v>
      </c>
      <c r="M993" t="s">
        <v>34</v>
      </c>
      <c r="N993">
        <v>20</v>
      </c>
      <c r="O993">
        <v>250</v>
      </c>
      <c r="P993" t="s">
        <v>1680</v>
      </c>
      <c r="Q993">
        <v>235</v>
      </c>
      <c r="R993">
        <v>22</v>
      </c>
      <c r="S993">
        <v>32</v>
      </c>
      <c r="T993">
        <v>10</v>
      </c>
      <c r="U993">
        <v>1</v>
      </c>
      <c r="V993">
        <v>7</v>
      </c>
      <c r="W993">
        <v>50</v>
      </c>
      <c r="X993">
        <v>83</v>
      </c>
      <c r="Y993">
        <v>28</v>
      </c>
      <c r="Z993">
        <v>12</v>
      </c>
      <c r="AA993">
        <v>1</v>
      </c>
      <c r="AB993">
        <v>1</v>
      </c>
      <c r="AC993">
        <v>74</v>
      </c>
      <c r="AD993">
        <v>1</v>
      </c>
      <c r="AE993">
        <v>1</v>
      </c>
      <c r="AF993">
        <v>6</v>
      </c>
      <c r="AG993">
        <v>0</v>
      </c>
      <c r="AH993">
        <v>0</v>
      </c>
      <c r="AI993" s="5">
        <v>0.21099999999999999</v>
      </c>
      <c r="AJ993" s="5">
        <v>0.249</v>
      </c>
      <c r="AK993" s="5">
        <v>0.34899999999999998</v>
      </c>
      <c r="AL993" s="5">
        <v>0.192</v>
      </c>
      <c r="AM993" s="5">
        <v>0.27100000000000002</v>
      </c>
      <c r="AN993">
        <v>-0.4</v>
      </c>
      <c r="AO993">
        <v>0.47</v>
      </c>
      <c r="AP993">
        <v>7</v>
      </c>
      <c r="AQ993">
        <v>-17.899999999999999</v>
      </c>
      <c r="AR993">
        <v>0.3</v>
      </c>
      <c r="AS993" t="s">
        <v>1935</v>
      </c>
      <c r="AT993">
        <v>-1.2</v>
      </c>
      <c r="AU993">
        <v>-10.8</v>
      </c>
      <c r="AV993">
        <v>1</v>
      </c>
      <c r="AW993">
        <v>2</v>
      </c>
      <c r="AX993">
        <v>0</v>
      </c>
      <c r="AY993">
        <v>2</v>
      </c>
      <c r="AZ993" t="s">
        <v>4797</v>
      </c>
      <c r="BA993">
        <v>3</v>
      </c>
      <c r="BB993" t="s">
        <v>36</v>
      </c>
      <c r="BC993" t="s">
        <v>35</v>
      </c>
      <c r="BD993" s="4">
        <f>HYPERLINK("http://mlb.mlb.com/team/player.jsp?player_id=666135",666135)</f>
        <v>666135</v>
      </c>
      <c r="BE993">
        <v>659</v>
      </c>
      <c r="BF993">
        <v>1659</v>
      </c>
      <c r="BG993">
        <v>0</v>
      </c>
      <c r="BH993">
        <v>0</v>
      </c>
    </row>
    <row r="994" spans="1:60" x14ac:dyDescent="0.3">
      <c r="A994" s="4">
        <f>HYPERLINK("http://legacy.baseballprospectus.com/p/108244",108244)</f>
        <v>108244</v>
      </c>
      <c r="B994" t="s">
        <v>4798</v>
      </c>
      <c r="C994" t="s">
        <v>232</v>
      </c>
      <c r="D994" s="10">
        <v>36250</v>
      </c>
      <c r="E994" t="s">
        <v>57</v>
      </c>
      <c r="F994" t="s">
        <v>9</v>
      </c>
      <c r="G994" t="s">
        <v>33</v>
      </c>
      <c r="H994">
        <v>73</v>
      </c>
      <c r="I994">
        <v>170</v>
      </c>
      <c r="J994">
        <v>2018</v>
      </c>
      <c r="K994" s="4" t="str">
        <f>HYPERLINK("http://legacy.baseballprospectus.com/fantasy/dc/index.php?tm=COL","COL")</f>
        <v>COL</v>
      </c>
      <c r="L994" t="s">
        <v>100</v>
      </c>
      <c r="M994" t="s">
        <v>34</v>
      </c>
      <c r="N994">
        <v>19</v>
      </c>
      <c r="O994">
        <v>250</v>
      </c>
      <c r="P994" t="s">
        <v>1680</v>
      </c>
      <c r="Q994">
        <v>233</v>
      </c>
      <c r="R994">
        <v>28</v>
      </c>
      <c r="S994">
        <v>28</v>
      </c>
      <c r="T994">
        <v>10</v>
      </c>
      <c r="U994">
        <v>1</v>
      </c>
      <c r="V994">
        <v>8</v>
      </c>
      <c r="W994">
        <v>47</v>
      </c>
      <c r="X994">
        <v>83</v>
      </c>
      <c r="Y994">
        <v>25</v>
      </c>
      <c r="Z994">
        <v>14</v>
      </c>
      <c r="AA994">
        <v>1</v>
      </c>
      <c r="AB994">
        <v>1</v>
      </c>
      <c r="AC994">
        <v>87</v>
      </c>
      <c r="AD994">
        <v>1</v>
      </c>
      <c r="AE994">
        <v>1</v>
      </c>
      <c r="AF994">
        <v>6</v>
      </c>
      <c r="AG994">
        <v>3</v>
      </c>
      <c r="AH994">
        <v>2</v>
      </c>
      <c r="AI994" s="5">
        <v>0.20100000000000001</v>
      </c>
      <c r="AJ994" s="5">
        <v>0.247</v>
      </c>
      <c r="AK994" s="5">
        <v>0.35499999999999998</v>
      </c>
      <c r="AL994" s="5">
        <v>0.191</v>
      </c>
      <c r="AM994" s="5">
        <v>0.27600000000000002</v>
      </c>
      <c r="AN994">
        <v>-0.2</v>
      </c>
      <c r="AO994">
        <v>1.1499999999999999</v>
      </c>
      <c r="AP994">
        <v>7</v>
      </c>
      <c r="AQ994">
        <v>-18.13</v>
      </c>
      <c r="AR994">
        <v>-1</v>
      </c>
      <c r="AS994" t="s">
        <v>1331</v>
      </c>
      <c r="AT994">
        <v>-1.2</v>
      </c>
      <c r="AU994">
        <v>-10.199999999999999</v>
      </c>
      <c r="AV994">
        <v>0</v>
      </c>
      <c r="AW994">
        <v>5</v>
      </c>
      <c r="AX994">
        <v>2</v>
      </c>
      <c r="AY994">
        <v>4</v>
      </c>
      <c r="AZ994" t="s">
        <v>1967</v>
      </c>
      <c r="BA994">
        <v>9</v>
      </c>
      <c r="BB994" t="s">
        <v>36</v>
      </c>
      <c r="BC994" t="s">
        <v>35</v>
      </c>
      <c r="BD994" s="4">
        <f>HYPERLINK("http://mlb.mlb.com/team/player.jsp?player_id=665914",665914)</f>
        <v>665914</v>
      </c>
      <c r="BE994">
        <v>0</v>
      </c>
      <c r="BF994">
        <v>0</v>
      </c>
      <c r="BG994">
        <v>0</v>
      </c>
      <c r="BH994">
        <v>0</v>
      </c>
    </row>
    <row r="995" spans="1:60" x14ac:dyDescent="0.3">
      <c r="A995" s="4">
        <f>HYPERLINK("http://legacy.baseballprospectus.com/p/109122",109122)</f>
        <v>109122</v>
      </c>
      <c r="B995" t="s">
        <v>1855</v>
      </c>
      <c r="C995" t="s">
        <v>113</v>
      </c>
      <c r="D995" s="10">
        <v>35782</v>
      </c>
      <c r="E995" t="s">
        <v>57</v>
      </c>
      <c r="F995" t="s">
        <v>9</v>
      </c>
      <c r="G995" t="s">
        <v>33</v>
      </c>
      <c r="H995">
        <v>76</v>
      </c>
      <c r="I995">
        <v>210</v>
      </c>
      <c r="J995">
        <v>2018</v>
      </c>
      <c r="K995" s="4" t="str">
        <f>HYPERLINK("http://legacy.baseballprospectus.com/fantasy/dc/index.php?tm=ANA","ANA")</f>
        <v>ANA</v>
      </c>
      <c r="L995" t="s">
        <v>95</v>
      </c>
      <c r="M995" t="s">
        <v>34</v>
      </c>
      <c r="N995">
        <v>20</v>
      </c>
      <c r="O995">
        <v>250</v>
      </c>
      <c r="P995" t="s">
        <v>1680</v>
      </c>
      <c r="Q995">
        <v>236</v>
      </c>
      <c r="R995">
        <v>25</v>
      </c>
      <c r="S995">
        <v>31</v>
      </c>
      <c r="T995">
        <v>9</v>
      </c>
      <c r="U995">
        <v>1</v>
      </c>
      <c r="V995">
        <v>6</v>
      </c>
      <c r="W995">
        <v>47</v>
      </c>
      <c r="X995">
        <v>76</v>
      </c>
      <c r="Y995">
        <v>21</v>
      </c>
      <c r="Z995">
        <v>10</v>
      </c>
      <c r="AA995">
        <v>1</v>
      </c>
      <c r="AB995">
        <v>2</v>
      </c>
      <c r="AC995">
        <v>82</v>
      </c>
      <c r="AD995">
        <v>1</v>
      </c>
      <c r="AE995">
        <v>1</v>
      </c>
      <c r="AF995">
        <v>7</v>
      </c>
      <c r="AG995">
        <v>3</v>
      </c>
      <c r="AH995">
        <v>1</v>
      </c>
      <c r="AI995" s="5">
        <v>0.19500000000000001</v>
      </c>
      <c r="AJ995" s="5">
        <v>0.23200000000000001</v>
      </c>
      <c r="AK995" s="5">
        <v>0.314</v>
      </c>
      <c r="AL995" s="5">
        <v>0.185</v>
      </c>
      <c r="AM995" s="5">
        <v>0.26800000000000002</v>
      </c>
      <c r="AN995">
        <v>0</v>
      </c>
      <c r="AO995">
        <v>0.84</v>
      </c>
      <c r="AP995">
        <v>7</v>
      </c>
      <c r="AQ995">
        <v>-19.600000000000001</v>
      </c>
      <c r="AR995">
        <v>0.4</v>
      </c>
      <c r="AS995" t="s">
        <v>3984</v>
      </c>
      <c r="AT995">
        <v>-1.2</v>
      </c>
      <c r="AU995">
        <v>-11.7</v>
      </c>
      <c r="AV995">
        <v>0</v>
      </c>
      <c r="AW995">
        <v>1</v>
      </c>
      <c r="AX995">
        <v>0</v>
      </c>
      <c r="AY995">
        <v>1</v>
      </c>
      <c r="AZ995" t="s">
        <v>4804</v>
      </c>
      <c r="BA995">
        <v>2</v>
      </c>
      <c r="BB995" t="s">
        <v>36</v>
      </c>
      <c r="BC995" t="s">
        <v>35</v>
      </c>
      <c r="BD995" s="4">
        <f>HYPERLINK("http://mlb.mlb.com/team/player.jsp?player_id=669016",669016)</f>
        <v>669016</v>
      </c>
      <c r="BE995">
        <v>639</v>
      </c>
      <c r="BF995">
        <v>1639</v>
      </c>
      <c r="BG995">
        <v>0</v>
      </c>
      <c r="BH995">
        <v>0</v>
      </c>
    </row>
    <row r="996" spans="1:60" x14ac:dyDescent="0.3">
      <c r="A996" s="4">
        <f>HYPERLINK("http://legacy.baseballprospectus.com/p/109396",109396)</f>
        <v>109396</v>
      </c>
      <c r="B996" t="s">
        <v>4799</v>
      </c>
      <c r="C996" t="s">
        <v>512</v>
      </c>
      <c r="D996" s="10">
        <v>36497</v>
      </c>
      <c r="E996" t="s">
        <v>53</v>
      </c>
      <c r="F996" t="s">
        <v>33</v>
      </c>
      <c r="G996" t="s">
        <v>33</v>
      </c>
      <c r="H996">
        <v>72</v>
      </c>
      <c r="I996">
        <v>175</v>
      </c>
      <c r="J996">
        <v>2018</v>
      </c>
      <c r="K996" s="4" t="str">
        <f>HYPERLINK("http://legacy.baseballprospectus.com/fantasy/dc/index.php?tm=SDN","SDN")</f>
        <v>SDN</v>
      </c>
      <c r="L996" t="s">
        <v>100</v>
      </c>
      <c r="M996" t="s">
        <v>34</v>
      </c>
      <c r="N996">
        <v>18</v>
      </c>
      <c r="O996">
        <v>250</v>
      </c>
      <c r="P996" t="s">
        <v>1680</v>
      </c>
      <c r="Q996">
        <v>236</v>
      </c>
      <c r="R996">
        <v>21</v>
      </c>
      <c r="S996">
        <v>27</v>
      </c>
      <c r="T996">
        <v>9</v>
      </c>
      <c r="U996">
        <v>1</v>
      </c>
      <c r="V996">
        <v>6</v>
      </c>
      <c r="W996">
        <v>43</v>
      </c>
      <c r="X996">
        <v>72</v>
      </c>
      <c r="Y996">
        <v>24</v>
      </c>
      <c r="Z996">
        <v>11</v>
      </c>
      <c r="AA996">
        <v>1</v>
      </c>
      <c r="AB996">
        <v>1</v>
      </c>
      <c r="AC996">
        <v>95</v>
      </c>
      <c r="AD996">
        <v>1</v>
      </c>
      <c r="AE996">
        <v>1</v>
      </c>
      <c r="AF996">
        <v>7</v>
      </c>
      <c r="AG996">
        <v>3</v>
      </c>
      <c r="AH996">
        <v>1</v>
      </c>
      <c r="AI996" s="5">
        <v>0.18099999999999999</v>
      </c>
      <c r="AJ996" s="5">
        <v>0.219</v>
      </c>
      <c r="AK996" s="5">
        <v>0.3</v>
      </c>
      <c r="AL996" s="5">
        <v>0.17899999999999999</v>
      </c>
      <c r="AM996" s="5">
        <v>0.26800000000000002</v>
      </c>
      <c r="AN996">
        <v>0.1</v>
      </c>
      <c r="AO996">
        <v>4.1100000000000003</v>
      </c>
      <c r="AP996">
        <v>7</v>
      </c>
      <c r="AQ996">
        <v>-21.29</v>
      </c>
      <c r="AR996">
        <v>-1.1000000000000001</v>
      </c>
      <c r="AS996" t="s">
        <v>73</v>
      </c>
      <c r="AT996">
        <v>-1.2</v>
      </c>
      <c r="AU996">
        <v>-10.1</v>
      </c>
      <c r="AV996">
        <v>0</v>
      </c>
      <c r="AW996">
        <v>0</v>
      </c>
      <c r="AX996">
        <v>0</v>
      </c>
      <c r="AY996">
        <v>0</v>
      </c>
      <c r="AZ996" t="s">
        <v>1886</v>
      </c>
      <c r="BA996">
        <v>0</v>
      </c>
      <c r="BB996" t="s">
        <v>36</v>
      </c>
      <c r="BC996" t="s">
        <v>35</v>
      </c>
      <c r="BD996" s="4">
        <f>HYPERLINK("http://mlb.mlb.com/team/player.jsp?player_id=672357",672357)</f>
        <v>672357</v>
      </c>
      <c r="BE996">
        <v>0</v>
      </c>
      <c r="BF996">
        <v>0</v>
      </c>
      <c r="BG996">
        <v>0</v>
      </c>
      <c r="BH996">
        <v>0</v>
      </c>
    </row>
    <row r="997" spans="1:60" x14ac:dyDescent="0.3">
      <c r="A997" s="4">
        <f>HYPERLINK("http://legacy.baseballprospectus.com/p/110519",110519)</f>
        <v>110519</v>
      </c>
      <c r="B997" t="s">
        <v>3319</v>
      </c>
      <c r="C997" t="s">
        <v>125</v>
      </c>
      <c r="D997" s="10">
        <v>35947</v>
      </c>
      <c r="E997" t="s">
        <v>59</v>
      </c>
      <c r="F997" t="s">
        <v>9</v>
      </c>
      <c r="G997" t="s">
        <v>33</v>
      </c>
      <c r="H997">
        <v>73</v>
      </c>
      <c r="I997">
        <v>185</v>
      </c>
      <c r="J997">
        <v>2018</v>
      </c>
      <c r="K997" s="4" t="str">
        <f>HYPERLINK("http://legacy.baseballprospectus.com/fantasy/dc/index.php?tm=ANA","ANA")</f>
        <v>ANA</v>
      </c>
      <c r="L997" t="s">
        <v>95</v>
      </c>
      <c r="M997" t="s">
        <v>34</v>
      </c>
      <c r="N997">
        <v>20</v>
      </c>
      <c r="O997">
        <v>250</v>
      </c>
      <c r="P997" t="s">
        <v>1680</v>
      </c>
      <c r="Q997">
        <v>232</v>
      </c>
      <c r="R997">
        <v>24</v>
      </c>
      <c r="S997">
        <v>29</v>
      </c>
      <c r="T997">
        <v>9</v>
      </c>
      <c r="U997">
        <v>0</v>
      </c>
      <c r="V997">
        <v>6</v>
      </c>
      <c r="W997">
        <v>44</v>
      </c>
      <c r="X997">
        <v>71</v>
      </c>
      <c r="Y997">
        <v>21</v>
      </c>
      <c r="Z997">
        <v>14</v>
      </c>
      <c r="AA997">
        <v>1</v>
      </c>
      <c r="AB997">
        <v>1</v>
      </c>
      <c r="AC997">
        <v>82</v>
      </c>
      <c r="AD997">
        <v>2</v>
      </c>
      <c r="AE997">
        <v>1</v>
      </c>
      <c r="AF997">
        <v>7</v>
      </c>
      <c r="AG997">
        <v>2</v>
      </c>
      <c r="AH997">
        <v>1</v>
      </c>
      <c r="AI997" s="5">
        <v>0.189</v>
      </c>
      <c r="AJ997" s="5">
        <v>0.23599999999999999</v>
      </c>
      <c r="AK997" s="5">
        <v>0.30099999999999999</v>
      </c>
      <c r="AL997" s="5">
        <v>0.183</v>
      </c>
      <c r="AM997" s="5">
        <v>0.25900000000000001</v>
      </c>
      <c r="AN997">
        <v>-0.3</v>
      </c>
      <c r="AO997">
        <v>1.77</v>
      </c>
      <c r="AP997">
        <v>7</v>
      </c>
      <c r="AQ997">
        <v>-20.23</v>
      </c>
      <c r="AR997">
        <v>0.8</v>
      </c>
      <c r="AS997" t="s">
        <v>1330</v>
      </c>
      <c r="AT997">
        <v>-1.2</v>
      </c>
      <c r="AU997">
        <v>-11.8</v>
      </c>
      <c r="AV997">
        <v>1</v>
      </c>
      <c r="AW997">
        <v>1</v>
      </c>
      <c r="AX997">
        <v>0</v>
      </c>
      <c r="AY997">
        <v>1</v>
      </c>
      <c r="AZ997" t="s">
        <v>4803</v>
      </c>
      <c r="BA997">
        <v>2</v>
      </c>
      <c r="BB997" t="s">
        <v>36</v>
      </c>
      <c r="BC997" t="s">
        <v>35</v>
      </c>
      <c r="BD997" s="4">
        <f>HYPERLINK("http://mlb.mlb.com/team/player.jsp?player_id=669245",669245)</f>
        <v>669245</v>
      </c>
      <c r="BE997">
        <v>0</v>
      </c>
      <c r="BF997">
        <v>0</v>
      </c>
      <c r="BG997">
        <v>0</v>
      </c>
      <c r="BH997">
        <v>0</v>
      </c>
    </row>
    <row r="998" spans="1:60" x14ac:dyDescent="0.3">
      <c r="A998" s="4">
        <f>HYPERLINK("http://legacy.baseballprospectus.com/p/110935",110935)</f>
        <v>110935</v>
      </c>
      <c r="B998" t="s">
        <v>665</v>
      </c>
      <c r="C998" t="s">
        <v>1120</v>
      </c>
      <c r="D998" s="10">
        <v>35955</v>
      </c>
      <c r="E998" t="s">
        <v>65</v>
      </c>
      <c r="F998" t="s">
        <v>33</v>
      </c>
      <c r="G998" t="s">
        <v>33</v>
      </c>
      <c r="H998">
        <v>74</v>
      </c>
      <c r="I998">
        <v>180</v>
      </c>
      <c r="J998">
        <v>2018</v>
      </c>
      <c r="K998" s="4" t="str">
        <f>HYPERLINK("http://legacy.baseballprospectus.com/fantasy/dc/index.php?tm=TEX","TEX")</f>
        <v>TEX</v>
      </c>
      <c r="L998" t="s">
        <v>95</v>
      </c>
      <c r="M998" t="s">
        <v>34</v>
      </c>
      <c r="N998">
        <v>20</v>
      </c>
      <c r="O998">
        <v>250</v>
      </c>
      <c r="P998" t="s">
        <v>1680</v>
      </c>
      <c r="Q998">
        <v>233</v>
      </c>
      <c r="R998">
        <v>29</v>
      </c>
      <c r="S998">
        <v>30</v>
      </c>
      <c r="T998">
        <v>10</v>
      </c>
      <c r="U998">
        <v>0</v>
      </c>
      <c r="V998">
        <v>7</v>
      </c>
      <c r="W998">
        <v>47</v>
      </c>
      <c r="X998">
        <v>78</v>
      </c>
      <c r="Y998">
        <v>22</v>
      </c>
      <c r="Z998">
        <v>13</v>
      </c>
      <c r="AA998">
        <v>1</v>
      </c>
      <c r="AB998">
        <v>2</v>
      </c>
      <c r="AC998">
        <v>80</v>
      </c>
      <c r="AD998">
        <v>1</v>
      </c>
      <c r="AE998">
        <v>1</v>
      </c>
      <c r="AF998">
        <v>7</v>
      </c>
      <c r="AG998">
        <v>5</v>
      </c>
      <c r="AH998">
        <v>3</v>
      </c>
      <c r="AI998" s="5">
        <v>0.20200000000000001</v>
      </c>
      <c r="AJ998" s="5">
        <v>0.249</v>
      </c>
      <c r="AK998" s="5">
        <v>0.33400000000000002</v>
      </c>
      <c r="AL998" s="5">
        <v>0.189</v>
      </c>
      <c r="AM998" s="5">
        <v>0.27200000000000002</v>
      </c>
      <c r="AN998">
        <v>-0.3</v>
      </c>
      <c r="AO998">
        <v>3.14</v>
      </c>
      <c r="AP998">
        <v>7</v>
      </c>
      <c r="AQ998">
        <v>-18.559999999999999</v>
      </c>
      <c r="AR998">
        <v>-2</v>
      </c>
      <c r="AS998" t="s">
        <v>81</v>
      </c>
      <c r="AT998">
        <v>-1.2</v>
      </c>
      <c r="AU998">
        <v>-8.8000000000000007</v>
      </c>
      <c r="AV998">
        <v>1</v>
      </c>
      <c r="AW998">
        <v>1</v>
      </c>
      <c r="AX998">
        <v>0</v>
      </c>
      <c r="AY998">
        <v>1</v>
      </c>
      <c r="AZ998" t="s">
        <v>4789</v>
      </c>
      <c r="BA998">
        <v>2</v>
      </c>
      <c r="BB998" t="s">
        <v>36</v>
      </c>
      <c r="BC998" t="s">
        <v>35</v>
      </c>
      <c r="BD998" s="4">
        <f>HYPERLINK("http://mlb.mlb.com/team/player.jsp?player_id=669352",669352)</f>
        <v>669352</v>
      </c>
      <c r="BE998">
        <v>673</v>
      </c>
      <c r="BF998">
        <v>1673</v>
      </c>
      <c r="BG998">
        <v>0</v>
      </c>
      <c r="BH998">
        <v>0</v>
      </c>
    </row>
    <row r="999" spans="1:60" x14ac:dyDescent="0.3">
      <c r="A999" s="4">
        <f>HYPERLINK("http://legacy.baseballprospectus.com/p/111017",111017)</f>
        <v>111017</v>
      </c>
      <c r="B999" t="s">
        <v>4792</v>
      </c>
      <c r="C999" t="s">
        <v>227</v>
      </c>
      <c r="D999" s="10">
        <v>36505</v>
      </c>
      <c r="E999" t="s">
        <v>53</v>
      </c>
      <c r="F999" t="s">
        <v>33</v>
      </c>
      <c r="G999" t="s">
        <v>33</v>
      </c>
      <c r="H999">
        <v>76</v>
      </c>
      <c r="I999">
        <v>185</v>
      </c>
      <c r="J999">
        <v>2018</v>
      </c>
      <c r="K999" s="4" t="str">
        <f>HYPERLINK("http://legacy.baseballprospectus.com/fantasy/dc/index.php?tm=NYN","NYN")</f>
        <v>NYN</v>
      </c>
      <c r="L999" t="s">
        <v>100</v>
      </c>
      <c r="M999" t="s">
        <v>34</v>
      </c>
      <c r="N999">
        <v>18</v>
      </c>
      <c r="O999">
        <v>250</v>
      </c>
      <c r="P999" t="s">
        <v>1680</v>
      </c>
      <c r="Q999">
        <v>234</v>
      </c>
      <c r="R999">
        <v>21</v>
      </c>
      <c r="S999">
        <v>30</v>
      </c>
      <c r="T999">
        <v>9</v>
      </c>
      <c r="U999">
        <v>0</v>
      </c>
      <c r="V999">
        <v>7</v>
      </c>
      <c r="W999">
        <v>46</v>
      </c>
      <c r="X999">
        <v>76</v>
      </c>
      <c r="Y999">
        <v>26</v>
      </c>
      <c r="Z999">
        <v>13</v>
      </c>
      <c r="AA999">
        <v>1</v>
      </c>
      <c r="AB999">
        <v>1</v>
      </c>
      <c r="AC999">
        <v>86</v>
      </c>
      <c r="AD999">
        <v>1</v>
      </c>
      <c r="AE999">
        <v>2</v>
      </c>
      <c r="AF999">
        <v>6</v>
      </c>
      <c r="AG999">
        <v>0</v>
      </c>
      <c r="AH999">
        <v>0</v>
      </c>
      <c r="AI999" s="5">
        <v>0.19500000000000001</v>
      </c>
      <c r="AJ999" s="5">
        <v>0.23599999999999999</v>
      </c>
      <c r="AK999" s="5">
        <v>0.32100000000000001</v>
      </c>
      <c r="AL999" s="5">
        <v>0.189</v>
      </c>
      <c r="AM999" s="5">
        <v>0.27</v>
      </c>
      <c r="AN999">
        <v>-0.5</v>
      </c>
      <c r="AO999">
        <v>2.86</v>
      </c>
      <c r="AP999">
        <v>7</v>
      </c>
      <c r="AQ999">
        <v>-18.7</v>
      </c>
      <c r="AR999">
        <v>-1.2</v>
      </c>
      <c r="AS999" t="s">
        <v>1336</v>
      </c>
      <c r="AT999">
        <v>-1.2</v>
      </c>
      <c r="AU999">
        <v>-9.3000000000000007</v>
      </c>
      <c r="AV999">
        <v>0</v>
      </c>
      <c r="AW999">
        <v>0</v>
      </c>
      <c r="AX999">
        <v>0</v>
      </c>
      <c r="AY999">
        <v>0</v>
      </c>
      <c r="AZ999" t="s">
        <v>1886</v>
      </c>
      <c r="BA999">
        <v>0</v>
      </c>
      <c r="BB999" t="s">
        <v>36</v>
      </c>
      <c r="BC999" t="s">
        <v>35</v>
      </c>
      <c r="BD999" s="4">
        <f>HYPERLINK("http://mlb.mlb.com/team/player.jsp?player_id=668901",668901)</f>
        <v>668901</v>
      </c>
      <c r="BE999">
        <v>1514</v>
      </c>
      <c r="BF999">
        <v>514</v>
      </c>
      <c r="BG999">
        <v>0</v>
      </c>
      <c r="BH999">
        <v>0</v>
      </c>
    </row>
    <row r="1000" spans="1:60" x14ac:dyDescent="0.3">
      <c r="A1000" s="4">
        <f>HYPERLINK("http://legacy.baseballprospectus.com/p/108182",108182)</f>
        <v>108182</v>
      </c>
      <c r="B1000" t="s">
        <v>2006</v>
      </c>
      <c r="C1000" t="s">
        <v>2007</v>
      </c>
      <c r="D1000" s="10">
        <v>36042</v>
      </c>
      <c r="E1000" t="s">
        <v>57</v>
      </c>
      <c r="F1000" t="s">
        <v>33</v>
      </c>
      <c r="G1000" t="s">
        <v>33</v>
      </c>
      <c r="H1000">
        <v>75</v>
      </c>
      <c r="I1000">
        <v>200</v>
      </c>
      <c r="J1000">
        <v>2018</v>
      </c>
      <c r="K1000" s="4" t="str">
        <f>HYPERLINK("http://legacy.baseballprospectus.com/fantasy/dc/index.php?tm=KCA","KCA")</f>
        <v>KCA</v>
      </c>
      <c r="L1000" t="s">
        <v>95</v>
      </c>
      <c r="M1000" t="s">
        <v>34</v>
      </c>
      <c r="N1000">
        <v>19</v>
      </c>
      <c r="O1000">
        <v>250</v>
      </c>
      <c r="P1000" t="s">
        <v>1680</v>
      </c>
      <c r="Q1000">
        <v>232</v>
      </c>
      <c r="R1000">
        <v>21</v>
      </c>
      <c r="S1000">
        <v>26</v>
      </c>
      <c r="T1000">
        <v>8</v>
      </c>
      <c r="U1000">
        <v>1</v>
      </c>
      <c r="V1000">
        <v>7</v>
      </c>
      <c r="W1000">
        <v>42</v>
      </c>
      <c r="X1000">
        <v>73</v>
      </c>
      <c r="Y1000">
        <v>26</v>
      </c>
      <c r="Z1000">
        <v>14</v>
      </c>
      <c r="AA1000">
        <v>1</v>
      </c>
      <c r="AB1000">
        <v>1</v>
      </c>
      <c r="AC1000">
        <v>102</v>
      </c>
      <c r="AD1000">
        <v>1</v>
      </c>
      <c r="AE1000">
        <v>2</v>
      </c>
      <c r="AF1000">
        <v>6</v>
      </c>
      <c r="AG1000">
        <v>0</v>
      </c>
      <c r="AH1000">
        <v>0</v>
      </c>
      <c r="AI1000" s="5">
        <v>0.17899999999999999</v>
      </c>
      <c r="AJ1000" s="5">
        <v>0.22900000000000001</v>
      </c>
      <c r="AK1000" s="5">
        <v>0.311</v>
      </c>
      <c r="AL1000" s="5">
        <v>0.182</v>
      </c>
      <c r="AM1000" s="5">
        <v>0.27500000000000002</v>
      </c>
      <c r="AN1000">
        <v>-0.4</v>
      </c>
      <c r="AO1000">
        <v>-0.17</v>
      </c>
      <c r="AP1000">
        <v>7</v>
      </c>
      <c r="AQ1000">
        <v>-20.41</v>
      </c>
      <c r="AR1000">
        <v>2.2999999999999998</v>
      </c>
      <c r="AS1000" t="s">
        <v>2171</v>
      </c>
      <c r="AT1000">
        <v>-1.3</v>
      </c>
      <c r="AU1000">
        <v>-14</v>
      </c>
      <c r="AV1000">
        <v>0</v>
      </c>
      <c r="AW1000">
        <v>6</v>
      </c>
      <c r="AX1000">
        <v>2</v>
      </c>
      <c r="AY1000">
        <v>5</v>
      </c>
      <c r="AZ1000" t="s">
        <v>1967</v>
      </c>
      <c r="BA1000">
        <v>11</v>
      </c>
      <c r="BB1000" t="s">
        <v>36</v>
      </c>
      <c r="BC1000" t="s">
        <v>35</v>
      </c>
      <c r="BD1000" s="4">
        <f>HYPERLINK("http://mlb.mlb.com/team/player.jsp?player_id=665890",665890)</f>
        <v>665890</v>
      </c>
      <c r="BE1000">
        <v>658</v>
      </c>
      <c r="BF1000">
        <v>1658</v>
      </c>
      <c r="BG1000">
        <v>0</v>
      </c>
      <c r="BH1000">
        <v>0</v>
      </c>
    </row>
    <row r="1001" spans="1:60" x14ac:dyDescent="0.3">
      <c r="A1001" s="4">
        <f>HYPERLINK("http://legacy.baseballprospectus.com/p/108472",108472)</f>
        <v>108472</v>
      </c>
      <c r="B1001" t="s">
        <v>4790</v>
      </c>
      <c r="C1001" t="s">
        <v>354</v>
      </c>
      <c r="D1001" s="10">
        <v>36342</v>
      </c>
      <c r="E1001" t="s">
        <v>57</v>
      </c>
      <c r="F1001" t="s">
        <v>37</v>
      </c>
      <c r="G1001" t="s">
        <v>33</v>
      </c>
      <c r="H1001">
        <v>72</v>
      </c>
      <c r="I1001">
        <v>159</v>
      </c>
      <c r="J1001">
        <v>2018</v>
      </c>
      <c r="K1001" s="4" t="str">
        <f>HYPERLINK("http://legacy.baseballprospectus.com/fantasy/dc/index.php?tm=OAK","OAK")</f>
        <v>OAK</v>
      </c>
      <c r="L1001" t="s">
        <v>95</v>
      </c>
      <c r="M1001" t="s">
        <v>34</v>
      </c>
      <c r="N1001">
        <v>18</v>
      </c>
      <c r="O1001">
        <v>250</v>
      </c>
      <c r="P1001" t="s">
        <v>1680</v>
      </c>
      <c r="Q1001">
        <v>228</v>
      </c>
      <c r="R1001">
        <v>21</v>
      </c>
      <c r="S1001">
        <v>28</v>
      </c>
      <c r="T1001">
        <v>9</v>
      </c>
      <c r="U1001">
        <v>1</v>
      </c>
      <c r="V1001">
        <v>5</v>
      </c>
      <c r="W1001">
        <v>43</v>
      </c>
      <c r="X1001">
        <v>69</v>
      </c>
      <c r="Y1001">
        <v>24</v>
      </c>
      <c r="Z1001">
        <v>18</v>
      </c>
      <c r="AA1001">
        <v>1</v>
      </c>
      <c r="AB1001">
        <v>2</v>
      </c>
      <c r="AC1001">
        <v>90</v>
      </c>
      <c r="AD1001">
        <v>1</v>
      </c>
      <c r="AE1001">
        <v>1</v>
      </c>
      <c r="AF1001">
        <v>6</v>
      </c>
      <c r="AG1001">
        <v>1</v>
      </c>
      <c r="AH1001">
        <v>0</v>
      </c>
      <c r="AI1001" s="5">
        <v>0.19</v>
      </c>
      <c r="AJ1001" s="5">
        <v>0.252</v>
      </c>
      <c r="AK1001" s="5">
        <v>0.309</v>
      </c>
      <c r="AL1001" s="5">
        <v>0.19</v>
      </c>
      <c r="AM1001" s="5">
        <v>0.27900000000000003</v>
      </c>
      <c r="AN1001">
        <v>-0.3</v>
      </c>
      <c r="AO1001">
        <v>-0.15</v>
      </c>
      <c r="AP1001">
        <v>7</v>
      </c>
      <c r="AQ1001">
        <v>-18.309999999999999</v>
      </c>
      <c r="AR1001">
        <v>0.1</v>
      </c>
      <c r="AS1001" t="s">
        <v>4152</v>
      </c>
      <c r="AT1001">
        <v>-1.3</v>
      </c>
      <c r="AU1001">
        <v>-11.7</v>
      </c>
      <c r="AV1001">
        <v>0</v>
      </c>
      <c r="AW1001">
        <v>0</v>
      </c>
      <c r="AX1001">
        <v>0</v>
      </c>
      <c r="AY1001">
        <v>0</v>
      </c>
      <c r="AZ1001" t="s">
        <v>1886</v>
      </c>
      <c r="BA1001">
        <v>0</v>
      </c>
      <c r="BB1001" t="s">
        <v>36</v>
      </c>
      <c r="BC1001" t="s">
        <v>35</v>
      </c>
      <c r="BD1001" s="4">
        <f>HYPERLINK("http://mlb.mlb.com/team/player.jsp?player_id=666618",666618)</f>
        <v>666618</v>
      </c>
      <c r="BE1001">
        <v>0</v>
      </c>
      <c r="BF1001">
        <v>0</v>
      </c>
      <c r="BG1001">
        <v>0</v>
      </c>
      <c r="BH1001">
        <v>0</v>
      </c>
    </row>
    <row r="1002" spans="1:60" x14ac:dyDescent="0.3">
      <c r="A1002" s="4">
        <f>HYPERLINK("http://legacy.baseballprospectus.com/p/109143",109143)</f>
        <v>109143</v>
      </c>
      <c r="B1002" t="s">
        <v>4805</v>
      </c>
      <c r="C1002" t="s">
        <v>159</v>
      </c>
      <c r="D1002" s="10">
        <v>32003</v>
      </c>
      <c r="E1002" t="s">
        <v>59</v>
      </c>
      <c r="F1002" t="s">
        <v>9</v>
      </c>
      <c r="G1002" t="s">
        <v>9</v>
      </c>
      <c r="H1002">
        <v>75</v>
      </c>
      <c r="I1002">
        <v>250</v>
      </c>
      <c r="J1002">
        <v>2018</v>
      </c>
      <c r="K1002" s="4" t="str">
        <f>HYPERLINK("http://legacy.baseballprospectus.com/fantasy/dc/index.php?tm=NYN","NYN")</f>
        <v>NYN</v>
      </c>
      <c r="L1002" t="s">
        <v>100</v>
      </c>
      <c r="M1002" t="s">
        <v>34</v>
      </c>
      <c r="N1002">
        <v>30</v>
      </c>
      <c r="O1002">
        <v>250</v>
      </c>
      <c r="P1002" t="s">
        <v>1680</v>
      </c>
      <c r="Q1002">
        <v>225</v>
      </c>
      <c r="R1002">
        <v>23</v>
      </c>
      <c r="S1002">
        <v>29</v>
      </c>
      <c r="T1002">
        <v>9</v>
      </c>
      <c r="U1002">
        <v>0</v>
      </c>
      <c r="V1002">
        <v>7</v>
      </c>
      <c r="W1002">
        <v>45</v>
      </c>
      <c r="X1002">
        <v>75</v>
      </c>
      <c r="Y1002">
        <v>26</v>
      </c>
      <c r="Z1002">
        <v>20</v>
      </c>
      <c r="AA1002">
        <v>1</v>
      </c>
      <c r="AB1002">
        <v>3</v>
      </c>
      <c r="AC1002">
        <v>81</v>
      </c>
      <c r="AD1002">
        <v>1</v>
      </c>
      <c r="AE1002">
        <v>2</v>
      </c>
      <c r="AF1002">
        <v>6</v>
      </c>
      <c r="AG1002">
        <v>0</v>
      </c>
      <c r="AH1002">
        <v>0</v>
      </c>
      <c r="AI1002" s="5">
        <v>0.19800000000000001</v>
      </c>
      <c r="AJ1002" s="5">
        <v>0.27</v>
      </c>
      <c r="AK1002" s="5">
        <v>0.32900000000000001</v>
      </c>
      <c r="AL1002" s="5">
        <v>0.20899999999999999</v>
      </c>
      <c r="AM1002" s="5">
        <v>0.27300000000000002</v>
      </c>
      <c r="AN1002">
        <v>-0.5</v>
      </c>
      <c r="AO1002">
        <v>1.05</v>
      </c>
      <c r="AP1002">
        <v>7</v>
      </c>
      <c r="AQ1002">
        <v>-13.46</v>
      </c>
      <c r="AR1002">
        <v>-6.2</v>
      </c>
      <c r="AS1002" t="s">
        <v>4806</v>
      </c>
      <c r="AT1002">
        <v>-1.3</v>
      </c>
      <c r="AU1002">
        <v>-5.9</v>
      </c>
      <c r="AV1002">
        <v>3</v>
      </c>
      <c r="AW1002">
        <v>5</v>
      </c>
      <c r="AX1002">
        <v>7</v>
      </c>
      <c r="AY1002">
        <v>15</v>
      </c>
      <c r="AZ1002" t="s">
        <v>4807</v>
      </c>
      <c r="BA1002">
        <v>21</v>
      </c>
      <c r="BB1002" t="s">
        <v>36</v>
      </c>
      <c r="BC1002" t="s">
        <v>35</v>
      </c>
      <c r="BD1002" s="4">
        <f>HYPERLINK("http://mlb.mlb.com/team/player.jsp?player_id=628297",628297)</f>
        <v>628297</v>
      </c>
      <c r="BE1002">
        <v>1671</v>
      </c>
      <c r="BF1002">
        <v>671</v>
      </c>
      <c r="BG1002">
        <v>0</v>
      </c>
      <c r="BH1002">
        <v>0</v>
      </c>
    </row>
    <row r="1003" spans="1:60" x14ac:dyDescent="0.3">
      <c r="A1003" s="4">
        <f>HYPERLINK("http://legacy.baseballprospectus.com/p/109320",109320)</f>
        <v>109320</v>
      </c>
      <c r="B1003" t="s">
        <v>2010</v>
      </c>
      <c r="C1003" t="s">
        <v>304</v>
      </c>
      <c r="D1003" s="10">
        <v>36465</v>
      </c>
      <c r="E1003" t="s">
        <v>53</v>
      </c>
      <c r="F1003" t="s">
        <v>33</v>
      </c>
      <c r="G1003" t="s">
        <v>33</v>
      </c>
      <c r="H1003">
        <v>72</v>
      </c>
      <c r="I1003">
        <v>180</v>
      </c>
      <c r="J1003">
        <v>2018</v>
      </c>
      <c r="K1003" s="4" t="str">
        <f>HYPERLINK("http://legacy.baseballprospectus.com/fantasy/dc/index.php?tm=SDN","SDN")</f>
        <v>SDN</v>
      </c>
      <c r="L1003" t="s">
        <v>100</v>
      </c>
      <c r="M1003" t="s">
        <v>34</v>
      </c>
      <c r="N1003">
        <v>18</v>
      </c>
      <c r="O1003">
        <v>250</v>
      </c>
      <c r="P1003" t="s">
        <v>1680</v>
      </c>
      <c r="Q1003">
        <v>230</v>
      </c>
      <c r="R1003">
        <v>22</v>
      </c>
      <c r="S1003">
        <v>29</v>
      </c>
      <c r="T1003">
        <v>9</v>
      </c>
      <c r="U1003">
        <v>1</v>
      </c>
      <c r="V1003">
        <v>5</v>
      </c>
      <c r="W1003">
        <v>44</v>
      </c>
      <c r="X1003">
        <v>70</v>
      </c>
      <c r="Y1003">
        <v>23</v>
      </c>
      <c r="Z1003">
        <v>17</v>
      </c>
      <c r="AA1003">
        <v>1</v>
      </c>
      <c r="AB1003">
        <v>1</v>
      </c>
      <c r="AC1003">
        <v>85</v>
      </c>
      <c r="AD1003">
        <v>1</v>
      </c>
      <c r="AE1003">
        <v>1</v>
      </c>
      <c r="AF1003">
        <v>7</v>
      </c>
      <c r="AG1003">
        <v>3</v>
      </c>
      <c r="AH1003">
        <v>2</v>
      </c>
      <c r="AI1003" s="5">
        <v>0.189</v>
      </c>
      <c r="AJ1003" s="5">
        <v>0.245</v>
      </c>
      <c r="AK1003" s="5">
        <v>0.29699999999999999</v>
      </c>
      <c r="AL1003" s="5">
        <v>0.19</v>
      </c>
      <c r="AM1003" s="5">
        <v>0.27</v>
      </c>
      <c r="AN1003">
        <v>-0.2</v>
      </c>
      <c r="AO1003">
        <v>2.91</v>
      </c>
      <c r="AP1003">
        <v>7</v>
      </c>
      <c r="AQ1003">
        <v>-18.34</v>
      </c>
      <c r="AR1003">
        <v>-3.3</v>
      </c>
      <c r="AS1003" t="s">
        <v>4875</v>
      </c>
      <c r="AT1003">
        <v>-1.3</v>
      </c>
      <c r="AU1003">
        <v>-8.6</v>
      </c>
      <c r="AV1003">
        <v>0</v>
      </c>
      <c r="AW1003">
        <v>0</v>
      </c>
      <c r="AX1003">
        <v>0</v>
      </c>
      <c r="AY1003">
        <v>0</v>
      </c>
      <c r="AZ1003" t="s">
        <v>1886</v>
      </c>
      <c r="BA1003">
        <v>0</v>
      </c>
      <c r="BB1003" t="s">
        <v>36</v>
      </c>
      <c r="BC1003" t="s">
        <v>35</v>
      </c>
      <c r="BD1003" s="4">
        <f>HYPERLINK("http://mlb.mlb.com/team/player.jsp?player_id=671275",671275)</f>
        <v>671275</v>
      </c>
      <c r="BE1003">
        <v>0</v>
      </c>
      <c r="BF1003">
        <v>0</v>
      </c>
      <c r="BG1003">
        <v>0</v>
      </c>
      <c r="BH1003">
        <v>0</v>
      </c>
    </row>
    <row r="1004" spans="1:60" x14ac:dyDescent="0.3">
      <c r="A1004" s="4">
        <f>HYPERLINK("http://legacy.baseballprospectus.com/p/109422",109422)</f>
        <v>109422</v>
      </c>
      <c r="B1004" t="s">
        <v>4808</v>
      </c>
      <c r="C1004" t="s">
        <v>204</v>
      </c>
      <c r="D1004" s="10">
        <v>35173</v>
      </c>
      <c r="E1004" t="s">
        <v>51</v>
      </c>
      <c r="F1004" t="s">
        <v>33</v>
      </c>
      <c r="G1004" t="s">
        <v>33</v>
      </c>
      <c r="H1004">
        <v>73</v>
      </c>
      <c r="I1004">
        <v>185</v>
      </c>
      <c r="J1004">
        <v>2018</v>
      </c>
      <c r="K1004" s="4" t="str">
        <f>HYPERLINK("http://legacy.baseballprospectus.com/fantasy/dc/index.php?tm=MIN","MIN")</f>
        <v>MIN</v>
      </c>
      <c r="L1004" t="s">
        <v>95</v>
      </c>
      <c r="M1004" t="s">
        <v>34</v>
      </c>
      <c r="N1004">
        <v>22</v>
      </c>
      <c r="O1004">
        <v>250</v>
      </c>
      <c r="P1004" t="s">
        <v>1680</v>
      </c>
      <c r="Q1004">
        <v>226</v>
      </c>
      <c r="R1004">
        <v>22</v>
      </c>
      <c r="S1004">
        <v>29</v>
      </c>
      <c r="T1004">
        <v>9</v>
      </c>
      <c r="U1004">
        <v>1</v>
      </c>
      <c r="V1004">
        <v>6</v>
      </c>
      <c r="W1004">
        <v>45</v>
      </c>
      <c r="X1004">
        <v>74</v>
      </c>
      <c r="Y1004">
        <v>25</v>
      </c>
      <c r="Z1004">
        <v>21</v>
      </c>
      <c r="AA1004">
        <v>1</v>
      </c>
      <c r="AB1004">
        <v>1</v>
      </c>
      <c r="AC1004">
        <v>82</v>
      </c>
      <c r="AD1004">
        <v>1</v>
      </c>
      <c r="AE1004">
        <v>1</v>
      </c>
      <c r="AF1004">
        <v>6</v>
      </c>
      <c r="AG1004">
        <v>0</v>
      </c>
      <c r="AH1004">
        <v>0</v>
      </c>
      <c r="AI1004" s="5">
        <v>0.19400000000000001</v>
      </c>
      <c r="AJ1004" s="5">
        <v>0.26400000000000001</v>
      </c>
      <c r="AK1004" s="5">
        <v>0.313</v>
      </c>
      <c r="AL1004" s="5">
        <v>0.191</v>
      </c>
      <c r="AM1004" s="5">
        <v>0.27300000000000002</v>
      </c>
      <c r="AN1004">
        <v>-0.4</v>
      </c>
      <c r="AO1004">
        <v>1.55</v>
      </c>
      <c r="AP1004">
        <v>7</v>
      </c>
      <c r="AQ1004">
        <v>-18.12</v>
      </c>
      <c r="AR1004">
        <v>-1.8</v>
      </c>
      <c r="AS1004" t="s">
        <v>1024</v>
      </c>
      <c r="AT1004">
        <v>-1.3</v>
      </c>
      <c r="AU1004">
        <v>-9.9</v>
      </c>
      <c r="AV1004">
        <v>0</v>
      </c>
      <c r="AW1004">
        <v>0</v>
      </c>
      <c r="AX1004">
        <v>0</v>
      </c>
      <c r="AY1004">
        <v>0</v>
      </c>
      <c r="AZ1004" t="s">
        <v>4809</v>
      </c>
      <c r="BA1004">
        <v>0</v>
      </c>
      <c r="BB1004" t="s">
        <v>36</v>
      </c>
      <c r="BC1004" t="s">
        <v>35</v>
      </c>
      <c r="BD1004" s="4">
        <f>HYPERLINK("http://mlb.mlb.com/team/player.jsp?player_id=657510",657510)</f>
        <v>657510</v>
      </c>
      <c r="BE1004">
        <v>0</v>
      </c>
      <c r="BF1004">
        <v>0</v>
      </c>
      <c r="BG1004">
        <v>0</v>
      </c>
      <c r="BH1004">
        <v>0</v>
      </c>
    </row>
    <row r="1005" spans="1:60" x14ac:dyDescent="0.3">
      <c r="A1005" s="4">
        <f>HYPERLINK("http://legacy.baseballprospectus.com/p/109423",109423)</f>
        <v>109423</v>
      </c>
      <c r="B1005" t="s">
        <v>712</v>
      </c>
      <c r="C1005" t="s">
        <v>136</v>
      </c>
      <c r="D1005" s="10">
        <v>36120</v>
      </c>
      <c r="E1005" t="s">
        <v>65</v>
      </c>
      <c r="F1005" t="s">
        <v>33</v>
      </c>
      <c r="G1005" t="s">
        <v>33</v>
      </c>
      <c r="H1005">
        <v>73</v>
      </c>
      <c r="I1005">
        <v>200</v>
      </c>
      <c r="J1005">
        <v>2018</v>
      </c>
      <c r="K1005" s="4" t="str">
        <f>HYPERLINK("http://legacy.baseballprospectus.com/fantasy/dc/index.php?tm=OAK","OAK")</f>
        <v>OAK</v>
      </c>
      <c r="L1005" t="s">
        <v>95</v>
      </c>
      <c r="M1005" t="s">
        <v>34</v>
      </c>
      <c r="N1005">
        <v>19</v>
      </c>
      <c r="O1005">
        <v>250</v>
      </c>
      <c r="P1005" t="s">
        <v>1680</v>
      </c>
      <c r="Q1005">
        <v>232</v>
      </c>
      <c r="R1005">
        <v>22</v>
      </c>
      <c r="S1005">
        <v>27</v>
      </c>
      <c r="T1005">
        <v>9</v>
      </c>
      <c r="U1005">
        <v>1</v>
      </c>
      <c r="V1005">
        <v>6</v>
      </c>
      <c r="W1005">
        <v>43</v>
      </c>
      <c r="X1005">
        <v>72</v>
      </c>
      <c r="Y1005">
        <v>25</v>
      </c>
      <c r="Z1005">
        <v>14</v>
      </c>
      <c r="AA1005">
        <v>1</v>
      </c>
      <c r="AB1005">
        <v>1</v>
      </c>
      <c r="AC1005">
        <v>90</v>
      </c>
      <c r="AD1005">
        <v>1</v>
      </c>
      <c r="AE1005">
        <v>2</v>
      </c>
      <c r="AF1005">
        <v>6</v>
      </c>
      <c r="AG1005">
        <v>3</v>
      </c>
      <c r="AH1005">
        <v>1</v>
      </c>
      <c r="AI1005" s="5">
        <v>0.184</v>
      </c>
      <c r="AJ1005" s="5">
        <v>0.23300000000000001</v>
      </c>
      <c r="AK1005" s="5">
        <v>0.308</v>
      </c>
      <c r="AL1005" s="5">
        <v>0.18099999999999999</v>
      </c>
      <c r="AM1005" s="5">
        <v>0.26300000000000001</v>
      </c>
      <c r="AN1005">
        <v>0.1</v>
      </c>
      <c r="AO1005">
        <v>3</v>
      </c>
      <c r="AP1005">
        <v>7</v>
      </c>
      <c r="AQ1005">
        <v>-20.71</v>
      </c>
      <c r="AR1005">
        <v>-1</v>
      </c>
      <c r="AS1005" t="s">
        <v>72</v>
      </c>
      <c r="AT1005">
        <v>-1.3</v>
      </c>
      <c r="AU1005">
        <v>-10.6</v>
      </c>
      <c r="AV1005">
        <v>0</v>
      </c>
      <c r="AW1005">
        <v>6</v>
      </c>
      <c r="AX1005">
        <v>2</v>
      </c>
      <c r="AY1005">
        <v>5</v>
      </c>
      <c r="AZ1005" t="s">
        <v>1990</v>
      </c>
      <c r="BA1005">
        <v>10</v>
      </c>
      <c r="BB1005" t="s">
        <v>36</v>
      </c>
      <c r="BC1005" t="s">
        <v>35</v>
      </c>
      <c r="BD1005" s="4">
        <f>HYPERLINK("http://mlb.mlb.com/team/player.jsp?player_id=675648",675648)</f>
        <v>675648</v>
      </c>
      <c r="BE1005">
        <v>668</v>
      </c>
      <c r="BF1005">
        <v>1668</v>
      </c>
      <c r="BG1005">
        <v>0</v>
      </c>
      <c r="BH1005">
        <v>0</v>
      </c>
    </row>
    <row r="1006" spans="1:60" x14ac:dyDescent="0.3">
      <c r="A1006" s="4">
        <f>HYPERLINK("http://legacy.baseballprospectus.com/p/109801",109801)</f>
        <v>109801</v>
      </c>
      <c r="B1006" t="s">
        <v>4810</v>
      </c>
      <c r="C1006" t="s">
        <v>1391</v>
      </c>
      <c r="D1006" s="10">
        <v>35141</v>
      </c>
      <c r="E1006" t="s">
        <v>65</v>
      </c>
      <c r="F1006" t="s">
        <v>33</v>
      </c>
      <c r="G1006" t="s">
        <v>33</v>
      </c>
      <c r="H1006">
        <v>72</v>
      </c>
      <c r="I1006">
        <v>190</v>
      </c>
      <c r="J1006">
        <v>2018</v>
      </c>
      <c r="K1006" s="4" t="str">
        <f>HYPERLINK("http://legacy.baseballprospectus.com/fantasy/dc/index.php?tm=CIN","CIN")</f>
        <v>CIN</v>
      </c>
      <c r="L1006" t="s">
        <v>100</v>
      </c>
      <c r="M1006" t="s">
        <v>34</v>
      </c>
      <c r="N1006">
        <v>22</v>
      </c>
      <c r="O1006">
        <v>250</v>
      </c>
      <c r="P1006" t="s">
        <v>1680</v>
      </c>
      <c r="Q1006">
        <v>229</v>
      </c>
      <c r="R1006">
        <v>23</v>
      </c>
      <c r="S1006">
        <v>30</v>
      </c>
      <c r="T1006">
        <v>9</v>
      </c>
      <c r="U1006">
        <v>1</v>
      </c>
      <c r="V1006">
        <v>6</v>
      </c>
      <c r="W1006">
        <v>46</v>
      </c>
      <c r="X1006">
        <v>75</v>
      </c>
      <c r="Y1006">
        <v>25</v>
      </c>
      <c r="Z1006">
        <v>14</v>
      </c>
      <c r="AA1006">
        <v>1</v>
      </c>
      <c r="AB1006">
        <v>4</v>
      </c>
      <c r="AC1006">
        <v>78</v>
      </c>
      <c r="AD1006">
        <v>1</v>
      </c>
      <c r="AE1006">
        <v>1</v>
      </c>
      <c r="AF1006">
        <v>7</v>
      </c>
      <c r="AG1006">
        <v>3</v>
      </c>
      <c r="AH1006">
        <v>1</v>
      </c>
      <c r="AI1006" s="5">
        <v>0.19500000000000001</v>
      </c>
      <c r="AJ1006" s="5">
        <v>0.253</v>
      </c>
      <c r="AK1006" s="5">
        <v>0.315</v>
      </c>
      <c r="AL1006" s="5">
        <v>0.188</v>
      </c>
      <c r="AM1006" s="5">
        <v>0.26400000000000001</v>
      </c>
      <c r="AN1006">
        <v>-0.1</v>
      </c>
      <c r="AO1006">
        <v>2.74</v>
      </c>
      <c r="AP1006">
        <v>7</v>
      </c>
      <c r="AQ1006">
        <v>-18.8</v>
      </c>
      <c r="AR1006">
        <v>-3</v>
      </c>
      <c r="AS1006" t="s">
        <v>1972</v>
      </c>
      <c r="AT1006">
        <v>-1.3</v>
      </c>
      <c r="AU1006">
        <v>-9.1</v>
      </c>
      <c r="AV1006">
        <v>0</v>
      </c>
      <c r="AW1006">
        <v>1</v>
      </c>
      <c r="AX1006">
        <v>1</v>
      </c>
      <c r="AY1006">
        <v>2</v>
      </c>
      <c r="AZ1006" t="s">
        <v>4811</v>
      </c>
      <c r="BA1006">
        <v>2</v>
      </c>
      <c r="BB1006" t="s">
        <v>36</v>
      </c>
      <c r="BC1006" t="s">
        <v>35</v>
      </c>
      <c r="BD1006" s="4">
        <f>HYPERLINK("http://mlb.mlb.com/team/player.jsp?player_id=656413",656413)</f>
        <v>656413</v>
      </c>
      <c r="BE1006">
        <v>0</v>
      </c>
      <c r="BF1006">
        <v>0</v>
      </c>
      <c r="BG1006">
        <v>0</v>
      </c>
      <c r="BH1006">
        <v>0</v>
      </c>
    </row>
    <row r="1007" spans="1:60" x14ac:dyDescent="0.3">
      <c r="A1007" s="4">
        <f>HYPERLINK("http://legacy.baseballprospectus.com/p/110279",110279)</f>
        <v>110279</v>
      </c>
      <c r="B1007" t="s">
        <v>4801</v>
      </c>
      <c r="C1007" t="s">
        <v>408</v>
      </c>
      <c r="D1007" s="10">
        <v>35017</v>
      </c>
      <c r="E1007" t="s">
        <v>59</v>
      </c>
      <c r="F1007" t="s">
        <v>9</v>
      </c>
      <c r="G1007" t="s">
        <v>33</v>
      </c>
      <c r="H1007">
        <v>72</v>
      </c>
      <c r="I1007">
        <v>206</v>
      </c>
      <c r="J1007">
        <v>2018</v>
      </c>
      <c r="K1007" s="4" t="str">
        <f>HYPERLINK("http://legacy.baseballprospectus.com/fantasy/dc/index.php?tm=HOU","HOU")</f>
        <v>HOU</v>
      </c>
      <c r="L1007" t="s">
        <v>95</v>
      </c>
      <c r="M1007" t="s">
        <v>34</v>
      </c>
      <c r="N1007">
        <v>22</v>
      </c>
      <c r="O1007">
        <v>250</v>
      </c>
      <c r="P1007" t="s">
        <v>1680</v>
      </c>
      <c r="Q1007">
        <v>232</v>
      </c>
      <c r="R1007">
        <v>29</v>
      </c>
      <c r="S1007">
        <v>28</v>
      </c>
      <c r="T1007">
        <v>10</v>
      </c>
      <c r="U1007">
        <v>0</v>
      </c>
      <c r="V1007">
        <v>8</v>
      </c>
      <c r="W1007">
        <v>46</v>
      </c>
      <c r="X1007">
        <v>80</v>
      </c>
      <c r="Y1007">
        <v>24</v>
      </c>
      <c r="Z1007">
        <v>14</v>
      </c>
      <c r="AA1007">
        <v>1</v>
      </c>
      <c r="AB1007">
        <v>2</v>
      </c>
      <c r="AC1007">
        <v>84</v>
      </c>
      <c r="AD1007">
        <v>1</v>
      </c>
      <c r="AE1007">
        <v>1</v>
      </c>
      <c r="AF1007">
        <v>7</v>
      </c>
      <c r="AG1007">
        <v>5</v>
      </c>
      <c r="AH1007">
        <v>3</v>
      </c>
      <c r="AI1007" s="5">
        <v>0.19500000000000001</v>
      </c>
      <c r="AJ1007" s="5">
        <v>0.245</v>
      </c>
      <c r="AK1007" s="5">
        <v>0.33800000000000002</v>
      </c>
      <c r="AL1007" s="5">
        <v>0.19600000000000001</v>
      </c>
      <c r="AM1007" s="5">
        <v>0.26500000000000001</v>
      </c>
      <c r="AN1007">
        <v>-0.2</v>
      </c>
      <c r="AO1007">
        <v>1.1399999999999999</v>
      </c>
      <c r="AP1007">
        <v>7</v>
      </c>
      <c r="AQ1007">
        <v>-16.690000000000001</v>
      </c>
      <c r="AR1007">
        <v>-2.8</v>
      </c>
      <c r="AS1007" t="s">
        <v>2184</v>
      </c>
      <c r="AT1007">
        <v>-1.3</v>
      </c>
      <c r="AU1007">
        <v>-8.6999999999999993</v>
      </c>
      <c r="AV1007">
        <v>0</v>
      </c>
      <c r="AW1007">
        <v>0</v>
      </c>
      <c r="AX1007">
        <v>0</v>
      </c>
      <c r="AY1007">
        <v>0</v>
      </c>
      <c r="AZ1007" t="s">
        <v>4802</v>
      </c>
      <c r="BA1007">
        <v>0</v>
      </c>
      <c r="BB1007" t="s">
        <v>36</v>
      </c>
      <c r="BC1007" t="s">
        <v>35</v>
      </c>
      <c r="BD1007" s="4">
        <f>HYPERLINK("http://mlb.mlb.com/team/player.jsp?player_id=656695",656695)</f>
        <v>656695</v>
      </c>
      <c r="BE1007">
        <v>0</v>
      </c>
      <c r="BF1007">
        <v>0</v>
      </c>
      <c r="BG1007">
        <v>0</v>
      </c>
      <c r="BH1007">
        <v>0</v>
      </c>
    </row>
    <row r="1008" spans="1:60" x14ac:dyDescent="0.3">
      <c r="A1008" s="4">
        <f>HYPERLINK("http://legacy.baseballprospectus.com/p/111044",111044)</f>
        <v>111044</v>
      </c>
      <c r="B1008" t="s">
        <v>4812</v>
      </c>
      <c r="C1008" t="s">
        <v>210</v>
      </c>
      <c r="D1008" s="10">
        <v>36159</v>
      </c>
      <c r="E1008" t="s">
        <v>65</v>
      </c>
      <c r="F1008" t="s">
        <v>37</v>
      </c>
      <c r="G1008" t="s">
        <v>33</v>
      </c>
      <c r="H1008">
        <v>74</v>
      </c>
      <c r="I1008">
        <v>183</v>
      </c>
      <c r="J1008">
        <v>2018</v>
      </c>
      <c r="K1008" s="4" t="str">
        <f>HYPERLINK("http://legacy.baseballprospectus.com/fantasy/dc/index.php?tm=ATL","ATL")</f>
        <v>ATL</v>
      </c>
      <c r="L1008" t="s">
        <v>100</v>
      </c>
      <c r="M1008" t="s">
        <v>34</v>
      </c>
      <c r="N1008">
        <v>19</v>
      </c>
      <c r="O1008">
        <v>250</v>
      </c>
      <c r="P1008" t="s">
        <v>1680</v>
      </c>
      <c r="Q1008">
        <v>230</v>
      </c>
      <c r="R1008">
        <v>24</v>
      </c>
      <c r="S1008">
        <v>28</v>
      </c>
      <c r="T1008">
        <v>9</v>
      </c>
      <c r="U1008">
        <v>0</v>
      </c>
      <c r="V1008">
        <v>6</v>
      </c>
      <c r="W1008">
        <v>43</v>
      </c>
      <c r="X1008">
        <v>70</v>
      </c>
      <c r="Y1008">
        <v>21</v>
      </c>
      <c r="Z1008">
        <v>16</v>
      </c>
      <c r="AA1008">
        <v>1</v>
      </c>
      <c r="AB1008">
        <v>1</v>
      </c>
      <c r="AC1008">
        <v>94</v>
      </c>
      <c r="AD1008">
        <v>1</v>
      </c>
      <c r="AE1008">
        <v>1</v>
      </c>
      <c r="AF1008">
        <v>6</v>
      </c>
      <c r="AG1008">
        <v>1</v>
      </c>
      <c r="AH1008">
        <v>0</v>
      </c>
      <c r="AI1008" s="5">
        <v>0.186</v>
      </c>
      <c r="AJ1008" s="5">
        <v>0.24099999999999999</v>
      </c>
      <c r="AK1008" s="5">
        <v>0.30099999999999999</v>
      </c>
      <c r="AL1008" s="5">
        <v>0.185</v>
      </c>
      <c r="AM1008" s="5">
        <v>0.28000000000000003</v>
      </c>
      <c r="AN1008">
        <v>-0.4</v>
      </c>
      <c r="AO1008">
        <v>2.95</v>
      </c>
      <c r="AP1008">
        <v>7</v>
      </c>
      <c r="AQ1008">
        <v>-19.670000000000002</v>
      </c>
      <c r="AR1008">
        <v>-1.7</v>
      </c>
      <c r="AS1008" t="s">
        <v>1811</v>
      </c>
      <c r="AT1008">
        <v>-1.3</v>
      </c>
      <c r="AU1008">
        <v>-10.1</v>
      </c>
      <c r="AV1008">
        <v>0</v>
      </c>
      <c r="AW1008">
        <v>6</v>
      </c>
      <c r="AX1008">
        <v>2</v>
      </c>
      <c r="AY1008">
        <v>5</v>
      </c>
      <c r="AZ1008" t="s">
        <v>1978</v>
      </c>
      <c r="BA1008">
        <v>11</v>
      </c>
      <c r="BB1008" t="s">
        <v>36</v>
      </c>
      <c r="BC1008" t="s">
        <v>35</v>
      </c>
      <c r="BD1008" s="4">
        <f>HYPERLINK("http://mlb.mlb.com/team/player.jsp?player_id=671221",671221)</f>
        <v>671221</v>
      </c>
      <c r="BE1008">
        <v>1776</v>
      </c>
      <c r="BF1008">
        <v>776</v>
      </c>
      <c r="BG1008">
        <v>0</v>
      </c>
      <c r="BH1008">
        <v>0</v>
      </c>
    </row>
    <row r="1009" spans="1:60" x14ac:dyDescent="0.3">
      <c r="A1009" s="4">
        <f>HYPERLINK("http://legacy.baseballprospectus.com/p/58899",58899)</f>
        <v>58899</v>
      </c>
      <c r="B1009" t="s">
        <v>140</v>
      </c>
      <c r="C1009" t="s">
        <v>141</v>
      </c>
      <c r="D1009" s="10">
        <v>31806</v>
      </c>
      <c r="E1009" t="s">
        <v>54</v>
      </c>
      <c r="F1009" t="s">
        <v>9</v>
      </c>
      <c r="G1009" t="s">
        <v>33</v>
      </c>
      <c r="H1009">
        <v>71</v>
      </c>
      <c r="I1009">
        <v>210</v>
      </c>
      <c r="J1009">
        <v>2018</v>
      </c>
      <c r="K1009" s="4" t="str">
        <f>HYPERLINK("http://legacy.baseballprospectus.com/fantasy/dc/index.php?tm=ARI","ARI")</f>
        <v>ARI</v>
      </c>
      <c r="L1009" t="s">
        <v>100</v>
      </c>
      <c r="M1009" t="s">
        <v>34</v>
      </c>
      <c r="N1009">
        <v>31</v>
      </c>
      <c r="O1009">
        <v>397</v>
      </c>
      <c r="P1009">
        <v>109</v>
      </c>
      <c r="Q1009">
        <v>336</v>
      </c>
      <c r="R1009">
        <v>45</v>
      </c>
      <c r="S1009">
        <v>46</v>
      </c>
      <c r="T1009">
        <v>15</v>
      </c>
      <c r="U1009">
        <v>1</v>
      </c>
      <c r="V1009">
        <v>10</v>
      </c>
      <c r="W1009">
        <v>72</v>
      </c>
      <c r="X1009">
        <v>119</v>
      </c>
      <c r="Y1009">
        <v>41</v>
      </c>
      <c r="Z1009">
        <v>57</v>
      </c>
      <c r="AA1009">
        <v>1</v>
      </c>
      <c r="AB1009">
        <v>2</v>
      </c>
      <c r="AC1009">
        <v>133</v>
      </c>
      <c r="AD1009">
        <v>1</v>
      </c>
      <c r="AE1009">
        <v>1</v>
      </c>
      <c r="AF1009">
        <v>9</v>
      </c>
      <c r="AG1009">
        <v>1</v>
      </c>
      <c r="AH1009">
        <v>1</v>
      </c>
      <c r="AI1009" s="5">
        <v>0.214</v>
      </c>
      <c r="AJ1009" s="5">
        <v>0.33100000000000002</v>
      </c>
      <c r="AK1009" s="5">
        <v>0.35399999999999998</v>
      </c>
      <c r="AL1009" s="5">
        <v>0.247</v>
      </c>
      <c r="AM1009" s="5">
        <v>0.317</v>
      </c>
      <c r="AN1009">
        <v>-1</v>
      </c>
      <c r="AO1009">
        <v>3.03</v>
      </c>
      <c r="AP1009">
        <v>10.66</v>
      </c>
      <c r="AQ1009">
        <v>-5.33</v>
      </c>
      <c r="AR1009">
        <v>-20.2</v>
      </c>
      <c r="AS1009" t="s">
        <v>5038</v>
      </c>
      <c r="AT1009">
        <v>-1.3</v>
      </c>
      <c r="AU1009">
        <v>7.4</v>
      </c>
      <c r="AV1009">
        <v>4</v>
      </c>
      <c r="AW1009">
        <v>39</v>
      </c>
      <c r="AX1009">
        <v>12</v>
      </c>
      <c r="AY1009">
        <v>22</v>
      </c>
      <c r="AZ1009" t="s">
        <v>4694</v>
      </c>
      <c r="BA1009">
        <v>95</v>
      </c>
      <c r="BB1009" t="s">
        <v>35</v>
      </c>
      <c r="BC1009" t="s">
        <v>36</v>
      </c>
      <c r="BD1009" s="4">
        <f>HYPERLINK("http://mlb.mlb.com/team/player.jsp?player_id=488671",488671)</f>
        <v>488671</v>
      </c>
      <c r="BE1009">
        <v>1716</v>
      </c>
      <c r="BF1009">
        <v>716</v>
      </c>
      <c r="BG1009">
        <v>376</v>
      </c>
      <c r="BH1009">
        <v>311</v>
      </c>
    </row>
    <row r="1010" spans="1:60" x14ac:dyDescent="0.3">
      <c r="A1010" s="4">
        <f>HYPERLINK("http://legacy.baseballprospectus.com/p/109148",109148)</f>
        <v>109148</v>
      </c>
      <c r="B1010" t="s">
        <v>2003</v>
      </c>
      <c r="C1010" t="s">
        <v>459</v>
      </c>
      <c r="D1010" s="10">
        <v>36568</v>
      </c>
      <c r="E1010" t="s">
        <v>53</v>
      </c>
      <c r="F1010" t="s">
        <v>37</v>
      </c>
      <c r="G1010" t="s">
        <v>33</v>
      </c>
      <c r="H1010">
        <v>74</v>
      </c>
      <c r="I1010">
        <v>190</v>
      </c>
      <c r="J1010">
        <v>2018</v>
      </c>
      <c r="K1010" s="4" t="str">
        <f>HYPERLINK("http://legacy.baseballprospectus.com/fantasy/dc/index.php?tm=ANA","ANA")</f>
        <v>ANA</v>
      </c>
      <c r="L1010" t="s">
        <v>95</v>
      </c>
      <c r="M1010" t="s">
        <v>34</v>
      </c>
      <c r="N1010">
        <v>18</v>
      </c>
      <c r="O1010">
        <v>250</v>
      </c>
      <c r="P1010" t="s">
        <v>1680</v>
      </c>
      <c r="Q1010">
        <v>235</v>
      </c>
      <c r="R1010">
        <v>19</v>
      </c>
      <c r="S1010">
        <v>29</v>
      </c>
      <c r="T1010">
        <v>9</v>
      </c>
      <c r="U1010">
        <v>0</v>
      </c>
      <c r="V1010">
        <v>6</v>
      </c>
      <c r="W1010">
        <v>44</v>
      </c>
      <c r="X1010">
        <v>71</v>
      </c>
      <c r="Y1010">
        <v>24</v>
      </c>
      <c r="Z1010">
        <v>11</v>
      </c>
      <c r="AA1010">
        <v>1</v>
      </c>
      <c r="AB1010">
        <v>1</v>
      </c>
      <c r="AC1010">
        <v>90</v>
      </c>
      <c r="AD1010">
        <v>1</v>
      </c>
      <c r="AE1010">
        <v>1</v>
      </c>
      <c r="AF1010">
        <v>7</v>
      </c>
      <c r="AG1010">
        <v>0</v>
      </c>
      <c r="AH1010">
        <v>0</v>
      </c>
      <c r="AI1010" s="5">
        <v>0.185</v>
      </c>
      <c r="AJ1010" s="5">
        <v>0.224</v>
      </c>
      <c r="AK1010" s="5">
        <v>0.29699999999999999</v>
      </c>
      <c r="AL1010" s="5">
        <v>0.17799999999999999</v>
      </c>
      <c r="AM1010" s="5">
        <v>0.26600000000000001</v>
      </c>
      <c r="AN1010">
        <v>-0.4</v>
      </c>
      <c r="AO1010">
        <v>4</v>
      </c>
      <c r="AP1010">
        <v>7</v>
      </c>
      <c r="AQ1010">
        <v>-21.6</v>
      </c>
      <c r="AR1010">
        <v>-1.5</v>
      </c>
      <c r="AS1010" t="s">
        <v>73</v>
      </c>
      <c r="AT1010">
        <v>-1.4</v>
      </c>
      <c r="AU1010">
        <v>-11</v>
      </c>
      <c r="AV1010">
        <v>0</v>
      </c>
      <c r="AW1010">
        <v>0</v>
      </c>
      <c r="AX1010">
        <v>0</v>
      </c>
      <c r="AY1010">
        <v>0</v>
      </c>
      <c r="AZ1010" t="s">
        <v>1886</v>
      </c>
      <c r="BA1010">
        <v>0</v>
      </c>
      <c r="BB1010" t="s">
        <v>36</v>
      </c>
      <c r="BC1010" t="s">
        <v>35</v>
      </c>
      <c r="BD1010" s="4">
        <f>HYPERLINK("http://mlb.mlb.com/team/player.jsp?player_id=670867",670867)</f>
        <v>670867</v>
      </c>
      <c r="BE1010">
        <v>533</v>
      </c>
      <c r="BF1010">
        <v>1533</v>
      </c>
      <c r="BG1010">
        <v>0</v>
      </c>
      <c r="BH1010">
        <v>0</v>
      </c>
    </row>
    <row r="1011" spans="1:60" x14ac:dyDescent="0.3">
      <c r="A1011" s="4">
        <f>HYPERLINK("http://legacy.baseballprospectus.com/p/109295",109295)</f>
        <v>109295</v>
      </c>
      <c r="B1011" t="s">
        <v>4814</v>
      </c>
      <c r="C1011" t="s">
        <v>4815</v>
      </c>
      <c r="D1011" s="10">
        <v>36258</v>
      </c>
      <c r="E1011" t="s">
        <v>1682</v>
      </c>
      <c r="F1011" t="s">
        <v>33</v>
      </c>
      <c r="G1011" t="s">
        <v>33</v>
      </c>
      <c r="H1011">
        <v>74</v>
      </c>
      <c r="I1011">
        <v>195</v>
      </c>
      <c r="J1011">
        <v>2018</v>
      </c>
      <c r="K1011" s="4" t="str">
        <f>HYPERLINK("http://legacy.baseballprospectus.com/fantasy/dc/index.php?tm=ANA","ANA")</f>
        <v>ANA</v>
      </c>
      <c r="L1011" t="s">
        <v>95</v>
      </c>
      <c r="M1011" t="s">
        <v>34</v>
      </c>
      <c r="N1011">
        <v>19</v>
      </c>
      <c r="O1011">
        <v>250</v>
      </c>
      <c r="P1011" t="s">
        <v>1680</v>
      </c>
      <c r="Q1011">
        <v>236</v>
      </c>
      <c r="R1011">
        <v>22</v>
      </c>
      <c r="S1011">
        <v>30</v>
      </c>
      <c r="T1011">
        <v>9</v>
      </c>
      <c r="U1011">
        <v>1</v>
      </c>
      <c r="V1011">
        <v>7</v>
      </c>
      <c r="W1011">
        <v>47</v>
      </c>
      <c r="X1011">
        <v>79</v>
      </c>
      <c r="Y1011">
        <v>25</v>
      </c>
      <c r="Z1011">
        <v>11</v>
      </c>
      <c r="AA1011">
        <v>1</v>
      </c>
      <c r="AB1011">
        <v>1</v>
      </c>
      <c r="AC1011">
        <v>84</v>
      </c>
      <c r="AD1011">
        <v>1</v>
      </c>
      <c r="AE1011">
        <v>1</v>
      </c>
      <c r="AF1011">
        <v>7</v>
      </c>
      <c r="AG1011">
        <v>1</v>
      </c>
      <c r="AH1011">
        <v>0</v>
      </c>
      <c r="AI1011" s="5">
        <v>0.19700000000000001</v>
      </c>
      <c r="AJ1011" s="5">
        <v>0.23499999999999999</v>
      </c>
      <c r="AK1011" s="5">
        <v>0.32600000000000001</v>
      </c>
      <c r="AL1011" s="5">
        <v>0.191</v>
      </c>
      <c r="AM1011" s="5">
        <v>0.27100000000000002</v>
      </c>
      <c r="AN1011">
        <v>-0.2</v>
      </c>
      <c r="AO1011">
        <v>-1.37</v>
      </c>
      <c r="AP1011">
        <v>7</v>
      </c>
      <c r="AQ1011">
        <v>-18.21</v>
      </c>
      <c r="AR1011">
        <v>0</v>
      </c>
      <c r="AT1011">
        <v>-1.4</v>
      </c>
      <c r="AU1011">
        <v>-12.8</v>
      </c>
      <c r="AV1011">
        <v>0</v>
      </c>
      <c r="AW1011">
        <v>5</v>
      </c>
      <c r="AX1011">
        <v>2</v>
      </c>
      <c r="AY1011">
        <v>4</v>
      </c>
      <c r="AZ1011" t="s">
        <v>4816</v>
      </c>
      <c r="BA1011">
        <v>10</v>
      </c>
      <c r="BB1011" t="s">
        <v>36</v>
      </c>
      <c r="BC1011" t="s">
        <v>35</v>
      </c>
      <c r="BD1011" s="4">
        <f>HYPERLINK("http://mlb.mlb.com/team/player.jsp?player_id=666176",666176)</f>
        <v>666176</v>
      </c>
      <c r="BE1011">
        <v>0</v>
      </c>
      <c r="BF1011">
        <v>0</v>
      </c>
      <c r="BG1011">
        <v>0</v>
      </c>
      <c r="BH1011">
        <v>0</v>
      </c>
    </row>
    <row r="1012" spans="1:60" x14ac:dyDescent="0.3">
      <c r="A1012" s="4">
        <f>HYPERLINK("http://legacy.baseballprospectus.com/p/110594",110594)</f>
        <v>110594</v>
      </c>
      <c r="B1012" t="s">
        <v>4817</v>
      </c>
      <c r="C1012" t="s">
        <v>108</v>
      </c>
      <c r="D1012" s="10">
        <v>36074</v>
      </c>
      <c r="E1012" t="s">
        <v>50</v>
      </c>
      <c r="F1012" t="s">
        <v>9</v>
      </c>
      <c r="G1012" t="s">
        <v>9</v>
      </c>
      <c r="H1012">
        <v>73</v>
      </c>
      <c r="I1012">
        <v>195</v>
      </c>
      <c r="J1012">
        <v>2018</v>
      </c>
      <c r="K1012" s="4" t="str">
        <f>HYPERLINK("http://legacy.baseballprospectus.com/fantasy/dc/index.php?tm=KCA","KCA")</f>
        <v>KCA</v>
      </c>
      <c r="L1012" t="s">
        <v>95</v>
      </c>
      <c r="M1012" t="s">
        <v>34</v>
      </c>
      <c r="N1012">
        <v>19</v>
      </c>
      <c r="O1012">
        <v>250</v>
      </c>
      <c r="P1012" t="s">
        <v>1680</v>
      </c>
      <c r="Q1012">
        <v>232</v>
      </c>
      <c r="R1012">
        <v>23</v>
      </c>
      <c r="S1012">
        <v>29</v>
      </c>
      <c r="T1012">
        <v>9</v>
      </c>
      <c r="U1012">
        <v>1</v>
      </c>
      <c r="V1012">
        <v>6</v>
      </c>
      <c r="W1012">
        <v>45</v>
      </c>
      <c r="X1012">
        <v>74</v>
      </c>
      <c r="Y1012">
        <v>24</v>
      </c>
      <c r="Z1012">
        <v>15</v>
      </c>
      <c r="AA1012">
        <v>1</v>
      </c>
      <c r="AB1012">
        <v>1</v>
      </c>
      <c r="AC1012">
        <v>84</v>
      </c>
      <c r="AD1012">
        <v>1</v>
      </c>
      <c r="AE1012">
        <v>2</v>
      </c>
      <c r="AF1012">
        <v>6</v>
      </c>
      <c r="AG1012">
        <v>4</v>
      </c>
      <c r="AH1012">
        <v>2</v>
      </c>
      <c r="AI1012" s="5">
        <v>0.193</v>
      </c>
      <c r="AJ1012" s="5">
        <v>0.24399999999999999</v>
      </c>
      <c r="AK1012" s="5">
        <v>0.315</v>
      </c>
      <c r="AL1012" s="5">
        <v>0.188</v>
      </c>
      <c r="AM1012" s="5">
        <v>0.27</v>
      </c>
      <c r="AN1012">
        <v>0</v>
      </c>
      <c r="AO1012">
        <v>-2.33</v>
      </c>
      <c r="AP1012">
        <v>7</v>
      </c>
      <c r="AQ1012">
        <v>-18.82</v>
      </c>
      <c r="AR1012">
        <v>1</v>
      </c>
      <c r="AS1012" t="s">
        <v>77</v>
      </c>
      <c r="AT1012">
        <v>-1.4</v>
      </c>
      <c r="AU1012">
        <v>-14.2</v>
      </c>
      <c r="AV1012">
        <v>0</v>
      </c>
      <c r="AW1012">
        <v>6</v>
      </c>
      <c r="AX1012">
        <v>2</v>
      </c>
      <c r="AY1012">
        <v>5</v>
      </c>
      <c r="AZ1012" t="s">
        <v>2013</v>
      </c>
      <c r="BA1012">
        <v>11</v>
      </c>
      <c r="BB1012" t="s">
        <v>36</v>
      </c>
      <c r="BC1012" t="s">
        <v>35</v>
      </c>
      <c r="BD1012" s="4">
        <f>HYPERLINK("http://mlb.mlb.com/team/player.jsp?player_id=668472",668472)</f>
        <v>668472</v>
      </c>
      <c r="BE1012">
        <v>430</v>
      </c>
      <c r="BF1012">
        <v>1430</v>
      </c>
      <c r="BG1012">
        <v>0</v>
      </c>
      <c r="BH1012">
        <v>0</v>
      </c>
    </row>
    <row r="1013" spans="1:60" x14ac:dyDescent="0.3">
      <c r="A1013" s="4">
        <f>HYPERLINK("http://legacy.baseballprospectus.com/p/110974",110974)</f>
        <v>110974</v>
      </c>
      <c r="B1013" t="s">
        <v>4819</v>
      </c>
      <c r="C1013" t="s">
        <v>1643</v>
      </c>
      <c r="D1013" s="10">
        <v>35935</v>
      </c>
      <c r="E1013" t="s">
        <v>57</v>
      </c>
      <c r="F1013" t="s">
        <v>33</v>
      </c>
      <c r="G1013" t="s">
        <v>33</v>
      </c>
      <c r="H1013">
        <v>75</v>
      </c>
      <c r="I1013">
        <v>185</v>
      </c>
      <c r="J1013">
        <v>2018</v>
      </c>
      <c r="K1013" s="4" t="str">
        <f>HYPERLINK("http://legacy.baseballprospectus.com/fantasy/dc/index.php?tm=PIT","PIT")</f>
        <v>PIT</v>
      </c>
      <c r="L1013" t="s">
        <v>100</v>
      </c>
      <c r="M1013" t="s">
        <v>34</v>
      </c>
      <c r="N1013">
        <v>20</v>
      </c>
      <c r="O1013">
        <v>250</v>
      </c>
      <c r="P1013" t="s">
        <v>1680</v>
      </c>
      <c r="Q1013">
        <v>232</v>
      </c>
      <c r="R1013">
        <v>22</v>
      </c>
      <c r="S1013">
        <v>30</v>
      </c>
      <c r="T1013">
        <v>9</v>
      </c>
      <c r="U1013">
        <v>1</v>
      </c>
      <c r="V1013">
        <v>6</v>
      </c>
      <c r="W1013">
        <v>46</v>
      </c>
      <c r="X1013">
        <v>75</v>
      </c>
      <c r="Y1013">
        <v>24</v>
      </c>
      <c r="Z1013">
        <v>14</v>
      </c>
      <c r="AA1013">
        <v>1</v>
      </c>
      <c r="AB1013">
        <v>1</v>
      </c>
      <c r="AC1013">
        <v>80</v>
      </c>
      <c r="AD1013">
        <v>1</v>
      </c>
      <c r="AE1013">
        <v>1</v>
      </c>
      <c r="AF1013">
        <v>6</v>
      </c>
      <c r="AG1013">
        <v>2</v>
      </c>
      <c r="AH1013">
        <v>1</v>
      </c>
      <c r="AI1013" s="5">
        <v>0.19600000000000001</v>
      </c>
      <c r="AJ1013" s="5">
        <v>0.24399999999999999</v>
      </c>
      <c r="AK1013" s="5">
        <v>0.312</v>
      </c>
      <c r="AL1013" s="5">
        <v>0.188</v>
      </c>
      <c r="AM1013" s="5">
        <v>0.26900000000000002</v>
      </c>
      <c r="AN1013">
        <v>-0.2</v>
      </c>
      <c r="AO1013">
        <v>-0.38</v>
      </c>
      <c r="AP1013">
        <v>7</v>
      </c>
      <c r="AQ1013">
        <v>-18.97</v>
      </c>
      <c r="AR1013">
        <v>-0.5</v>
      </c>
      <c r="AS1013" t="s">
        <v>78</v>
      </c>
      <c r="AT1013">
        <v>-1.4</v>
      </c>
      <c r="AU1013">
        <v>-12.5</v>
      </c>
      <c r="AV1013">
        <v>1</v>
      </c>
      <c r="AW1013">
        <v>2</v>
      </c>
      <c r="AX1013">
        <v>0</v>
      </c>
      <c r="AY1013">
        <v>2</v>
      </c>
      <c r="AZ1013" t="s">
        <v>4820</v>
      </c>
      <c r="BA1013">
        <v>3</v>
      </c>
      <c r="BB1013" t="s">
        <v>36</v>
      </c>
      <c r="BC1013" t="s">
        <v>35</v>
      </c>
      <c r="BD1013" s="4">
        <f>HYPERLINK("http://mlb.mlb.com/team/player.jsp?player_id=671101",671101)</f>
        <v>671101</v>
      </c>
      <c r="BE1013">
        <v>0</v>
      </c>
      <c r="BF1013">
        <v>0</v>
      </c>
      <c r="BG1013">
        <v>0</v>
      </c>
      <c r="BH1013">
        <v>0</v>
      </c>
    </row>
    <row r="1014" spans="1:60" x14ac:dyDescent="0.3">
      <c r="A1014" s="4">
        <f>HYPERLINK("http://legacy.baseballprospectus.com/p/70317",70317)</f>
        <v>70317</v>
      </c>
      <c r="B1014" t="s">
        <v>507</v>
      </c>
      <c r="C1014" t="s">
        <v>149</v>
      </c>
      <c r="D1014" s="10">
        <v>33037</v>
      </c>
      <c r="E1014" t="s">
        <v>54</v>
      </c>
      <c r="F1014" t="s">
        <v>33</v>
      </c>
      <c r="G1014" t="s">
        <v>33</v>
      </c>
      <c r="H1014">
        <v>74</v>
      </c>
      <c r="I1014">
        <v>210</v>
      </c>
      <c r="J1014">
        <v>2018</v>
      </c>
      <c r="K1014" s="4" t="str">
        <f>HYPERLINK("http://legacy.baseballprospectus.com/fantasy/dc/index.php?tm=DET","DET")</f>
        <v>DET</v>
      </c>
      <c r="L1014" t="s">
        <v>95</v>
      </c>
      <c r="M1014" t="s">
        <v>34</v>
      </c>
      <c r="N1014">
        <v>28</v>
      </c>
      <c r="O1014">
        <v>526</v>
      </c>
      <c r="P1014">
        <v>147</v>
      </c>
      <c r="Q1014">
        <v>485</v>
      </c>
      <c r="R1014">
        <v>53</v>
      </c>
      <c r="S1014">
        <v>83</v>
      </c>
      <c r="T1014">
        <v>22</v>
      </c>
      <c r="U1014">
        <v>3</v>
      </c>
      <c r="V1014">
        <v>13</v>
      </c>
      <c r="W1014">
        <v>121</v>
      </c>
      <c r="X1014">
        <v>188</v>
      </c>
      <c r="Y1014">
        <v>60</v>
      </c>
      <c r="Z1014">
        <v>29</v>
      </c>
      <c r="AA1014">
        <v>1</v>
      </c>
      <c r="AB1014">
        <v>7</v>
      </c>
      <c r="AC1014">
        <v>123</v>
      </c>
      <c r="AD1014">
        <v>2</v>
      </c>
      <c r="AE1014">
        <v>3</v>
      </c>
      <c r="AF1014">
        <v>15</v>
      </c>
      <c r="AG1014">
        <v>1</v>
      </c>
      <c r="AH1014">
        <v>1</v>
      </c>
      <c r="AI1014" s="5">
        <v>0.249</v>
      </c>
      <c r="AJ1014" s="5">
        <v>0.3</v>
      </c>
      <c r="AK1014" s="5">
        <v>0.38800000000000001</v>
      </c>
      <c r="AL1014" s="5">
        <v>0.23599999999999999</v>
      </c>
      <c r="AM1014" s="5">
        <v>0.30599999999999999</v>
      </c>
      <c r="AN1014">
        <v>-0.7</v>
      </c>
      <c r="AO1014">
        <v>4.01</v>
      </c>
      <c r="AP1014">
        <v>14.12</v>
      </c>
      <c r="AQ1014">
        <v>-13.08</v>
      </c>
      <c r="AR1014">
        <v>-18.600000000000001</v>
      </c>
      <c r="AS1014" t="s">
        <v>5012</v>
      </c>
      <c r="AT1014">
        <v>-1.4</v>
      </c>
      <c r="AU1014">
        <v>4.3</v>
      </c>
      <c r="AV1014">
        <v>7</v>
      </c>
      <c r="AW1014">
        <v>35</v>
      </c>
      <c r="AX1014">
        <v>14</v>
      </c>
      <c r="AY1014">
        <v>21</v>
      </c>
      <c r="AZ1014" t="s">
        <v>4794</v>
      </c>
      <c r="BA1014">
        <v>87</v>
      </c>
      <c r="BB1014" t="s">
        <v>35</v>
      </c>
      <c r="BC1014" t="s">
        <v>36</v>
      </c>
      <c r="BD1014" s="4">
        <f>HYPERLINK("http://mlb.mlb.com/team/player.jsp?player_id=543510",543510)</f>
        <v>543510</v>
      </c>
      <c r="BE1014">
        <v>356</v>
      </c>
      <c r="BF1014">
        <v>1356</v>
      </c>
      <c r="BG1014">
        <v>391</v>
      </c>
      <c r="BH1014">
        <v>352</v>
      </c>
    </row>
    <row r="1015" spans="1:60" x14ac:dyDescent="0.3">
      <c r="A1015" s="4">
        <f>HYPERLINK("http://legacy.baseballprospectus.com/p/55701",55701)</f>
        <v>55701</v>
      </c>
      <c r="B1015" t="s">
        <v>1074</v>
      </c>
      <c r="C1015" t="s">
        <v>314</v>
      </c>
      <c r="D1015" s="10">
        <v>32828</v>
      </c>
      <c r="E1015" t="s">
        <v>54</v>
      </c>
      <c r="F1015" t="s">
        <v>9</v>
      </c>
      <c r="G1015" t="s">
        <v>33</v>
      </c>
      <c r="H1015">
        <v>69</v>
      </c>
      <c r="I1015">
        <v>195</v>
      </c>
      <c r="J1015">
        <v>2018</v>
      </c>
      <c r="K1015" s="4" t="str">
        <f>HYPERLINK("http://legacy.baseballprospectus.com/fantasy/dc/index.php?tm=TEX","TEX")</f>
        <v>TEX</v>
      </c>
      <c r="L1015" t="s">
        <v>95</v>
      </c>
      <c r="M1015" t="s">
        <v>34</v>
      </c>
      <c r="N1015">
        <v>28</v>
      </c>
      <c r="O1015">
        <v>189</v>
      </c>
      <c r="P1015">
        <v>58</v>
      </c>
      <c r="Q1015">
        <v>173</v>
      </c>
      <c r="R1015">
        <v>17</v>
      </c>
      <c r="S1015">
        <v>34</v>
      </c>
      <c r="T1015">
        <v>7</v>
      </c>
      <c r="U1015">
        <v>1</v>
      </c>
      <c r="V1015">
        <v>2</v>
      </c>
      <c r="W1015">
        <v>44</v>
      </c>
      <c r="X1015">
        <v>59</v>
      </c>
      <c r="Y1015">
        <v>16</v>
      </c>
      <c r="Z1015">
        <v>11</v>
      </c>
      <c r="AA1015">
        <v>1</v>
      </c>
      <c r="AB1015">
        <v>1</v>
      </c>
      <c r="AC1015">
        <v>32</v>
      </c>
      <c r="AD1015">
        <v>2</v>
      </c>
      <c r="AE1015">
        <v>1</v>
      </c>
      <c r="AF1015">
        <v>6</v>
      </c>
      <c r="AG1015">
        <v>0</v>
      </c>
      <c r="AH1015">
        <v>0</v>
      </c>
      <c r="AI1015" s="5">
        <v>0.254</v>
      </c>
      <c r="AJ1015" s="5">
        <v>0.30099999999999999</v>
      </c>
      <c r="AK1015" s="5">
        <v>0.34100000000000003</v>
      </c>
      <c r="AL1015" s="5">
        <v>0.219</v>
      </c>
      <c r="AM1015" s="5">
        <v>0.29199999999999998</v>
      </c>
      <c r="AN1015">
        <v>-0.3</v>
      </c>
      <c r="AO1015">
        <v>1.44</v>
      </c>
      <c r="AP1015">
        <v>5.07</v>
      </c>
      <c r="AQ1015">
        <v>-8.14</v>
      </c>
      <c r="AR1015">
        <v>-13.5</v>
      </c>
      <c r="AS1015" t="s">
        <v>4957</v>
      </c>
      <c r="AT1015">
        <v>-1.5</v>
      </c>
      <c r="AU1015">
        <v>-2</v>
      </c>
      <c r="AV1015">
        <v>7</v>
      </c>
      <c r="AW1015">
        <v>22</v>
      </c>
      <c r="AX1015">
        <v>12</v>
      </c>
      <c r="AY1015">
        <v>25</v>
      </c>
      <c r="AZ1015" t="s">
        <v>4795</v>
      </c>
      <c r="BA1015">
        <v>55</v>
      </c>
      <c r="BB1015" t="s">
        <v>35</v>
      </c>
      <c r="BC1015" t="s">
        <v>36</v>
      </c>
      <c r="BD1015" s="4">
        <f>HYPERLINK("http://mlb.mlb.com/team/player.jsp?player_id=518542",518542)</f>
        <v>518542</v>
      </c>
      <c r="BE1015">
        <v>380</v>
      </c>
      <c r="BF1015">
        <v>1380</v>
      </c>
      <c r="BG1015">
        <v>57</v>
      </c>
      <c r="BH1015">
        <v>52</v>
      </c>
    </row>
    <row r="1016" spans="1:60" x14ac:dyDescent="0.3">
      <c r="A1016" s="4">
        <f>HYPERLINK("http://legacy.baseballprospectus.com/p/110662",110662)</f>
        <v>110662</v>
      </c>
      <c r="B1016" t="s">
        <v>602</v>
      </c>
      <c r="C1016" t="s">
        <v>1366</v>
      </c>
      <c r="D1016" s="10">
        <v>35595</v>
      </c>
      <c r="E1016" t="s">
        <v>57</v>
      </c>
      <c r="F1016" t="s">
        <v>9</v>
      </c>
      <c r="G1016" t="s">
        <v>33</v>
      </c>
      <c r="H1016">
        <v>78</v>
      </c>
      <c r="I1016">
        <v>250</v>
      </c>
      <c r="J1016">
        <v>2018</v>
      </c>
      <c r="K1016" s="4" t="str">
        <f>HYPERLINK("http://legacy.baseballprospectus.com/fantasy/dc/index.php?tm=DET","DET")</f>
        <v>DET</v>
      </c>
      <c r="L1016" t="s">
        <v>95</v>
      </c>
      <c r="M1016" t="s">
        <v>34</v>
      </c>
      <c r="N1016">
        <v>21</v>
      </c>
      <c r="O1016">
        <v>250</v>
      </c>
      <c r="P1016" t="s">
        <v>1680</v>
      </c>
      <c r="Q1016">
        <v>229</v>
      </c>
      <c r="R1016">
        <v>22</v>
      </c>
      <c r="S1016">
        <v>30</v>
      </c>
      <c r="T1016">
        <v>9</v>
      </c>
      <c r="U1016">
        <v>1</v>
      </c>
      <c r="V1016">
        <v>6</v>
      </c>
      <c r="W1016">
        <v>46</v>
      </c>
      <c r="X1016">
        <v>75</v>
      </c>
      <c r="Y1016">
        <v>26</v>
      </c>
      <c r="Z1016">
        <v>17</v>
      </c>
      <c r="AA1016">
        <v>1</v>
      </c>
      <c r="AB1016">
        <v>2</v>
      </c>
      <c r="AC1016">
        <v>78</v>
      </c>
      <c r="AD1016">
        <v>1</v>
      </c>
      <c r="AE1016">
        <v>2</v>
      </c>
      <c r="AF1016">
        <v>6</v>
      </c>
      <c r="AG1016">
        <v>1</v>
      </c>
      <c r="AH1016">
        <v>0</v>
      </c>
      <c r="AI1016" s="5">
        <v>0.2</v>
      </c>
      <c r="AJ1016" s="5">
        <v>0.25800000000000001</v>
      </c>
      <c r="AK1016" s="5">
        <v>0.32900000000000001</v>
      </c>
      <c r="AL1016" s="5">
        <v>0.19400000000000001</v>
      </c>
      <c r="AM1016" s="5">
        <v>0.27</v>
      </c>
      <c r="AN1016">
        <v>-0.3</v>
      </c>
      <c r="AO1016">
        <v>-0.77</v>
      </c>
      <c r="AP1016">
        <v>7</v>
      </c>
      <c r="AQ1016">
        <v>-17.28</v>
      </c>
      <c r="AR1016">
        <v>-2.2000000000000002</v>
      </c>
      <c r="AS1016" t="s">
        <v>4935</v>
      </c>
      <c r="AT1016">
        <v>-1.5</v>
      </c>
      <c r="AU1016">
        <v>-11.4</v>
      </c>
      <c r="AV1016">
        <v>1</v>
      </c>
      <c r="AW1016">
        <v>1</v>
      </c>
      <c r="AX1016">
        <v>1</v>
      </c>
      <c r="AY1016">
        <v>3</v>
      </c>
      <c r="AZ1016" t="s">
        <v>4818</v>
      </c>
      <c r="BA1016">
        <v>3</v>
      </c>
      <c r="BB1016" t="s">
        <v>36</v>
      </c>
      <c r="BC1016" t="s">
        <v>35</v>
      </c>
      <c r="BD1016" s="4">
        <f>HYPERLINK("http://mlb.mlb.com/team/player.jsp?player_id=663513",663513)</f>
        <v>663513</v>
      </c>
      <c r="BE1016">
        <v>740</v>
      </c>
      <c r="BF1016">
        <v>1740</v>
      </c>
      <c r="BG1016">
        <v>0</v>
      </c>
      <c r="BH1016">
        <v>0</v>
      </c>
    </row>
    <row r="1017" spans="1:60" x14ac:dyDescent="0.3">
      <c r="A1017" s="4">
        <f>HYPERLINK("http://legacy.baseballprospectus.com/p/102110",102110)</f>
        <v>102110</v>
      </c>
      <c r="B1017" t="s">
        <v>1422</v>
      </c>
      <c r="C1017" t="s">
        <v>304</v>
      </c>
      <c r="D1017" s="10">
        <v>35187</v>
      </c>
      <c r="E1017" t="s">
        <v>54</v>
      </c>
      <c r="F1017" t="s">
        <v>33</v>
      </c>
      <c r="G1017" t="s">
        <v>33</v>
      </c>
      <c r="H1017">
        <v>72</v>
      </c>
      <c r="I1017">
        <v>175</v>
      </c>
      <c r="J1017">
        <v>2018</v>
      </c>
      <c r="K1017" s="4" t="str">
        <f>HYPERLINK("http://legacy.baseballprospectus.com/fantasy/dc/index.php?tm=SDN","SDN")</f>
        <v>SDN</v>
      </c>
      <c r="L1017" t="s">
        <v>100</v>
      </c>
      <c r="M1017" t="s">
        <v>34</v>
      </c>
      <c r="N1017">
        <v>22</v>
      </c>
      <c r="O1017">
        <v>250</v>
      </c>
      <c r="P1017" t="s">
        <v>1680</v>
      </c>
      <c r="Q1017">
        <v>221</v>
      </c>
      <c r="R1017">
        <v>23</v>
      </c>
      <c r="S1017">
        <v>33</v>
      </c>
      <c r="T1017">
        <v>10</v>
      </c>
      <c r="U1017">
        <v>1</v>
      </c>
      <c r="V1017">
        <v>5</v>
      </c>
      <c r="W1017">
        <v>49</v>
      </c>
      <c r="X1017">
        <v>76</v>
      </c>
      <c r="Y1017">
        <v>25</v>
      </c>
      <c r="Z1017">
        <v>23</v>
      </c>
      <c r="AA1017">
        <v>2</v>
      </c>
      <c r="AB1017">
        <v>2</v>
      </c>
      <c r="AC1017">
        <v>56</v>
      </c>
      <c r="AD1017">
        <v>2</v>
      </c>
      <c r="AE1017">
        <v>1</v>
      </c>
      <c r="AF1017">
        <v>8</v>
      </c>
      <c r="AG1017">
        <v>0</v>
      </c>
      <c r="AH1017">
        <v>0</v>
      </c>
      <c r="AI1017" s="5">
        <v>0.22</v>
      </c>
      <c r="AJ1017" s="5">
        <v>0.29899999999999999</v>
      </c>
      <c r="AK1017" s="5">
        <v>0.34</v>
      </c>
      <c r="AL1017" s="5">
        <v>0.223</v>
      </c>
      <c r="AM1017" s="5">
        <v>0.26700000000000002</v>
      </c>
      <c r="AN1017">
        <v>-0.4</v>
      </c>
      <c r="AO1017">
        <v>4.76</v>
      </c>
      <c r="AP1017">
        <v>7</v>
      </c>
      <c r="AQ1017">
        <v>-9.76</v>
      </c>
      <c r="AR1017">
        <v>-16.2</v>
      </c>
      <c r="AS1017" t="s">
        <v>4936</v>
      </c>
      <c r="AT1017">
        <v>-1.6</v>
      </c>
      <c r="AU1017">
        <v>1.6</v>
      </c>
      <c r="AV1017">
        <v>10</v>
      </c>
      <c r="AW1017">
        <v>20</v>
      </c>
      <c r="AX1017">
        <v>10</v>
      </c>
      <c r="AY1017">
        <v>20</v>
      </c>
      <c r="AZ1017" t="s">
        <v>4607</v>
      </c>
      <c r="BA1017">
        <v>37</v>
      </c>
      <c r="BB1017" t="s">
        <v>36</v>
      </c>
      <c r="BC1017" t="s">
        <v>35</v>
      </c>
      <c r="BD1017" s="4">
        <f>HYPERLINK("http://mlb.mlb.com/team/player.jsp?player_id=620443",620443)</f>
        <v>620443</v>
      </c>
      <c r="BE1017">
        <v>1394</v>
      </c>
      <c r="BF1017">
        <v>394</v>
      </c>
      <c r="BG1017">
        <v>139</v>
      </c>
      <c r="BH1017">
        <v>123</v>
      </c>
    </row>
    <row r="1018" spans="1:60" x14ac:dyDescent="0.3">
      <c r="A1018" s="4">
        <f>HYPERLINK("http://legacy.baseballprospectus.com/p/106802",106802)</f>
        <v>106802</v>
      </c>
      <c r="B1018" t="s">
        <v>926</v>
      </c>
      <c r="C1018" t="s">
        <v>167</v>
      </c>
      <c r="D1018" s="10">
        <v>35983</v>
      </c>
      <c r="E1018" t="s">
        <v>51</v>
      </c>
      <c r="F1018" t="s">
        <v>33</v>
      </c>
      <c r="G1018" t="s">
        <v>33</v>
      </c>
      <c r="H1018">
        <v>73</v>
      </c>
      <c r="I1018">
        <v>190</v>
      </c>
      <c r="J1018">
        <v>2018</v>
      </c>
      <c r="K1018" s="4" t="str">
        <f>HYPERLINK("http://legacy.baseballprospectus.com/fantasy/dc/index.php?tm=TBA","TBA")</f>
        <v>TBA</v>
      </c>
      <c r="L1018" t="s">
        <v>95</v>
      </c>
      <c r="M1018" t="s">
        <v>34</v>
      </c>
      <c r="N1018">
        <v>19</v>
      </c>
      <c r="O1018">
        <v>250</v>
      </c>
      <c r="P1018" t="s">
        <v>1680</v>
      </c>
      <c r="Q1018">
        <v>232</v>
      </c>
      <c r="R1018">
        <v>20</v>
      </c>
      <c r="S1018">
        <v>27</v>
      </c>
      <c r="T1018">
        <v>8</v>
      </c>
      <c r="U1018">
        <v>1</v>
      </c>
      <c r="V1018">
        <v>6</v>
      </c>
      <c r="W1018">
        <v>42</v>
      </c>
      <c r="X1018">
        <v>70</v>
      </c>
      <c r="Y1018">
        <v>25</v>
      </c>
      <c r="Z1018">
        <v>14</v>
      </c>
      <c r="AA1018">
        <v>1</v>
      </c>
      <c r="AB1018">
        <v>2</v>
      </c>
      <c r="AC1018">
        <v>95</v>
      </c>
      <c r="AD1018">
        <v>1</v>
      </c>
      <c r="AE1018">
        <v>2</v>
      </c>
      <c r="AF1018">
        <v>6</v>
      </c>
      <c r="AG1018">
        <v>0</v>
      </c>
      <c r="AH1018">
        <v>0</v>
      </c>
      <c r="AI1018" s="5">
        <v>0.18</v>
      </c>
      <c r="AJ1018" s="5">
        <v>0.22900000000000001</v>
      </c>
      <c r="AK1018" s="5">
        <v>0.29499999999999998</v>
      </c>
      <c r="AL1018" s="5">
        <v>0.184</v>
      </c>
      <c r="AM1018" s="5">
        <v>0.26800000000000002</v>
      </c>
      <c r="AN1018">
        <v>-0.4</v>
      </c>
      <c r="AO1018">
        <v>1.45</v>
      </c>
      <c r="AP1018">
        <v>7</v>
      </c>
      <c r="AQ1018">
        <v>-19.89</v>
      </c>
      <c r="AR1018">
        <v>-3.6</v>
      </c>
      <c r="AS1018" t="s">
        <v>80</v>
      </c>
      <c r="AT1018">
        <v>-1.7</v>
      </c>
      <c r="AU1018">
        <v>-11.8</v>
      </c>
      <c r="AV1018">
        <v>0</v>
      </c>
      <c r="AW1018">
        <v>6</v>
      </c>
      <c r="AX1018">
        <v>2</v>
      </c>
      <c r="AY1018">
        <v>6</v>
      </c>
      <c r="AZ1018" t="s">
        <v>2012</v>
      </c>
      <c r="BA1018">
        <v>11</v>
      </c>
      <c r="BB1018" t="s">
        <v>36</v>
      </c>
      <c r="BC1018" t="s">
        <v>35</v>
      </c>
      <c r="BD1018" s="4">
        <f>HYPERLINK("http://mlb.mlb.com/team/player.jsp?player_id=660632",660632)</f>
        <v>660632</v>
      </c>
      <c r="BE1018">
        <v>731</v>
      </c>
      <c r="BF1018">
        <v>1731</v>
      </c>
      <c r="BG1018">
        <v>0</v>
      </c>
      <c r="BH1018">
        <v>0</v>
      </c>
    </row>
    <row r="1019" spans="1:60" x14ac:dyDescent="0.3">
      <c r="A1019" s="4">
        <f>HYPERLINK("http://legacy.baseballprospectus.com/p/108772",108772)</f>
        <v>108772</v>
      </c>
      <c r="B1019" t="s">
        <v>690</v>
      </c>
      <c r="C1019" t="s">
        <v>2011</v>
      </c>
      <c r="D1019" s="10">
        <v>35937</v>
      </c>
      <c r="E1019" t="s">
        <v>53</v>
      </c>
      <c r="F1019" t="s">
        <v>33</v>
      </c>
      <c r="G1019" t="s">
        <v>33</v>
      </c>
      <c r="H1019">
        <v>74</v>
      </c>
      <c r="I1019">
        <v>200</v>
      </c>
      <c r="J1019">
        <v>2018</v>
      </c>
      <c r="K1019" s="4" t="str">
        <f>HYPERLINK("http://legacy.baseballprospectus.com/fantasy/dc/index.php?tm=ANA","ANA")</f>
        <v>ANA</v>
      </c>
      <c r="L1019" t="s">
        <v>95</v>
      </c>
      <c r="M1019" t="s">
        <v>34</v>
      </c>
      <c r="N1019">
        <v>20</v>
      </c>
      <c r="O1019">
        <v>250</v>
      </c>
      <c r="P1019" t="s">
        <v>1680</v>
      </c>
      <c r="Q1019">
        <v>236</v>
      </c>
      <c r="R1019">
        <v>21</v>
      </c>
      <c r="S1019">
        <v>30</v>
      </c>
      <c r="T1019">
        <v>8</v>
      </c>
      <c r="U1019">
        <v>0</v>
      </c>
      <c r="V1019">
        <v>5</v>
      </c>
      <c r="W1019">
        <v>43</v>
      </c>
      <c r="X1019">
        <v>66</v>
      </c>
      <c r="Y1019">
        <v>23</v>
      </c>
      <c r="Z1019">
        <v>11</v>
      </c>
      <c r="AA1019">
        <v>1</v>
      </c>
      <c r="AB1019">
        <v>1</v>
      </c>
      <c r="AC1019">
        <v>89</v>
      </c>
      <c r="AD1019">
        <v>1</v>
      </c>
      <c r="AE1019">
        <v>1</v>
      </c>
      <c r="AF1019">
        <v>7</v>
      </c>
      <c r="AG1019">
        <v>4</v>
      </c>
      <c r="AH1019">
        <v>2</v>
      </c>
      <c r="AI1019" s="5">
        <v>0.183</v>
      </c>
      <c r="AJ1019" s="5">
        <v>0.221</v>
      </c>
      <c r="AK1019" s="5">
        <v>0.28999999999999998</v>
      </c>
      <c r="AL1019" s="5">
        <v>0.17399999999999999</v>
      </c>
      <c r="AM1019" s="5">
        <v>0.26300000000000001</v>
      </c>
      <c r="AN1019">
        <v>0.1</v>
      </c>
      <c r="AO1019">
        <v>3.82</v>
      </c>
      <c r="AP1019">
        <v>7</v>
      </c>
      <c r="AQ1019">
        <v>-22.49</v>
      </c>
      <c r="AR1019">
        <v>-3.8</v>
      </c>
      <c r="AS1019" t="s">
        <v>2175</v>
      </c>
      <c r="AT1019">
        <v>-1.7</v>
      </c>
      <c r="AU1019">
        <v>-11.6</v>
      </c>
      <c r="AV1019">
        <v>0</v>
      </c>
      <c r="AW1019">
        <v>2</v>
      </c>
      <c r="AX1019">
        <v>0</v>
      </c>
      <c r="AY1019">
        <v>1</v>
      </c>
      <c r="AZ1019" t="s">
        <v>4821</v>
      </c>
      <c r="BA1019">
        <v>3</v>
      </c>
      <c r="BB1019" t="s">
        <v>36</v>
      </c>
      <c r="BC1019" t="s">
        <v>35</v>
      </c>
      <c r="BD1019" s="4">
        <f>HYPERLINK("http://mlb.mlb.com/team/player.jsp?player_id=666170",666170)</f>
        <v>666170</v>
      </c>
      <c r="BE1019">
        <v>0</v>
      </c>
      <c r="BF1019">
        <v>0</v>
      </c>
      <c r="BG1019">
        <v>0</v>
      </c>
      <c r="BH1019">
        <v>0</v>
      </c>
    </row>
    <row r="1020" spans="1:60" x14ac:dyDescent="0.3">
      <c r="A1020" s="4">
        <f>HYPERLINK("http://legacy.baseballprospectus.com/p/110038",110038)</f>
        <v>110038</v>
      </c>
      <c r="B1020" t="s">
        <v>1183</v>
      </c>
      <c r="C1020" t="s">
        <v>4822</v>
      </c>
      <c r="D1020" s="10">
        <v>36348</v>
      </c>
      <c r="E1020" t="s">
        <v>65</v>
      </c>
      <c r="F1020" t="s">
        <v>33</v>
      </c>
      <c r="G1020" t="s">
        <v>33</v>
      </c>
      <c r="H1020">
        <v>75</v>
      </c>
      <c r="I1020">
        <v>175</v>
      </c>
      <c r="J1020">
        <v>2018</v>
      </c>
      <c r="K1020" s="4" t="str">
        <f>HYPERLINK("http://legacy.baseballprospectus.com/fantasy/dc/index.php?tm=CLE","CLE")</f>
        <v>CLE</v>
      </c>
      <c r="L1020" t="s">
        <v>95</v>
      </c>
      <c r="M1020" t="s">
        <v>34</v>
      </c>
      <c r="N1020">
        <v>18</v>
      </c>
      <c r="O1020">
        <v>250</v>
      </c>
      <c r="P1020" t="s">
        <v>1680</v>
      </c>
      <c r="Q1020">
        <v>236</v>
      </c>
      <c r="R1020">
        <v>25</v>
      </c>
      <c r="S1020">
        <v>28</v>
      </c>
      <c r="T1020">
        <v>9</v>
      </c>
      <c r="U1020">
        <v>1</v>
      </c>
      <c r="V1020">
        <v>5</v>
      </c>
      <c r="W1020">
        <v>43</v>
      </c>
      <c r="X1020">
        <v>69</v>
      </c>
      <c r="Y1020">
        <v>20</v>
      </c>
      <c r="Z1020">
        <v>11</v>
      </c>
      <c r="AA1020">
        <v>1</v>
      </c>
      <c r="AB1020">
        <v>1</v>
      </c>
      <c r="AC1020">
        <v>97</v>
      </c>
      <c r="AD1020">
        <v>1</v>
      </c>
      <c r="AE1020">
        <v>1</v>
      </c>
      <c r="AF1020">
        <v>6</v>
      </c>
      <c r="AG1020">
        <v>3</v>
      </c>
      <c r="AH1020">
        <v>2</v>
      </c>
      <c r="AI1020" s="5">
        <v>0.18099999999999999</v>
      </c>
      <c r="AJ1020" s="5">
        <v>0.218</v>
      </c>
      <c r="AK1020" s="5">
        <v>0.29099999999999998</v>
      </c>
      <c r="AL1020" s="5">
        <v>0.17100000000000001</v>
      </c>
      <c r="AM1020" s="5">
        <v>0.27400000000000002</v>
      </c>
      <c r="AN1020">
        <v>-0.2</v>
      </c>
      <c r="AO1020">
        <v>3.2</v>
      </c>
      <c r="AP1020">
        <v>7</v>
      </c>
      <c r="AQ1020">
        <v>-23.43</v>
      </c>
      <c r="AR1020">
        <v>-3.2</v>
      </c>
      <c r="AS1020" t="s">
        <v>1046</v>
      </c>
      <c r="AT1020">
        <v>-1.8</v>
      </c>
      <c r="AU1020">
        <v>-13.4</v>
      </c>
      <c r="AV1020">
        <v>0</v>
      </c>
      <c r="AW1020">
        <v>0</v>
      </c>
      <c r="AX1020">
        <v>0</v>
      </c>
      <c r="AY1020">
        <v>0</v>
      </c>
      <c r="AZ1020" t="s">
        <v>1886</v>
      </c>
      <c r="BA1020">
        <v>0</v>
      </c>
      <c r="BB1020" t="s">
        <v>36</v>
      </c>
      <c r="BC1020" t="s">
        <v>35</v>
      </c>
      <c r="BD1020" s="4">
        <f>HYPERLINK("http://mlb.mlb.com/team/player.jsp?player_id=668950",668950)</f>
        <v>668950</v>
      </c>
      <c r="BE1020">
        <v>650</v>
      </c>
      <c r="BF1020">
        <v>1650</v>
      </c>
      <c r="BG1020">
        <v>0</v>
      </c>
      <c r="BH1020">
        <v>0</v>
      </c>
    </row>
    <row r="1021" spans="1:60" x14ac:dyDescent="0.3">
      <c r="A1021" s="4"/>
      <c r="K1021" s="4"/>
      <c r="BD1021" s="4"/>
    </row>
    <row r="1022" spans="1:60" x14ac:dyDescent="0.3">
      <c r="A1022" s="4"/>
      <c r="K1022" s="4"/>
      <c r="BD1022" s="4"/>
    </row>
    <row r="1023" spans="1:60" x14ac:dyDescent="0.3">
      <c r="A1023" s="4"/>
      <c r="K1023" s="4"/>
      <c r="BD1023" s="4"/>
    </row>
    <row r="1024" spans="1:60" x14ac:dyDescent="0.3">
      <c r="A1024" s="4"/>
      <c r="K1024" s="4"/>
      <c r="BD1024" s="4"/>
    </row>
    <row r="1025" spans="1:56" x14ac:dyDescent="0.3">
      <c r="A1025" s="4"/>
      <c r="K1025" s="4"/>
      <c r="BD1025" s="4"/>
    </row>
    <row r="1026" spans="1:56" x14ac:dyDescent="0.3">
      <c r="A1026" s="4"/>
      <c r="K1026" s="4"/>
      <c r="BD1026" s="4"/>
    </row>
    <row r="1027" spans="1:56" x14ac:dyDescent="0.3">
      <c r="A1027" s="4"/>
      <c r="K1027" s="4"/>
      <c r="BD1027" s="4"/>
    </row>
    <row r="1028" spans="1:56" x14ac:dyDescent="0.3">
      <c r="A1028" s="4"/>
      <c r="K1028" s="4"/>
      <c r="BD1028" s="4"/>
    </row>
    <row r="1029" spans="1:56" x14ac:dyDescent="0.3">
      <c r="A1029" s="4"/>
      <c r="K1029" s="4"/>
      <c r="BD1029" s="4"/>
    </row>
    <row r="1030" spans="1:56" x14ac:dyDescent="0.3">
      <c r="A1030" s="4"/>
      <c r="K1030" s="4"/>
      <c r="BD1030" s="4"/>
    </row>
    <row r="1031" spans="1:56" x14ac:dyDescent="0.3">
      <c r="A1031" s="4"/>
      <c r="K1031" s="4"/>
      <c r="BD1031" s="4"/>
    </row>
    <row r="1032" spans="1:56" x14ac:dyDescent="0.3">
      <c r="A1032" s="4"/>
      <c r="K1032" s="4"/>
      <c r="BD1032" s="4"/>
    </row>
    <row r="1033" spans="1:56" x14ac:dyDescent="0.3">
      <c r="A1033" s="4"/>
      <c r="K1033" s="4"/>
      <c r="BD1033" s="4"/>
    </row>
    <row r="1034" spans="1:56" x14ac:dyDescent="0.3">
      <c r="A1034" s="4"/>
      <c r="K1034" s="4"/>
      <c r="BD1034" s="4"/>
    </row>
    <row r="1035" spans="1:56" x14ac:dyDescent="0.3">
      <c r="A1035" s="4"/>
      <c r="K1035" s="4"/>
      <c r="BD1035" s="4"/>
    </row>
    <row r="1036" spans="1:56" x14ac:dyDescent="0.3">
      <c r="A1036" s="4"/>
      <c r="K1036" s="4"/>
      <c r="BD1036" s="4"/>
    </row>
    <row r="1037" spans="1:56" x14ac:dyDescent="0.3">
      <c r="A1037" s="4"/>
      <c r="K1037" s="4"/>
      <c r="BD1037" s="4"/>
    </row>
    <row r="1038" spans="1:56" x14ac:dyDescent="0.3">
      <c r="A1038" s="4"/>
      <c r="K1038" s="4"/>
      <c r="BD1038" s="4"/>
    </row>
    <row r="1039" spans="1:56" x14ac:dyDescent="0.3">
      <c r="A1039" s="4"/>
      <c r="K1039" s="4"/>
      <c r="BD1039" s="4"/>
    </row>
    <row r="1040" spans="1:56" x14ac:dyDescent="0.3">
      <c r="A1040" s="4"/>
      <c r="K1040" s="4"/>
      <c r="BD1040" s="4"/>
    </row>
    <row r="1041" spans="1:56" x14ac:dyDescent="0.3">
      <c r="A1041" s="4"/>
      <c r="K1041" s="4"/>
      <c r="BD1041" s="4"/>
    </row>
    <row r="1042" spans="1:56" x14ac:dyDescent="0.3">
      <c r="A1042" s="4"/>
      <c r="K1042" s="4"/>
      <c r="BD1042" s="4"/>
    </row>
    <row r="1043" spans="1:56" x14ac:dyDescent="0.3">
      <c r="A1043" s="4"/>
      <c r="K1043" s="4"/>
      <c r="BD1043" s="4"/>
    </row>
    <row r="1044" spans="1:56" x14ac:dyDescent="0.3">
      <c r="A1044" s="4"/>
      <c r="K1044" s="4"/>
      <c r="BD1044" s="4"/>
    </row>
    <row r="1045" spans="1:56" x14ac:dyDescent="0.3">
      <c r="A1045" s="4"/>
      <c r="K1045" s="4"/>
      <c r="BD1045" s="4"/>
    </row>
    <row r="1046" spans="1:56" x14ac:dyDescent="0.3">
      <c r="A1046" s="4"/>
      <c r="K1046" s="4"/>
      <c r="BD1046" s="4"/>
    </row>
    <row r="1047" spans="1:56" x14ac:dyDescent="0.3">
      <c r="A1047" s="4"/>
      <c r="K1047" s="4"/>
      <c r="BD1047" s="4"/>
    </row>
    <row r="1048" spans="1:56" x14ac:dyDescent="0.3">
      <c r="A1048" s="4"/>
      <c r="K1048" s="4"/>
      <c r="BD1048" s="4"/>
    </row>
    <row r="1049" spans="1:56" x14ac:dyDescent="0.3">
      <c r="A1049" s="4"/>
      <c r="K1049" s="4"/>
      <c r="BD1049" s="4"/>
    </row>
    <row r="1050" spans="1:56" x14ac:dyDescent="0.3">
      <c r="A1050" s="4"/>
      <c r="K1050" s="4"/>
      <c r="BD1050" s="4"/>
    </row>
    <row r="1051" spans="1:56" x14ac:dyDescent="0.3">
      <c r="A1051" s="4"/>
      <c r="K1051" s="4"/>
      <c r="BD1051" s="4"/>
    </row>
    <row r="1052" spans="1:56" x14ac:dyDescent="0.3">
      <c r="A1052" s="4"/>
      <c r="K1052" s="4"/>
      <c r="BD1052" s="4"/>
    </row>
    <row r="1053" spans="1:56" x14ac:dyDescent="0.3">
      <c r="A1053" s="4"/>
      <c r="K1053" s="4"/>
      <c r="BD1053" s="4"/>
    </row>
    <row r="1054" spans="1:56" x14ac:dyDescent="0.3">
      <c r="A1054" s="4"/>
      <c r="K1054" s="4"/>
      <c r="BD1054" s="4"/>
    </row>
    <row r="1055" spans="1:56" x14ac:dyDescent="0.3">
      <c r="A1055" s="4"/>
      <c r="K1055" s="4"/>
      <c r="BD1055" s="4"/>
    </row>
    <row r="1056" spans="1:56" x14ac:dyDescent="0.3">
      <c r="A1056" s="4"/>
      <c r="K1056" s="4"/>
      <c r="BD1056" s="4"/>
    </row>
    <row r="1057" spans="1:56" x14ac:dyDescent="0.3">
      <c r="A1057" s="4"/>
      <c r="K1057" s="4"/>
      <c r="BD1057" s="4"/>
    </row>
    <row r="1058" spans="1:56" x14ac:dyDescent="0.3">
      <c r="A1058" s="4"/>
      <c r="K1058" s="4"/>
      <c r="BD1058" s="4"/>
    </row>
    <row r="1059" spans="1:56" x14ac:dyDescent="0.3">
      <c r="A1059" s="4"/>
      <c r="K1059" s="4"/>
      <c r="BD1059" s="4"/>
    </row>
    <row r="1060" spans="1:56" x14ac:dyDescent="0.3">
      <c r="A1060" s="4"/>
      <c r="K1060" s="4"/>
      <c r="BD1060" s="4"/>
    </row>
    <row r="1061" spans="1:56" x14ac:dyDescent="0.3">
      <c r="A1061" s="4"/>
      <c r="K1061" s="4"/>
      <c r="BD1061" s="4"/>
    </row>
    <row r="1062" spans="1:56" x14ac:dyDescent="0.3">
      <c r="A1062" s="4"/>
      <c r="K1062" s="4"/>
      <c r="BD1062" s="4"/>
    </row>
    <row r="1063" spans="1:56" x14ac:dyDescent="0.3">
      <c r="A1063" s="4"/>
      <c r="K1063" s="4"/>
      <c r="BD1063" s="4"/>
    </row>
    <row r="1064" spans="1:56" x14ac:dyDescent="0.3">
      <c r="A1064" s="4"/>
      <c r="K1064" s="4"/>
      <c r="BD1064" s="4"/>
    </row>
    <row r="1065" spans="1:56" x14ac:dyDescent="0.3">
      <c r="A1065" s="4"/>
      <c r="K1065" s="4"/>
      <c r="BD1065" s="4"/>
    </row>
    <row r="1066" spans="1:56" x14ac:dyDescent="0.3">
      <c r="A1066" s="4"/>
      <c r="K1066" s="4"/>
      <c r="BD1066" s="4"/>
    </row>
    <row r="1067" spans="1:56" x14ac:dyDescent="0.3">
      <c r="A1067" s="4"/>
      <c r="K1067" s="4"/>
      <c r="BD1067" s="4"/>
    </row>
    <row r="1068" spans="1:56" x14ac:dyDescent="0.3">
      <c r="A1068" s="4"/>
      <c r="K1068" s="4"/>
      <c r="BD1068" s="4"/>
    </row>
    <row r="1069" spans="1:56" x14ac:dyDescent="0.3">
      <c r="A1069" s="4"/>
      <c r="K1069" s="4"/>
      <c r="BD1069" s="4"/>
    </row>
    <row r="1070" spans="1:56" x14ac:dyDescent="0.3">
      <c r="A1070" s="4"/>
      <c r="K1070" s="4"/>
      <c r="BD1070" s="4"/>
    </row>
    <row r="1071" spans="1:56" x14ac:dyDescent="0.3">
      <c r="A1071" s="4"/>
      <c r="K1071" s="4"/>
      <c r="BD1071" s="4"/>
    </row>
    <row r="1072" spans="1:56" x14ac:dyDescent="0.3">
      <c r="A1072" s="4"/>
      <c r="K1072" s="4"/>
      <c r="BD1072" s="4"/>
    </row>
    <row r="1073" spans="1:56" x14ac:dyDescent="0.3">
      <c r="A1073" s="4"/>
      <c r="K1073" s="4"/>
      <c r="BD1073" s="4"/>
    </row>
    <row r="1074" spans="1:56" x14ac:dyDescent="0.3">
      <c r="A1074" s="4"/>
      <c r="K1074" s="4"/>
      <c r="BD1074" s="4"/>
    </row>
    <row r="1075" spans="1:56" x14ac:dyDescent="0.3">
      <c r="A1075" s="4"/>
      <c r="K1075" s="4"/>
      <c r="BD1075" s="4"/>
    </row>
    <row r="1076" spans="1:56" x14ac:dyDescent="0.3">
      <c r="A1076" s="4"/>
      <c r="K1076" s="4"/>
      <c r="BD1076" s="4"/>
    </row>
    <row r="1077" spans="1:56" x14ac:dyDescent="0.3">
      <c r="A1077" s="4"/>
      <c r="K1077" s="4"/>
      <c r="BD1077" s="4"/>
    </row>
    <row r="1078" spans="1:56" x14ac:dyDescent="0.3">
      <c r="A1078" s="4"/>
      <c r="K1078" s="4"/>
      <c r="BD1078" s="4"/>
    </row>
    <row r="1079" spans="1:56" x14ac:dyDescent="0.3">
      <c r="A1079" s="4"/>
      <c r="K1079" s="4"/>
      <c r="BD1079" s="4"/>
    </row>
    <row r="1080" spans="1:56" x14ac:dyDescent="0.3">
      <c r="A1080" s="4"/>
      <c r="K1080" s="4"/>
      <c r="BD1080" s="4"/>
    </row>
    <row r="1081" spans="1:56" x14ac:dyDescent="0.3">
      <c r="A1081" s="4"/>
      <c r="K1081" s="4"/>
      <c r="BD1081" s="4"/>
    </row>
    <row r="1082" spans="1:56" x14ac:dyDescent="0.3">
      <c r="A1082" s="4"/>
      <c r="K1082" s="4"/>
      <c r="BD1082" s="4"/>
    </row>
    <row r="1083" spans="1:56" x14ac:dyDescent="0.3">
      <c r="A1083" s="4"/>
      <c r="K1083" s="4"/>
      <c r="BD1083" s="4"/>
    </row>
    <row r="1084" spans="1:56" x14ac:dyDescent="0.3">
      <c r="A1084" s="4"/>
      <c r="K1084" s="4"/>
      <c r="BD1084" s="4"/>
    </row>
    <row r="1085" spans="1:56" x14ac:dyDescent="0.3">
      <c r="A1085" s="4"/>
      <c r="K1085" s="4"/>
      <c r="BD1085" s="4"/>
    </row>
    <row r="1086" spans="1:56" x14ac:dyDescent="0.3">
      <c r="A1086" s="4"/>
      <c r="K1086" s="4"/>
      <c r="BD1086" s="4"/>
    </row>
    <row r="1087" spans="1:56" x14ac:dyDescent="0.3">
      <c r="A1087" s="4"/>
      <c r="K1087" s="4"/>
      <c r="BD1087" s="4"/>
    </row>
    <row r="1088" spans="1:56" x14ac:dyDescent="0.3">
      <c r="A1088" s="4"/>
      <c r="K1088" s="4"/>
      <c r="BD1088" s="4"/>
    </row>
    <row r="1089" spans="1:56" x14ac:dyDescent="0.3">
      <c r="A1089" s="4"/>
      <c r="K1089" s="4"/>
      <c r="BD1089" s="4"/>
    </row>
    <row r="1090" spans="1:56" x14ac:dyDescent="0.3">
      <c r="A1090" s="4"/>
      <c r="K1090" s="4"/>
      <c r="BD1090" s="4"/>
    </row>
    <row r="1091" spans="1:56" x14ac:dyDescent="0.3">
      <c r="A1091" s="4"/>
      <c r="K1091" s="4"/>
      <c r="BD1091" s="4"/>
    </row>
    <row r="1092" spans="1:56" x14ac:dyDescent="0.3">
      <c r="A1092" s="4"/>
      <c r="K1092" s="4"/>
      <c r="BD1092" s="4"/>
    </row>
    <row r="1093" spans="1:56" x14ac:dyDescent="0.3">
      <c r="A1093" s="4"/>
      <c r="K1093" s="4"/>
      <c r="BD1093" s="4"/>
    </row>
    <row r="1094" spans="1:56" x14ac:dyDescent="0.3">
      <c r="A1094" s="4"/>
      <c r="K1094" s="4"/>
      <c r="BD1094" s="4"/>
    </row>
    <row r="1095" spans="1:56" x14ac:dyDescent="0.3">
      <c r="A1095" s="4"/>
      <c r="K1095" s="4"/>
      <c r="BD1095" s="4"/>
    </row>
    <row r="1096" spans="1:56" x14ac:dyDescent="0.3">
      <c r="A1096" s="4"/>
      <c r="K1096" s="4"/>
      <c r="BD1096" s="4"/>
    </row>
    <row r="1097" spans="1:56" x14ac:dyDescent="0.3">
      <c r="A1097" s="4"/>
      <c r="K1097" s="4"/>
      <c r="BD1097" s="4"/>
    </row>
    <row r="1098" spans="1:56" x14ac:dyDescent="0.3">
      <c r="A1098" s="4"/>
      <c r="K1098" s="4"/>
      <c r="BD1098" s="4"/>
    </row>
    <row r="1099" spans="1:56" x14ac:dyDescent="0.3">
      <c r="A1099" s="4"/>
      <c r="K1099" s="4"/>
      <c r="BD1099" s="4"/>
    </row>
    <row r="1100" spans="1:56" x14ac:dyDescent="0.3">
      <c r="A1100" s="4"/>
      <c r="K1100" s="4"/>
      <c r="BD1100" s="4"/>
    </row>
    <row r="1101" spans="1:56" x14ac:dyDescent="0.3">
      <c r="A1101" s="4"/>
      <c r="K1101" s="4"/>
      <c r="BD1101" s="4"/>
    </row>
    <row r="1102" spans="1:56" x14ac:dyDescent="0.3">
      <c r="A1102" s="4"/>
      <c r="K1102" s="4"/>
      <c r="BD1102" s="4"/>
    </row>
    <row r="1103" spans="1:56" x14ac:dyDescent="0.3">
      <c r="A1103" s="4"/>
      <c r="K1103" s="4"/>
      <c r="BD1103" s="4"/>
    </row>
    <row r="1104" spans="1:56" x14ac:dyDescent="0.3">
      <c r="A1104" s="4"/>
      <c r="K1104" s="4"/>
      <c r="BD1104" s="4"/>
    </row>
    <row r="1105" spans="1:56" x14ac:dyDescent="0.3">
      <c r="A1105" s="4"/>
      <c r="K1105" s="4"/>
      <c r="BD1105" s="4"/>
    </row>
    <row r="1106" spans="1:56" x14ac:dyDescent="0.3">
      <c r="BD1106" s="4"/>
    </row>
    <row r="1107" spans="1:56" x14ac:dyDescent="0.3">
      <c r="BD1107" s="4"/>
    </row>
    <row r="1108" spans="1:56" x14ac:dyDescent="0.3">
      <c r="BD1108" s="4"/>
    </row>
    <row r="1109" spans="1:56" x14ac:dyDescent="0.3">
      <c r="BD1109" s="4"/>
    </row>
    <row r="1110" spans="1:56" x14ac:dyDescent="0.3">
      <c r="BD1110" s="4"/>
    </row>
    <row r="1111" spans="1:56" x14ac:dyDescent="0.3">
      <c r="BD1111" s="4"/>
    </row>
    <row r="1112" spans="1:56" x14ac:dyDescent="0.3">
      <c r="BD1112" s="4"/>
    </row>
    <row r="1113" spans="1:56" x14ac:dyDescent="0.3">
      <c r="BD1113" s="4"/>
    </row>
    <row r="1114" spans="1:56" x14ac:dyDescent="0.3">
      <c r="BD1114" s="4"/>
    </row>
    <row r="1115" spans="1:56" x14ac:dyDescent="0.3">
      <c r="BD1115" s="4"/>
    </row>
    <row r="1116" spans="1:56" x14ac:dyDescent="0.3">
      <c r="BD1116" s="4"/>
    </row>
    <row r="1117" spans="1:56" x14ac:dyDescent="0.3">
      <c r="BD1117" s="4"/>
    </row>
    <row r="1118" spans="1:56" x14ac:dyDescent="0.3">
      <c r="BD1118" s="4"/>
    </row>
    <row r="1119" spans="1:56" x14ac:dyDescent="0.3">
      <c r="BD1119" s="4"/>
    </row>
    <row r="1120" spans="1:56" x14ac:dyDescent="0.3">
      <c r="BD1120" s="4"/>
    </row>
    <row r="1121" spans="56:56" x14ac:dyDescent="0.3">
      <c r="BD1121" s="4"/>
    </row>
    <row r="1122" spans="56:56" x14ac:dyDescent="0.3">
      <c r="BD1122" s="4"/>
    </row>
    <row r="1123" spans="56:56" x14ac:dyDescent="0.3">
      <c r="BD1123" s="4"/>
    </row>
    <row r="1124" spans="56:56" x14ac:dyDescent="0.3">
      <c r="BD1124" s="4"/>
    </row>
    <row r="1125" spans="56:56" x14ac:dyDescent="0.3">
      <c r="BD1125" s="4"/>
    </row>
    <row r="1126" spans="56:56" x14ac:dyDescent="0.3">
      <c r="BD1126" s="4"/>
    </row>
    <row r="1127" spans="56:56" x14ac:dyDescent="0.3">
      <c r="BD1127" s="4"/>
    </row>
    <row r="1128" spans="56:56" x14ac:dyDescent="0.3">
      <c r="BD1128" s="4"/>
    </row>
    <row r="1129" spans="56:56" x14ac:dyDescent="0.3">
      <c r="BD1129" s="4"/>
    </row>
    <row r="1130" spans="56:56" x14ac:dyDescent="0.3">
      <c r="BD1130" s="4"/>
    </row>
    <row r="1131" spans="56:56" x14ac:dyDescent="0.3">
      <c r="BD1131" s="4"/>
    </row>
    <row r="1132" spans="56:56" x14ac:dyDescent="0.3">
      <c r="BD1132" s="4"/>
    </row>
    <row r="1133" spans="56:56" x14ac:dyDescent="0.3">
      <c r="BD1133" s="4"/>
    </row>
    <row r="1134" spans="56:56" x14ac:dyDescent="0.3">
      <c r="BD1134" s="4"/>
    </row>
    <row r="1135" spans="56:56" x14ac:dyDescent="0.3">
      <c r="BD1135" s="4"/>
    </row>
    <row r="1136" spans="56:56" x14ac:dyDescent="0.3">
      <c r="BD1136" s="4"/>
    </row>
    <row r="1137" spans="56:56" x14ac:dyDescent="0.3">
      <c r="BD1137" s="4"/>
    </row>
    <row r="1138" spans="56:56" x14ac:dyDescent="0.3">
      <c r="BD1138" s="4"/>
    </row>
    <row r="1139" spans="56:56" x14ac:dyDescent="0.3">
      <c r="BD1139" s="4"/>
    </row>
    <row r="1140" spans="56:56" x14ac:dyDescent="0.3">
      <c r="BD1140" s="4"/>
    </row>
    <row r="1141" spans="56:56" x14ac:dyDescent="0.3">
      <c r="BD1141" s="4"/>
    </row>
    <row r="1142" spans="56:56" x14ac:dyDescent="0.3">
      <c r="BD1142" s="4"/>
    </row>
    <row r="1143" spans="56:56" x14ac:dyDescent="0.3">
      <c r="BD1143" s="4"/>
    </row>
    <row r="1144" spans="56:56" x14ac:dyDescent="0.3">
      <c r="BD1144" s="4"/>
    </row>
    <row r="1145" spans="56:56" x14ac:dyDescent="0.3">
      <c r="BD1145" s="4"/>
    </row>
    <row r="1146" spans="56:56" x14ac:dyDescent="0.3">
      <c r="BD1146" s="4"/>
    </row>
    <row r="1147" spans="56:56" x14ac:dyDescent="0.3">
      <c r="BD1147" s="4"/>
    </row>
    <row r="1148" spans="56:56" x14ac:dyDescent="0.3">
      <c r="BD1148" s="4"/>
    </row>
    <row r="1149" spans="56:56" x14ac:dyDescent="0.3">
      <c r="BD1149" s="4"/>
    </row>
    <row r="1150" spans="56:56" x14ac:dyDescent="0.3">
      <c r="BD1150" s="4"/>
    </row>
    <row r="1151" spans="56:56" x14ac:dyDescent="0.3">
      <c r="BD1151" s="4"/>
    </row>
    <row r="1152" spans="56:56" x14ac:dyDescent="0.3">
      <c r="BD1152" s="4"/>
    </row>
    <row r="1153" spans="56:56" x14ac:dyDescent="0.3">
      <c r="BD1153" s="4"/>
    </row>
    <row r="1154" spans="56:56" x14ac:dyDescent="0.3">
      <c r="BD1154" s="4"/>
    </row>
    <row r="1155" spans="56:56" x14ac:dyDescent="0.3">
      <c r="BD1155" s="4"/>
    </row>
    <row r="1156" spans="56:56" x14ac:dyDescent="0.3">
      <c r="BD1156" s="4"/>
    </row>
    <row r="1157" spans="56:56" x14ac:dyDescent="0.3">
      <c r="BD1157" s="4"/>
    </row>
    <row r="1158" spans="56:56" x14ac:dyDescent="0.3">
      <c r="BD1158" s="4"/>
    </row>
    <row r="1159" spans="56:56" x14ac:dyDescent="0.3">
      <c r="BD1159" s="4"/>
    </row>
    <row r="1160" spans="56:56" x14ac:dyDescent="0.3">
      <c r="BD1160" s="4"/>
    </row>
    <row r="1161" spans="56:56" x14ac:dyDescent="0.3">
      <c r="BD1161" s="4"/>
    </row>
    <row r="1162" spans="56:56" x14ac:dyDescent="0.3">
      <c r="BD1162" s="4"/>
    </row>
    <row r="1163" spans="56:56" x14ac:dyDescent="0.3">
      <c r="BD1163" s="4"/>
    </row>
    <row r="1164" spans="56:56" x14ac:dyDescent="0.3">
      <c r="BD1164" s="4"/>
    </row>
    <row r="1165" spans="56:56" x14ac:dyDescent="0.3">
      <c r="BD1165" s="4"/>
    </row>
    <row r="1166" spans="56:56" x14ac:dyDescent="0.3">
      <c r="BD1166" s="4"/>
    </row>
    <row r="1167" spans="56:56" x14ac:dyDescent="0.3">
      <c r="BD1167" s="4"/>
    </row>
    <row r="1168" spans="56:56" x14ac:dyDescent="0.3">
      <c r="BD1168" s="4"/>
    </row>
    <row r="1169" spans="56:56" x14ac:dyDescent="0.3">
      <c r="BD1169" s="4"/>
    </row>
    <row r="1170" spans="56:56" x14ac:dyDescent="0.3">
      <c r="BD1170" s="4"/>
    </row>
    <row r="1171" spans="56:56" x14ac:dyDescent="0.3">
      <c r="BD1171" s="4"/>
    </row>
    <row r="1172" spans="56:56" x14ac:dyDescent="0.3">
      <c r="BD1172" s="4"/>
    </row>
    <row r="1173" spans="56:56" x14ac:dyDescent="0.3">
      <c r="BD1173" s="4"/>
    </row>
    <row r="1174" spans="56:56" x14ac:dyDescent="0.3">
      <c r="BD1174" s="4"/>
    </row>
    <row r="1175" spans="56:56" x14ac:dyDescent="0.3">
      <c r="BD1175" s="4"/>
    </row>
    <row r="1176" spans="56:56" x14ac:dyDescent="0.3">
      <c r="BD1176" s="4"/>
    </row>
    <row r="1177" spans="56:56" x14ac:dyDescent="0.3">
      <c r="BD1177" s="4"/>
    </row>
    <row r="1178" spans="56:56" x14ac:dyDescent="0.3">
      <c r="BD1178" s="4"/>
    </row>
    <row r="1179" spans="56:56" x14ac:dyDescent="0.3">
      <c r="BD1179" s="4"/>
    </row>
    <row r="1180" spans="56:56" x14ac:dyDescent="0.3">
      <c r="BD1180" s="4"/>
    </row>
    <row r="1181" spans="56:56" x14ac:dyDescent="0.3">
      <c r="BD1181" s="4"/>
    </row>
    <row r="1182" spans="56:56" x14ac:dyDescent="0.3">
      <c r="BD1182" s="4"/>
    </row>
    <row r="1183" spans="56:56" x14ac:dyDescent="0.3">
      <c r="BD1183" s="4"/>
    </row>
    <row r="1184" spans="56:56" x14ac:dyDescent="0.3">
      <c r="BD1184" s="4"/>
    </row>
    <row r="1185" spans="56:56" x14ac:dyDescent="0.3">
      <c r="BD1185" s="4"/>
    </row>
    <row r="1186" spans="56:56" x14ac:dyDescent="0.3">
      <c r="BD1186" s="4"/>
    </row>
    <row r="1187" spans="56:56" x14ac:dyDescent="0.3">
      <c r="BD1187" s="4"/>
    </row>
    <row r="1188" spans="56:56" x14ac:dyDescent="0.3">
      <c r="BD1188" s="4"/>
    </row>
    <row r="1189" spans="56:56" x14ac:dyDescent="0.3">
      <c r="BD1189" s="4"/>
    </row>
    <row r="1190" spans="56:56" x14ac:dyDescent="0.3">
      <c r="BD1190" s="4"/>
    </row>
    <row r="1191" spans="56:56" x14ac:dyDescent="0.3">
      <c r="BD119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4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" customWidth="1"/>
    <col min="2" max="2" width="14.5546875" bestFit="1" customWidth="1"/>
    <col min="3" max="3" width="11.88671875" bestFit="1" customWidth="1"/>
    <col min="4" max="4" width="12.109375" style="10" customWidth="1"/>
    <col min="5" max="5" width="5.44140625" bestFit="1" customWidth="1"/>
    <col min="6" max="6" width="8.88671875" bestFit="1" customWidth="1"/>
    <col min="7" max="7" width="7.5546875" bestFit="1" customWidth="1"/>
    <col min="8" max="8" width="8.33203125" bestFit="1" customWidth="1"/>
    <col min="9" max="9" width="5.5546875" bestFit="1" customWidth="1"/>
    <col min="10" max="10" width="6.109375" bestFit="1" customWidth="1"/>
    <col min="11" max="11" width="3.33203125" bestFit="1" customWidth="1"/>
    <col min="12" max="13" width="4.6640625" bestFit="1" customWidth="1"/>
    <col min="14" max="15" width="5" bestFit="1" customWidth="1"/>
    <col min="16" max="17" width="5" customWidth="1"/>
    <col min="18" max="18" width="4" bestFit="1" customWidth="1"/>
    <col min="19" max="19" width="4" customWidth="1"/>
    <col min="20" max="21" width="5" bestFit="1" customWidth="1"/>
    <col min="22" max="22" width="9" style="9" bestFit="1" customWidth="1"/>
    <col min="23" max="24" width="4" bestFit="1" customWidth="1"/>
    <col min="25" max="25" width="3.44140625" bestFit="1" customWidth="1"/>
    <col min="26" max="26" width="3.33203125" bestFit="1" customWidth="1"/>
    <col min="27" max="27" width="3.88671875" customWidth="1"/>
    <col min="28" max="28" width="4.5546875" customWidth="1"/>
    <col min="29" max="29" width="4" bestFit="1" customWidth="1"/>
    <col min="30" max="30" width="4.33203125" bestFit="1" customWidth="1"/>
    <col min="31" max="31" width="5" bestFit="1" customWidth="1"/>
    <col min="32" max="32" width="12.44140625" style="5" bestFit="1" customWidth="1"/>
    <col min="33" max="33" width="6.33203125" bestFit="1" customWidth="1"/>
    <col min="34" max="34" width="6" bestFit="1" customWidth="1"/>
    <col min="35" max="35" width="5" bestFit="1" customWidth="1"/>
    <col min="36" max="36" width="8.44140625" bestFit="1" customWidth="1"/>
    <col min="37" max="37" width="8.44140625" customWidth="1"/>
    <col min="38" max="38" width="6.5546875" bestFit="1" customWidth="1"/>
    <col min="39" max="39" width="10.5546875" bestFit="1" customWidth="1"/>
    <col min="40" max="40" width="9.44140625" bestFit="1" customWidth="1"/>
    <col min="41" max="41" width="9.6640625" bestFit="1" customWidth="1"/>
    <col min="42" max="42" width="10.44140625" bestFit="1" customWidth="1"/>
    <col min="43" max="43" width="52.5546875" bestFit="1" customWidth="1"/>
    <col min="44" max="44" width="8" bestFit="1" customWidth="1"/>
  </cols>
  <sheetData>
    <row r="1" spans="1:50" s="3" customFormat="1" x14ac:dyDescent="0.3">
      <c r="A1" s="3" t="s">
        <v>38</v>
      </c>
      <c r="B1" s="3" t="s">
        <v>86</v>
      </c>
      <c r="C1" s="3" t="s">
        <v>87</v>
      </c>
      <c r="D1" s="11" t="s">
        <v>1389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88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1003</v>
      </c>
      <c r="Q1" s="3" t="s">
        <v>1555</v>
      </c>
      <c r="R1" s="3" t="s">
        <v>10</v>
      </c>
      <c r="S1" s="3" t="s">
        <v>1560</v>
      </c>
      <c r="T1" s="3" t="s">
        <v>11</v>
      </c>
      <c r="U1" s="3" t="s">
        <v>12</v>
      </c>
      <c r="V1" s="8" t="s">
        <v>13</v>
      </c>
      <c r="W1" s="3" t="s">
        <v>40</v>
      </c>
      <c r="X1" s="3" t="s">
        <v>14</v>
      </c>
      <c r="Y1" s="3" t="s">
        <v>15</v>
      </c>
      <c r="Z1" s="3" t="s">
        <v>16</v>
      </c>
      <c r="AA1" s="3" t="s">
        <v>1553</v>
      </c>
      <c r="AB1" s="3" t="s">
        <v>91</v>
      </c>
      <c r="AC1" s="3" t="s">
        <v>17</v>
      </c>
      <c r="AD1" s="3" t="s">
        <v>18</v>
      </c>
      <c r="AE1" s="3" t="s">
        <v>19</v>
      </c>
      <c r="AF1" s="7" t="s">
        <v>20</v>
      </c>
      <c r="AG1" s="3" t="s">
        <v>21</v>
      </c>
      <c r="AH1" s="3" t="s">
        <v>22</v>
      </c>
      <c r="AI1" s="3" t="s">
        <v>23</v>
      </c>
      <c r="AJ1" s="3" t="s">
        <v>1556</v>
      </c>
      <c r="AK1" s="3" t="s">
        <v>92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3" t="s">
        <v>29</v>
      </c>
      <c r="AR1" s="3" t="s">
        <v>30</v>
      </c>
      <c r="AS1" s="3" t="s">
        <v>31</v>
      </c>
      <c r="AT1" s="3" t="s">
        <v>1204</v>
      </c>
      <c r="AU1" s="3" t="s">
        <v>32</v>
      </c>
      <c r="AV1" s="3" t="s">
        <v>1218</v>
      </c>
      <c r="AW1" s="3" t="s">
        <v>1219</v>
      </c>
      <c r="AX1" s="3" t="s">
        <v>4958</v>
      </c>
    </row>
    <row r="2" spans="1:50" x14ac:dyDescent="0.3">
      <c r="A2" s="4">
        <f>HYPERLINK("http://legacy.baseballprospectus.com/p/65751",65751)</f>
        <v>65751</v>
      </c>
      <c r="B2" t="s">
        <v>614</v>
      </c>
      <c r="C2" t="s">
        <v>234</v>
      </c>
      <c r="D2" s="10">
        <v>32597</v>
      </c>
      <c r="E2" t="s">
        <v>9</v>
      </c>
      <c r="F2" t="s">
        <v>9</v>
      </c>
      <c r="G2">
        <v>78</v>
      </c>
      <c r="H2">
        <v>180</v>
      </c>
      <c r="I2">
        <v>2018</v>
      </c>
      <c r="J2" s="4" t="str">
        <f>HYPERLINK("http://legacy.baseballprospectus.com/fantasy/dc/index.php?tm=BOS","BOS")</f>
        <v>BOS</v>
      </c>
      <c r="K2" t="s">
        <v>95</v>
      </c>
      <c r="L2" t="s">
        <v>34</v>
      </c>
      <c r="M2">
        <v>29</v>
      </c>
      <c r="N2">
        <v>15.4</v>
      </c>
      <c r="O2">
        <v>7.2</v>
      </c>
      <c r="P2">
        <v>19</v>
      </c>
      <c r="Q2">
        <v>2</v>
      </c>
      <c r="R2">
        <v>0</v>
      </c>
      <c r="S2">
        <v>0</v>
      </c>
      <c r="T2">
        <v>29</v>
      </c>
      <c r="U2">
        <v>29</v>
      </c>
      <c r="V2" s="9">
        <v>203</v>
      </c>
      <c r="W2">
        <v>808</v>
      </c>
      <c r="X2">
        <v>155</v>
      </c>
      <c r="Y2">
        <v>20</v>
      </c>
      <c r="Z2">
        <v>50</v>
      </c>
      <c r="AA2">
        <v>3</v>
      </c>
      <c r="AB2">
        <v>9</v>
      </c>
      <c r="AC2">
        <v>279</v>
      </c>
      <c r="AD2">
        <v>2.2000000000000002</v>
      </c>
      <c r="AE2">
        <v>12.4</v>
      </c>
      <c r="AF2" s="5">
        <v>0.41899999999999998</v>
      </c>
      <c r="AG2">
        <v>0.30099999999999999</v>
      </c>
      <c r="AH2">
        <v>1.02</v>
      </c>
      <c r="AI2">
        <v>2.4500000000000002</v>
      </c>
      <c r="AJ2">
        <v>2.89</v>
      </c>
      <c r="AK2">
        <v>55.4</v>
      </c>
      <c r="AL2">
        <v>6.1</v>
      </c>
      <c r="AM2">
        <v>12</v>
      </c>
      <c r="AN2">
        <v>35</v>
      </c>
      <c r="AO2">
        <v>15</v>
      </c>
      <c r="AP2">
        <v>3</v>
      </c>
      <c r="AQ2" t="s">
        <v>2231</v>
      </c>
      <c r="AR2">
        <v>98</v>
      </c>
      <c r="AS2" t="s">
        <v>35</v>
      </c>
      <c r="AT2" t="s">
        <v>36</v>
      </c>
      <c r="AU2" s="4">
        <f>HYPERLINK("http://mlb.mlb.com/team/player.jsp?player_id=519242",519242)</f>
        <v>519242</v>
      </c>
      <c r="AV2">
        <v>1</v>
      </c>
      <c r="AW2">
        <v>1001</v>
      </c>
      <c r="AX2">
        <v>214.3</v>
      </c>
    </row>
    <row r="3" spans="1:50" x14ac:dyDescent="0.3">
      <c r="A3" s="4">
        <f>HYPERLINK("http://legacy.baseballprospectus.com/p/49786",49786)</f>
        <v>49786</v>
      </c>
      <c r="B3" t="s">
        <v>848</v>
      </c>
      <c r="C3" t="s">
        <v>726</v>
      </c>
      <c r="D3" s="10">
        <v>32221</v>
      </c>
      <c r="E3" t="s">
        <v>9</v>
      </c>
      <c r="F3" t="s">
        <v>9</v>
      </c>
      <c r="G3">
        <v>76</v>
      </c>
      <c r="H3">
        <v>228</v>
      </c>
      <c r="I3">
        <v>2018</v>
      </c>
      <c r="J3" s="4" t="str">
        <f>HYPERLINK("http://legacy.baseballprospectus.com/fantasy/dc/index.php?tm=LAN","LAN")</f>
        <v>LAN</v>
      </c>
      <c r="K3" t="s">
        <v>100</v>
      </c>
      <c r="L3" t="s">
        <v>34</v>
      </c>
      <c r="M3">
        <v>30</v>
      </c>
      <c r="N3">
        <v>15.2</v>
      </c>
      <c r="O3">
        <v>6.6</v>
      </c>
      <c r="P3">
        <v>18</v>
      </c>
      <c r="Q3">
        <v>2</v>
      </c>
      <c r="R3">
        <v>0</v>
      </c>
      <c r="S3">
        <v>0</v>
      </c>
      <c r="T3">
        <v>28</v>
      </c>
      <c r="U3">
        <v>28</v>
      </c>
      <c r="V3" s="9">
        <v>187.66669999999999</v>
      </c>
      <c r="W3">
        <v>732</v>
      </c>
      <c r="X3">
        <v>140</v>
      </c>
      <c r="Y3">
        <v>18</v>
      </c>
      <c r="Z3">
        <v>43</v>
      </c>
      <c r="AA3">
        <v>1</v>
      </c>
      <c r="AB3">
        <v>4</v>
      </c>
      <c r="AC3">
        <v>224</v>
      </c>
      <c r="AD3">
        <v>2.1</v>
      </c>
      <c r="AE3">
        <v>10.8</v>
      </c>
      <c r="AF3" s="5">
        <v>0.48699999999999999</v>
      </c>
      <c r="AG3">
        <v>0.27600000000000002</v>
      </c>
      <c r="AH3">
        <v>0.95</v>
      </c>
      <c r="AI3">
        <v>2.57</v>
      </c>
      <c r="AJ3">
        <v>2.97</v>
      </c>
      <c r="AK3">
        <v>44.5</v>
      </c>
      <c r="AL3">
        <v>4.9000000000000004</v>
      </c>
      <c r="AM3">
        <v>13</v>
      </c>
      <c r="AN3">
        <v>45</v>
      </c>
      <c r="AO3">
        <v>37</v>
      </c>
      <c r="AP3">
        <v>11</v>
      </c>
      <c r="AQ3" t="s">
        <v>2232</v>
      </c>
      <c r="AR3">
        <v>95</v>
      </c>
      <c r="AS3" t="s">
        <v>35</v>
      </c>
      <c r="AT3" t="s">
        <v>36</v>
      </c>
      <c r="AU3" s="4">
        <f>HYPERLINK("http://mlb.mlb.com/team/player.jsp?player_id=477132",477132)</f>
        <v>477132</v>
      </c>
      <c r="AV3">
        <v>1018</v>
      </c>
      <c r="AW3">
        <v>18</v>
      </c>
      <c r="AX3">
        <v>175</v>
      </c>
    </row>
    <row r="4" spans="1:50" x14ac:dyDescent="0.3">
      <c r="A4" s="4">
        <f>HYPERLINK("http://legacy.baseballprospectus.com/p/57424",57424)</f>
        <v>57424</v>
      </c>
      <c r="B4" t="s">
        <v>852</v>
      </c>
      <c r="C4" t="s">
        <v>202</v>
      </c>
      <c r="D4" s="10">
        <v>31512</v>
      </c>
      <c r="E4" t="s">
        <v>33</v>
      </c>
      <c r="F4" t="s">
        <v>33</v>
      </c>
      <c r="G4">
        <v>76</v>
      </c>
      <c r="H4">
        <v>215</v>
      </c>
      <c r="I4">
        <v>2018</v>
      </c>
      <c r="J4" s="4" t="str">
        <f>HYPERLINK("http://legacy.baseballprospectus.com/fantasy/dc/index.php?tm=CLE","CLE")</f>
        <v>CLE</v>
      </c>
      <c r="K4" t="s">
        <v>95</v>
      </c>
      <c r="L4" t="s">
        <v>34</v>
      </c>
      <c r="M4">
        <v>32</v>
      </c>
      <c r="N4">
        <v>15.3</v>
      </c>
      <c r="O4">
        <v>7.3</v>
      </c>
      <c r="P4">
        <v>18</v>
      </c>
      <c r="Q4">
        <v>2</v>
      </c>
      <c r="R4">
        <v>0</v>
      </c>
      <c r="S4">
        <v>0</v>
      </c>
      <c r="T4">
        <v>29</v>
      </c>
      <c r="U4">
        <v>29</v>
      </c>
      <c r="V4" s="9">
        <v>194.33330000000001</v>
      </c>
      <c r="W4">
        <v>791</v>
      </c>
      <c r="X4">
        <v>164</v>
      </c>
      <c r="Y4">
        <v>21</v>
      </c>
      <c r="Z4">
        <v>56</v>
      </c>
      <c r="AA4">
        <v>3</v>
      </c>
      <c r="AB4">
        <v>7</v>
      </c>
      <c r="AC4">
        <v>224</v>
      </c>
      <c r="AD4">
        <v>2.6</v>
      </c>
      <c r="AE4">
        <v>10.4</v>
      </c>
      <c r="AF4" s="5">
        <v>0.44900000000000001</v>
      </c>
      <c r="AG4">
        <v>0.29499999999999998</v>
      </c>
      <c r="AH4">
        <v>1.1299999999999999</v>
      </c>
      <c r="AI4">
        <v>3.02</v>
      </c>
      <c r="AJ4">
        <v>3.45</v>
      </c>
      <c r="AK4">
        <v>41.8</v>
      </c>
      <c r="AL4">
        <v>4.5999999999999996</v>
      </c>
      <c r="AM4">
        <v>13</v>
      </c>
      <c r="AN4">
        <v>31</v>
      </c>
      <c r="AO4">
        <v>37</v>
      </c>
      <c r="AP4">
        <v>6</v>
      </c>
      <c r="AQ4" t="s">
        <v>2233</v>
      </c>
      <c r="AR4">
        <v>92</v>
      </c>
      <c r="AS4" t="s">
        <v>35</v>
      </c>
      <c r="AT4" t="s">
        <v>36</v>
      </c>
      <c r="AU4" s="4">
        <f>HYPERLINK("http://mlb.mlb.com/team/player.jsp?player_id=446372",446372)</f>
        <v>446372</v>
      </c>
      <c r="AV4">
        <v>4</v>
      </c>
      <c r="AW4">
        <v>1004</v>
      </c>
      <c r="AX4">
        <v>203.7</v>
      </c>
    </row>
    <row r="5" spans="1:50" x14ac:dyDescent="0.3">
      <c r="A5" s="4">
        <f>HYPERLINK("http://legacy.baseballprospectus.com/p/101074",101074)</f>
        <v>101074</v>
      </c>
      <c r="B5" t="s">
        <v>943</v>
      </c>
      <c r="C5" t="s">
        <v>304</v>
      </c>
      <c r="D5" s="10">
        <v>34385</v>
      </c>
      <c r="E5" t="s">
        <v>33</v>
      </c>
      <c r="F5" t="s">
        <v>33</v>
      </c>
      <c r="G5">
        <v>74</v>
      </c>
      <c r="H5">
        <v>215</v>
      </c>
      <c r="I5">
        <v>2018</v>
      </c>
      <c r="J5" s="4" t="str">
        <f>HYPERLINK("http://legacy.baseballprospectus.com/fantasy/dc/index.php?tm=NYA","NYA")</f>
        <v>NYA</v>
      </c>
      <c r="K5" t="s">
        <v>95</v>
      </c>
      <c r="L5" t="s">
        <v>34</v>
      </c>
      <c r="M5">
        <v>24</v>
      </c>
      <c r="N5">
        <v>14</v>
      </c>
      <c r="O5">
        <v>6.6</v>
      </c>
      <c r="P5">
        <v>18</v>
      </c>
      <c r="Q5">
        <v>1</v>
      </c>
      <c r="R5">
        <v>0</v>
      </c>
      <c r="S5">
        <v>0</v>
      </c>
      <c r="T5">
        <v>29</v>
      </c>
      <c r="U5">
        <v>29</v>
      </c>
      <c r="V5" s="9">
        <v>174</v>
      </c>
      <c r="W5">
        <v>715</v>
      </c>
      <c r="X5">
        <v>146</v>
      </c>
      <c r="Y5">
        <v>20</v>
      </c>
      <c r="Z5">
        <v>56</v>
      </c>
      <c r="AA5">
        <v>2</v>
      </c>
      <c r="AB5">
        <v>5</v>
      </c>
      <c r="AC5">
        <v>206</v>
      </c>
      <c r="AD5">
        <v>2.9</v>
      </c>
      <c r="AE5">
        <v>10.6</v>
      </c>
      <c r="AF5" s="5">
        <v>0.46500000000000002</v>
      </c>
      <c r="AG5">
        <v>0.29099999999999998</v>
      </c>
      <c r="AH5">
        <v>1.1499999999999999</v>
      </c>
      <c r="AI5">
        <v>3.23</v>
      </c>
      <c r="AJ5">
        <v>3.43</v>
      </c>
      <c r="AK5">
        <v>37.799999999999997</v>
      </c>
      <c r="AL5">
        <v>4.2</v>
      </c>
      <c r="AM5">
        <v>30</v>
      </c>
      <c r="AN5">
        <v>65</v>
      </c>
      <c r="AO5">
        <v>11</v>
      </c>
      <c r="AP5">
        <v>18</v>
      </c>
      <c r="AQ5" t="s">
        <v>2235</v>
      </c>
      <c r="AR5">
        <v>96</v>
      </c>
      <c r="AS5" t="s">
        <v>35</v>
      </c>
      <c r="AT5" t="s">
        <v>36</v>
      </c>
      <c r="AU5" s="4">
        <f>HYPERLINK("http://mlb.mlb.com/team/player.jsp?player_id=622663",622663)</f>
        <v>622663</v>
      </c>
      <c r="AV5">
        <v>10</v>
      </c>
      <c r="AW5">
        <v>1010</v>
      </c>
      <c r="AX5">
        <v>193.3</v>
      </c>
    </row>
    <row r="6" spans="1:50" x14ac:dyDescent="0.3">
      <c r="A6" s="4">
        <f>HYPERLINK("http://legacy.baseballprospectus.com/p/56753",56753)</f>
        <v>56753</v>
      </c>
      <c r="B6" t="s">
        <v>941</v>
      </c>
      <c r="C6" t="s">
        <v>458</v>
      </c>
      <c r="D6" s="10">
        <v>30890</v>
      </c>
      <c r="E6" t="s">
        <v>33</v>
      </c>
      <c r="F6" t="s">
        <v>33</v>
      </c>
      <c r="G6">
        <v>75</v>
      </c>
      <c r="H6">
        <v>210</v>
      </c>
      <c r="I6">
        <v>2018</v>
      </c>
      <c r="J6" s="4" t="str">
        <f>HYPERLINK("http://legacy.baseballprospectus.com/fantasy/dc/index.php?tm=WAS","WAS")</f>
        <v>WAS</v>
      </c>
      <c r="K6" t="s">
        <v>100</v>
      </c>
      <c r="L6" t="s">
        <v>34</v>
      </c>
      <c r="M6">
        <v>33</v>
      </c>
      <c r="N6">
        <v>13.4</v>
      </c>
      <c r="O6">
        <v>7.8</v>
      </c>
      <c r="P6">
        <v>18</v>
      </c>
      <c r="Q6">
        <v>1</v>
      </c>
      <c r="R6">
        <v>0</v>
      </c>
      <c r="S6">
        <v>0</v>
      </c>
      <c r="T6">
        <v>29</v>
      </c>
      <c r="U6">
        <v>29</v>
      </c>
      <c r="V6" s="9">
        <v>182.66669999999999</v>
      </c>
      <c r="W6">
        <v>735</v>
      </c>
      <c r="X6">
        <v>142</v>
      </c>
      <c r="Y6">
        <v>22</v>
      </c>
      <c r="Z6">
        <v>50</v>
      </c>
      <c r="AA6">
        <v>2</v>
      </c>
      <c r="AB6">
        <v>8</v>
      </c>
      <c r="AC6">
        <v>232</v>
      </c>
      <c r="AD6">
        <v>2.5</v>
      </c>
      <c r="AE6">
        <v>11.4</v>
      </c>
      <c r="AF6" s="5">
        <v>0.38800000000000001</v>
      </c>
      <c r="AG6">
        <v>0.28399999999999997</v>
      </c>
      <c r="AH6">
        <v>1.04</v>
      </c>
      <c r="AI6">
        <v>3.05</v>
      </c>
      <c r="AJ6">
        <v>3.29</v>
      </c>
      <c r="AK6">
        <v>37.299999999999997</v>
      </c>
      <c r="AL6">
        <v>4.0999999999999996</v>
      </c>
      <c r="AM6">
        <v>10</v>
      </c>
      <c r="AN6">
        <v>39</v>
      </c>
      <c r="AO6">
        <v>25</v>
      </c>
      <c r="AP6">
        <v>13</v>
      </c>
      <c r="AQ6" t="s">
        <v>2237</v>
      </c>
      <c r="AR6">
        <v>94</v>
      </c>
      <c r="AS6" t="s">
        <v>35</v>
      </c>
      <c r="AT6" t="s">
        <v>36</v>
      </c>
      <c r="AU6" s="4">
        <f>HYPERLINK("http://mlb.mlb.com/team/player.jsp?player_id=453286",453286)</f>
        <v>453286</v>
      </c>
      <c r="AV6">
        <v>1006</v>
      </c>
      <c r="AW6">
        <v>6</v>
      </c>
      <c r="AX6">
        <v>200.7</v>
      </c>
    </row>
    <row r="7" spans="1:50" x14ac:dyDescent="0.3">
      <c r="A7" s="4">
        <f>HYPERLINK("http://legacy.baseballprospectus.com/p/61056",61056)</f>
        <v>61056</v>
      </c>
      <c r="B7" t="s">
        <v>954</v>
      </c>
      <c r="C7" t="s">
        <v>308</v>
      </c>
      <c r="D7" s="10">
        <v>32344</v>
      </c>
      <c r="E7" t="s">
        <v>33</v>
      </c>
      <c r="F7" t="s">
        <v>33</v>
      </c>
      <c r="G7">
        <v>76</v>
      </c>
      <c r="H7">
        <v>235</v>
      </c>
      <c r="I7">
        <v>2018</v>
      </c>
      <c r="J7" s="4" t="str">
        <f>HYPERLINK("http://legacy.baseballprospectus.com/fantasy/dc/index.php?tm=WAS","WAS")</f>
        <v>WAS</v>
      </c>
      <c r="K7" t="s">
        <v>100</v>
      </c>
      <c r="L7" t="s">
        <v>34</v>
      </c>
      <c r="M7">
        <v>29</v>
      </c>
      <c r="N7">
        <v>12.3</v>
      </c>
      <c r="O7">
        <v>7.4</v>
      </c>
      <c r="P7">
        <v>18</v>
      </c>
      <c r="Q7">
        <v>1</v>
      </c>
      <c r="R7">
        <v>0</v>
      </c>
      <c r="S7">
        <v>0</v>
      </c>
      <c r="T7">
        <v>28</v>
      </c>
      <c r="U7">
        <v>28</v>
      </c>
      <c r="V7" s="9">
        <v>168</v>
      </c>
      <c r="W7">
        <v>683</v>
      </c>
      <c r="X7">
        <v>137</v>
      </c>
      <c r="Y7">
        <v>17</v>
      </c>
      <c r="Z7">
        <v>50</v>
      </c>
      <c r="AA7">
        <v>3</v>
      </c>
      <c r="AB7">
        <v>6</v>
      </c>
      <c r="AC7">
        <v>202</v>
      </c>
      <c r="AD7">
        <v>2.7</v>
      </c>
      <c r="AE7">
        <v>10.8</v>
      </c>
      <c r="AF7" s="5">
        <v>0.44900000000000001</v>
      </c>
      <c r="AG7">
        <v>0.29299999999999998</v>
      </c>
      <c r="AH7">
        <v>1.1100000000000001</v>
      </c>
      <c r="AI7">
        <v>3</v>
      </c>
      <c r="AJ7">
        <v>3.24</v>
      </c>
      <c r="AK7">
        <v>35.1</v>
      </c>
      <c r="AL7">
        <v>3.9</v>
      </c>
      <c r="AM7">
        <v>11</v>
      </c>
      <c r="AN7">
        <v>36</v>
      </c>
      <c r="AO7">
        <v>16</v>
      </c>
      <c r="AP7">
        <v>4</v>
      </c>
      <c r="AQ7" t="s">
        <v>2236</v>
      </c>
      <c r="AR7">
        <v>97</v>
      </c>
      <c r="AS7" t="s">
        <v>35</v>
      </c>
      <c r="AT7" t="s">
        <v>36</v>
      </c>
      <c r="AU7" s="4">
        <f>HYPERLINK("http://mlb.mlb.com/team/player.jsp?player_id=544931",544931)</f>
        <v>544931</v>
      </c>
      <c r="AV7">
        <v>1017</v>
      </c>
      <c r="AW7">
        <v>17</v>
      </c>
      <c r="AX7">
        <v>175.3</v>
      </c>
    </row>
    <row r="8" spans="1:50" x14ac:dyDescent="0.3">
      <c r="A8" s="4">
        <f>HYPERLINK("http://legacy.baseballprospectus.com/p/67132",67132)</f>
        <v>67132</v>
      </c>
      <c r="B8" t="s">
        <v>958</v>
      </c>
      <c r="C8" t="s">
        <v>571</v>
      </c>
      <c r="D8" s="10">
        <v>33845</v>
      </c>
      <c r="E8" t="s">
        <v>9</v>
      </c>
      <c r="F8" t="s">
        <v>33</v>
      </c>
      <c r="G8">
        <v>78</v>
      </c>
      <c r="H8">
        <v>240</v>
      </c>
      <c r="I8">
        <v>2018</v>
      </c>
      <c r="J8" s="4" t="str">
        <f>HYPERLINK("http://legacy.baseballprospectus.com/fantasy/dc/index.php?tm=NYN","NYN")</f>
        <v>NYN</v>
      </c>
      <c r="K8" t="s">
        <v>100</v>
      </c>
      <c r="L8" t="s">
        <v>34</v>
      </c>
      <c r="M8">
        <v>25</v>
      </c>
      <c r="N8">
        <v>10.8</v>
      </c>
      <c r="O8">
        <v>8</v>
      </c>
      <c r="P8">
        <v>16</v>
      </c>
      <c r="Q8">
        <v>0</v>
      </c>
      <c r="R8">
        <v>0</v>
      </c>
      <c r="S8">
        <v>0</v>
      </c>
      <c r="T8">
        <v>26</v>
      </c>
      <c r="U8">
        <v>26</v>
      </c>
      <c r="V8" s="9">
        <v>163.66669999999999</v>
      </c>
      <c r="W8">
        <v>677</v>
      </c>
      <c r="X8">
        <v>141</v>
      </c>
      <c r="Y8">
        <v>15</v>
      </c>
      <c r="Z8">
        <v>51</v>
      </c>
      <c r="AA8">
        <v>2</v>
      </c>
      <c r="AB8">
        <v>5</v>
      </c>
      <c r="AC8">
        <v>191</v>
      </c>
      <c r="AD8">
        <v>2.8</v>
      </c>
      <c r="AE8">
        <v>10.5</v>
      </c>
      <c r="AF8" s="5">
        <v>0.501</v>
      </c>
      <c r="AG8">
        <v>0.30099999999999999</v>
      </c>
      <c r="AH8">
        <v>1.18</v>
      </c>
      <c r="AI8">
        <v>3.01</v>
      </c>
      <c r="AJ8">
        <v>3.21</v>
      </c>
      <c r="AK8">
        <v>34.700000000000003</v>
      </c>
      <c r="AL8">
        <v>3.8</v>
      </c>
      <c r="AM8">
        <v>27</v>
      </c>
      <c r="AN8">
        <v>60</v>
      </c>
      <c r="AO8">
        <v>18</v>
      </c>
      <c r="AP8">
        <v>11</v>
      </c>
      <c r="AQ8" t="s">
        <v>2234</v>
      </c>
      <c r="AR8">
        <v>98</v>
      </c>
      <c r="AS8" t="s">
        <v>35</v>
      </c>
      <c r="AT8" t="s">
        <v>36</v>
      </c>
      <c r="AU8" s="4">
        <f>HYPERLINK("http://mlb.mlb.com/team/player.jsp?player_id=592789",592789)</f>
        <v>592789</v>
      </c>
      <c r="AV8">
        <v>1102</v>
      </c>
      <c r="AW8">
        <v>102</v>
      </c>
      <c r="AX8">
        <v>30.3</v>
      </c>
    </row>
    <row r="9" spans="1:50" x14ac:dyDescent="0.3">
      <c r="A9" s="4">
        <f>HYPERLINK("http://legacy.baseballprospectus.com/p/67740",67740)</f>
        <v>67740</v>
      </c>
      <c r="B9" t="s">
        <v>1451</v>
      </c>
      <c r="C9" t="s">
        <v>125</v>
      </c>
      <c r="D9" s="10">
        <v>32313</v>
      </c>
      <c r="E9" t="s">
        <v>9</v>
      </c>
      <c r="F9" t="s">
        <v>33</v>
      </c>
      <c r="G9">
        <v>76</v>
      </c>
      <c r="H9">
        <v>180</v>
      </c>
      <c r="I9">
        <v>2018</v>
      </c>
      <c r="J9" s="4" t="str">
        <f>HYPERLINK("http://legacy.baseballprospectus.com/fantasy/dc/index.php?tm=NYN","NYN")</f>
        <v>NYN</v>
      </c>
      <c r="K9" t="s">
        <v>100</v>
      </c>
      <c r="L9" t="s">
        <v>34</v>
      </c>
      <c r="M9">
        <v>30</v>
      </c>
      <c r="N9">
        <v>11.5</v>
      </c>
      <c r="O9">
        <v>9.5</v>
      </c>
      <c r="P9">
        <v>18</v>
      </c>
      <c r="Q9">
        <v>1</v>
      </c>
      <c r="R9">
        <v>0</v>
      </c>
      <c r="S9">
        <v>0</v>
      </c>
      <c r="T9">
        <v>30</v>
      </c>
      <c r="U9">
        <v>30</v>
      </c>
      <c r="V9" s="9">
        <v>180</v>
      </c>
      <c r="W9">
        <v>735</v>
      </c>
      <c r="X9">
        <v>153</v>
      </c>
      <c r="Y9">
        <v>19</v>
      </c>
      <c r="Z9">
        <v>55</v>
      </c>
      <c r="AA9">
        <v>3</v>
      </c>
      <c r="AB9">
        <v>5</v>
      </c>
      <c r="AC9">
        <v>200</v>
      </c>
      <c r="AD9">
        <v>2.7</v>
      </c>
      <c r="AE9">
        <v>10</v>
      </c>
      <c r="AF9" s="5">
        <v>0.46700000000000003</v>
      </c>
      <c r="AG9">
        <v>0.29299999999999998</v>
      </c>
      <c r="AH9">
        <v>1.1499999999999999</v>
      </c>
      <c r="AI9">
        <v>3.24</v>
      </c>
      <c r="AJ9">
        <v>3.47</v>
      </c>
      <c r="AK9">
        <v>33.4</v>
      </c>
      <c r="AL9">
        <v>3.7</v>
      </c>
      <c r="AM9">
        <v>12</v>
      </c>
      <c r="AN9">
        <v>45</v>
      </c>
      <c r="AO9">
        <v>29</v>
      </c>
      <c r="AP9">
        <v>9</v>
      </c>
      <c r="AQ9" t="s">
        <v>2239</v>
      </c>
      <c r="AR9">
        <v>95</v>
      </c>
      <c r="AS9" t="s">
        <v>35</v>
      </c>
      <c r="AT9" t="s">
        <v>36</v>
      </c>
      <c r="AU9" s="4">
        <f>HYPERLINK("http://mlb.mlb.com/team/player.jsp?player_id=594798",594798)</f>
        <v>594798</v>
      </c>
      <c r="AV9">
        <v>1004</v>
      </c>
      <c r="AW9">
        <v>4</v>
      </c>
      <c r="AX9">
        <v>201.3</v>
      </c>
    </row>
    <row r="10" spans="1:50" x14ac:dyDescent="0.3">
      <c r="A10" s="4">
        <f>HYPERLINK("http://legacy.baseballprospectus.com/p/47229",47229)</f>
        <v>47229</v>
      </c>
      <c r="B10" t="s">
        <v>744</v>
      </c>
      <c r="C10" t="s">
        <v>165</v>
      </c>
      <c r="D10" s="10">
        <v>31857</v>
      </c>
      <c r="E10" t="s">
        <v>33</v>
      </c>
      <c r="F10" t="s">
        <v>33</v>
      </c>
      <c r="G10">
        <v>75</v>
      </c>
      <c r="H10">
        <v>212</v>
      </c>
      <c r="I10">
        <v>2018</v>
      </c>
      <c r="J10" s="4" t="str">
        <f>HYPERLINK("http://legacy.baseballprospectus.com/fantasy/dc/index.php?tm=CLE","CLE")</f>
        <v>CLE</v>
      </c>
      <c r="K10" t="s">
        <v>95</v>
      </c>
      <c r="L10" t="s">
        <v>34</v>
      </c>
      <c r="M10">
        <v>31</v>
      </c>
      <c r="N10">
        <v>13.4</v>
      </c>
      <c r="O10">
        <v>7.4</v>
      </c>
      <c r="P10">
        <v>17</v>
      </c>
      <c r="Q10">
        <v>1</v>
      </c>
      <c r="R10">
        <v>0</v>
      </c>
      <c r="S10">
        <v>0</v>
      </c>
      <c r="T10">
        <v>29</v>
      </c>
      <c r="U10">
        <v>29</v>
      </c>
      <c r="V10" s="9">
        <v>174</v>
      </c>
      <c r="W10">
        <v>725</v>
      </c>
      <c r="X10">
        <v>156</v>
      </c>
      <c r="Y10">
        <v>21</v>
      </c>
      <c r="Z10">
        <v>53</v>
      </c>
      <c r="AA10">
        <v>3</v>
      </c>
      <c r="AB10">
        <v>7</v>
      </c>
      <c r="AC10">
        <v>191</v>
      </c>
      <c r="AD10">
        <v>2.7</v>
      </c>
      <c r="AE10">
        <v>9.9</v>
      </c>
      <c r="AF10" s="5">
        <v>0.47799999999999998</v>
      </c>
      <c r="AG10">
        <v>0.29899999999999999</v>
      </c>
      <c r="AH10">
        <v>1.21</v>
      </c>
      <c r="AI10">
        <v>3.32</v>
      </c>
      <c r="AJ10">
        <v>3.78</v>
      </c>
      <c r="AK10">
        <v>31.5</v>
      </c>
      <c r="AL10">
        <v>3.5</v>
      </c>
      <c r="AM10">
        <v>16</v>
      </c>
      <c r="AN10">
        <v>40</v>
      </c>
      <c r="AO10">
        <v>27</v>
      </c>
      <c r="AP10">
        <v>7</v>
      </c>
      <c r="AQ10" t="s">
        <v>2240</v>
      </c>
      <c r="AR10">
        <v>91</v>
      </c>
      <c r="AS10" t="s">
        <v>35</v>
      </c>
      <c r="AT10" t="s">
        <v>36</v>
      </c>
      <c r="AU10" s="4">
        <f>HYPERLINK("http://mlb.mlb.com/team/player.jsp?player_id=471911",471911)</f>
        <v>471911</v>
      </c>
      <c r="AV10">
        <v>9</v>
      </c>
      <c r="AW10">
        <v>1009</v>
      </c>
      <c r="AX10">
        <v>200</v>
      </c>
    </row>
    <row r="11" spans="1:50" x14ac:dyDescent="0.3">
      <c r="A11" s="4">
        <f>HYPERLINK("http://legacy.baseballprospectus.com/p/50101",50101)</f>
        <v>50101</v>
      </c>
      <c r="B11" t="s">
        <v>699</v>
      </c>
      <c r="C11" t="s">
        <v>234</v>
      </c>
      <c r="D11" s="10">
        <v>32412</v>
      </c>
      <c r="E11" t="s">
        <v>33</v>
      </c>
      <c r="F11" t="s">
        <v>33</v>
      </c>
      <c r="G11">
        <v>74</v>
      </c>
      <c r="H11">
        <v>195</v>
      </c>
      <c r="I11">
        <v>2018</v>
      </c>
      <c r="J11" s="4" t="str">
        <f>HYPERLINK("http://legacy.baseballprospectus.com/fantasy/dc/index.php?tm=TBA","TBA")</f>
        <v>TBA</v>
      </c>
      <c r="K11" t="s">
        <v>95</v>
      </c>
      <c r="L11" t="s">
        <v>34</v>
      </c>
      <c r="M11">
        <v>29</v>
      </c>
      <c r="N11">
        <v>11.7</v>
      </c>
      <c r="O11">
        <v>8.9</v>
      </c>
      <c r="P11">
        <v>16</v>
      </c>
      <c r="Q11">
        <v>1</v>
      </c>
      <c r="R11">
        <v>0</v>
      </c>
      <c r="S11">
        <v>0</v>
      </c>
      <c r="T11">
        <v>28</v>
      </c>
      <c r="U11">
        <v>28</v>
      </c>
      <c r="V11" s="9">
        <v>176.33330000000001</v>
      </c>
      <c r="W11">
        <v>730</v>
      </c>
      <c r="X11">
        <v>148</v>
      </c>
      <c r="Y11">
        <v>20</v>
      </c>
      <c r="Z11">
        <v>60</v>
      </c>
      <c r="AA11">
        <v>2</v>
      </c>
      <c r="AB11">
        <v>6</v>
      </c>
      <c r="AC11">
        <v>209</v>
      </c>
      <c r="AD11">
        <v>3.1</v>
      </c>
      <c r="AE11">
        <v>10.6</v>
      </c>
      <c r="AF11" s="5">
        <v>0.45300000000000001</v>
      </c>
      <c r="AG11">
        <v>0.29599999999999999</v>
      </c>
      <c r="AH11">
        <v>1.19</v>
      </c>
      <c r="AI11">
        <v>3.2</v>
      </c>
      <c r="AJ11">
        <v>3.76</v>
      </c>
      <c r="AK11">
        <v>32.200000000000003</v>
      </c>
      <c r="AL11">
        <v>3.5</v>
      </c>
      <c r="AM11">
        <v>12</v>
      </c>
      <c r="AN11">
        <v>34</v>
      </c>
      <c r="AO11">
        <v>18</v>
      </c>
      <c r="AP11">
        <v>5</v>
      </c>
      <c r="AQ11" t="s">
        <v>2248</v>
      </c>
      <c r="AR11">
        <v>96</v>
      </c>
      <c r="AS11" t="s">
        <v>35</v>
      </c>
      <c r="AT11" t="s">
        <v>36</v>
      </c>
      <c r="AU11" s="4">
        <f>HYPERLINK("http://mlb.mlb.com/team/player.jsp?player_id=502042",502042)</f>
        <v>502042</v>
      </c>
      <c r="AV11">
        <v>7</v>
      </c>
      <c r="AW11">
        <v>1007</v>
      </c>
      <c r="AX11">
        <v>201</v>
      </c>
    </row>
    <row r="12" spans="1:50" x14ac:dyDescent="0.3">
      <c r="A12" s="4">
        <f>HYPERLINK("http://legacy.baseballprospectus.com/p/67083",67083)</f>
        <v>67083</v>
      </c>
      <c r="B12" t="s">
        <v>915</v>
      </c>
      <c r="C12" t="s">
        <v>397</v>
      </c>
      <c r="D12" s="10">
        <v>33512</v>
      </c>
      <c r="E12" t="s">
        <v>9</v>
      </c>
      <c r="F12" t="s">
        <v>9</v>
      </c>
      <c r="G12">
        <v>74</v>
      </c>
      <c r="H12">
        <v>195</v>
      </c>
      <c r="I12">
        <v>2018</v>
      </c>
      <c r="J12" s="4" t="str">
        <f>HYPERLINK("http://legacy.baseballprospectus.com/fantasy/dc/index.php?tm=ARI","ARI")</f>
        <v>ARI</v>
      </c>
      <c r="K12" t="s">
        <v>100</v>
      </c>
      <c r="L12" t="s">
        <v>34</v>
      </c>
      <c r="M12">
        <v>26</v>
      </c>
      <c r="N12">
        <v>11.4</v>
      </c>
      <c r="O12">
        <v>7.7</v>
      </c>
      <c r="P12">
        <v>17</v>
      </c>
      <c r="Q12">
        <v>1</v>
      </c>
      <c r="R12">
        <v>0</v>
      </c>
      <c r="S12">
        <v>0</v>
      </c>
      <c r="T12">
        <v>28</v>
      </c>
      <c r="U12">
        <v>28</v>
      </c>
      <c r="V12" s="9">
        <v>159.66669999999999</v>
      </c>
      <c r="W12">
        <v>661</v>
      </c>
      <c r="X12">
        <v>128</v>
      </c>
      <c r="Y12">
        <v>14</v>
      </c>
      <c r="Z12">
        <v>60</v>
      </c>
      <c r="AA12">
        <v>3</v>
      </c>
      <c r="AB12">
        <v>5</v>
      </c>
      <c r="AC12">
        <v>209</v>
      </c>
      <c r="AD12">
        <v>3.4</v>
      </c>
      <c r="AE12">
        <v>11.8</v>
      </c>
      <c r="AF12" s="5">
        <v>0.441</v>
      </c>
      <c r="AG12">
        <v>0.30399999999999999</v>
      </c>
      <c r="AH12">
        <v>1.19</v>
      </c>
      <c r="AI12">
        <v>2.87</v>
      </c>
      <c r="AJ12">
        <v>3.31</v>
      </c>
      <c r="AK12">
        <v>32.200000000000003</v>
      </c>
      <c r="AL12">
        <v>3.5</v>
      </c>
      <c r="AM12">
        <v>27</v>
      </c>
      <c r="AN12">
        <v>62</v>
      </c>
      <c r="AO12">
        <v>12</v>
      </c>
      <c r="AP12">
        <v>5</v>
      </c>
      <c r="AQ12" t="s">
        <v>2259</v>
      </c>
      <c r="AR12">
        <v>95</v>
      </c>
      <c r="AS12" t="s">
        <v>35</v>
      </c>
      <c r="AT12" t="s">
        <v>36</v>
      </c>
      <c r="AU12" s="4">
        <f>HYPERLINK("http://mlb.mlb.com/team/player.jsp?player_id=592662",592662)</f>
        <v>592662</v>
      </c>
      <c r="AV12">
        <v>1024</v>
      </c>
      <c r="AW12">
        <v>24</v>
      </c>
      <c r="AX12">
        <v>162</v>
      </c>
    </row>
    <row r="13" spans="1:50" x14ac:dyDescent="0.3">
      <c r="A13" s="4">
        <f>HYPERLINK("http://legacy.baseballprospectus.com/p/100521",100521)</f>
        <v>100521</v>
      </c>
      <c r="B13" t="s">
        <v>1192</v>
      </c>
      <c r="C13" t="s">
        <v>170</v>
      </c>
      <c r="D13" s="10">
        <v>34244</v>
      </c>
      <c r="E13" t="s">
        <v>9</v>
      </c>
      <c r="F13" t="s">
        <v>33</v>
      </c>
      <c r="G13">
        <v>73</v>
      </c>
      <c r="H13">
        <v>205</v>
      </c>
      <c r="I13">
        <v>2018</v>
      </c>
      <c r="J13" s="4" t="str">
        <f>HYPERLINK("http://legacy.baseballprospectus.com/fantasy/dc/index.php?tm=HOU","HOU")</f>
        <v>HOU</v>
      </c>
      <c r="K13" t="s">
        <v>95</v>
      </c>
      <c r="L13" t="s">
        <v>34</v>
      </c>
      <c r="M13">
        <v>24</v>
      </c>
      <c r="N13">
        <v>11.3</v>
      </c>
      <c r="O13">
        <v>5.2</v>
      </c>
      <c r="P13">
        <v>15</v>
      </c>
      <c r="Q13">
        <v>1</v>
      </c>
      <c r="R13">
        <v>0</v>
      </c>
      <c r="S13">
        <v>0</v>
      </c>
      <c r="T13">
        <v>24</v>
      </c>
      <c r="U13">
        <v>24</v>
      </c>
      <c r="V13" s="9">
        <v>136.66669999999999</v>
      </c>
      <c r="W13">
        <v>575</v>
      </c>
      <c r="X13">
        <v>115</v>
      </c>
      <c r="Y13">
        <v>11</v>
      </c>
      <c r="Z13">
        <v>54</v>
      </c>
      <c r="AA13">
        <v>3</v>
      </c>
      <c r="AB13">
        <v>6</v>
      </c>
      <c r="AC13">
        <v>161</v>
      </c>
      <c r="AD13">
        <v>3.5</v>
      </c>
      <c r="AE13">
        <v>10.6</v>
      </c>
      <c r="AF13" s="5">
        <v>0.53</v>
      </c>
      <c r="AG13">
        <v>0.30399999999999999</v>
      </c>
      <c r="AH13">
        <v>1.26</v>
      </c>
      <c r="AI13">
        <v>3.07</v>
      </c>
      <c r="AJ13">
        <v>3.37</v>
      </c>
      <c r="AK13">
        <v>30.6</v>
      </c>
      <c r="AL13">
        <v>3.4</v>
      </c>
      <c r="AM13">
        <v>27</v>
      </c>
      <c r="AN13">
        <v>67</v>
      </c>
      <c r="AO13">
        <v>11</v>
      </c>
      <c r="AP13">
        <v>16</v>
      </c>
      <c r="AQ13" t="s">
        <v>2241</v>
      </c>
      <c r="AR13">
        <v>97</v>
      </c>
      <c r="AS13" t="s">
        <v>35</v>
      </c>
      <c r="AT13" t="s">
        <v>36</v>
      </c>
      <c r="AU13" s="4">
        <f>HYPERLINK("http://mlb.mlb.com/team/player.jsp?player_id=621121",621121)</f>
        <v>621121</v>
      </c>
      <c r="AV13">
        <v>50</v>
      </c>
      <c r="AW13">
        <v>1050</v>
      </c>
      <c r="AX13">
        <v>118.7</v>
      </c>
    </row>
    <row r="14" spans="1:50" x14ac:dyDescent="0.3">
      <c r="A14" s="4">
        <f>HYPERLINK("http://legacy.baseballprospectus.com/p/67219",67219)</f>
        <v>67219</v>
      </c>
      <c r="B14" t="s">
        <v>500</v>
      </c>
      <c r="C14" t="s">
        <v>165</v>
      </c>
      <c r="D14" s="10">
        <v>33502</v>
      </c>
      <c r="E14" t="s">
        <v>33</v>
      </c>
      <c r="F14" t="s">
        <v>33</v>
      </c>
      <c r="G14">
        <v>72</v>
      </c>
      <c r="H14">
        <v>190</v>
      </c>
      <c r="I14">
        <v>2018</v>
      </c>
      <c r="J14" s="4" t="str">
        <f>HYPERLINK("http://legacy.baseballprospectus.com/fantasy/dc/index.php?tm=SLN","SLN")</f>
        <v>SLN</v>
      </c>
      <c r="K14" t="s">
        <v>100</v>
      </c>
      <c r="L14" t="s">
        <v>34</v>
      </c>
      <c r="M14">
        <v>26</v>
      </c>
      <c r="N14">
        <v>11.5</v>
      </c>
      <c r="O14">
        <v>8.3000000000000007</v>
      </c>
      <c r="P14">
        <v>16</v>
      </c>
      <c r="Q14">
        <v>1</v>
      </c>
      <c r="R14">
        <v>0</v>
      </c>
      <c r="S14">
        <v>0</v>
      </c>
      <c r="T14">
        <v>27</v>
      </c>
      <c r="U14">
        <v>27</v>
      </c>
      <c r="V14" s="9">
        <v>170</v>
      </c>
      <c r="W14">
        <v>707</v>
      </c>
      <c r="X14">
        <v>146</v>
      </c>
      <c r="Y14">
        <v>15</v>
      </c>
      <c r="Z14">
        <v>60</v>
      </c>
      <c r="AA14">
        <v>4</v>
      </c>
      <c r="AB14">
        <v>7</v>
      </c>
      <c r="AC14">
        <v>177</v>
      </c>
      <c r="AD14">
        <v>3.2</v>
      </c>
      <c r="AE14">
        <v>9.4</v>
      </c>
      <c r="AF14" s="5">
        <v>0.52400000000000002</v>
      </c>
      <c r="AG14">
        <v>0.29399999999999998</v>
      </c>
      <c r="AH14">
        <v>1.21</v>
      </c>
      <c r="AI14">
        <v>3.4</v>
      </c>
      <c r="AJ14">
        <v>3.59</v>
      </c>
      <c r="AK14">
        <v>29.5</v>
      </c>
      <c r="AL14">
        <v>3.2</v>
      </c>
      <c r="AM14">
        <v>22</v>
      </c>
      <c r="AN14">
        <v>59</v>
      </c>
      <c r="AO14">
        <v>18</v>
      </c>
      <c r="AP14">
        <v>7</v>
      </c>
      <c r="AQ14" t="s">
        <v>2242</v>
      </c>
      <c r="AR14">
        <v>94</v>
      </c>
      <c r="AS14" t="s">
        <v>35</v>
      </c>
      <c r="AT14" t="s">
        <v>36</v>
      </c>
      <c r="AU14" s="4">
        <f>HYPERLINK("http://mlb.mlb.com/team/player.jsp?player_id=593372",593372)</f>
        <v>593372</v>
      </c>
      <c r="AV14">
        <v>1002</v>
      </c>
      <c r="AW14">
        <v>2</v>
      </c>
      <c r="AX14">
        <v>205</v>
      </c>
    </row>
    <row r="15" spans="1:50" x14ac:dyDescent="0.3">
      <c r="A15" s="4">
        <f>HYPERLINK("http://legacy.baseballprospectus.com/p/70943",70943)</f>
        <v>70943</v>
      </c>
      <c r="B15" t="s">
        <v>1377</v>
      </c>
      <c r="C15" t="s">
        <v>277</v>
      </c>
      <c r="D15" s="10">
        <v>34124</v>
      </c>
      <c r="E15" t="s">
        <v>33</v>
      </c>
      <c r="F15" t="s">
        <v>33</v>
      </c>
      <c r="G15">
        <v>74</v>
      </c>
      <c r="H15">
        <v>195</v>
      </c>
      <c r="I15">
        <v>2018</v>
      </c>
      <c r="J15" s="4" t="str">
        <f>HYPERLINK("http://legacy.baseballprospectus.com/fantasy/dc/index.php?tm=PHI","PHI")</f>
        <v>PHI</v>
      </c>
      <c r="K15" t="s">
        <v>100</v>
      </c>
      <c r="L15" t="s">
        <v>34</v>
      </c>
      <c r="M15">
        <v>25</v>
      </c>
      <c r="N15">
        <v>11</v>
      </c>
      <c r="O15">
        <v>8.8000000000000007</v>
      </c>
      <c r="P15">
        <v>17</v>
      </c>
      <c r="Q15">
        <v>1</v>
      </c>
      <c r="R15">
        <v>0</v>
      </c>
      <c r="S15">
        <v>0</v>
      </c>
      <c r="T15">
        <v>28</v>
      </c>
      <c r="U15">
        <v>28</v>
      </c>
      <c r="V15" s="9">
        <v>168</v>
      </c>
      <c r="W15">
        <v>693</v>
      </c>
      <c r="X15">
        <v>146</v>
      </c>
      <c r="Y15">
        <v>20</v>
      </c>
      <c r="Z15">
        <v>51</v>
      </c>
      <c r="AA15">
        <v>3</v>
      </c>
      <c r="AB15">
        <v>5</v>
      </c>
      <c r="AC15">
        <v>189</v>
      </c>
      <c r="AD15">
        <v>2.8</v>
      </c>
      <c r="AE15">
        <v>10.1</v>
      </c>
      <c r="AF15" s="5">
        <v>0.496</v>
      </c>
      <c r="AG15">
        <v>0.29499999999999998</v>
      </c>
      <c r="AH15">
        <v>1.18</v>
      </c>
      <c r="AI15">
        <v>3.44</v>
      </c>
      <c r="AJ15">
        <v>3.58</v>
      </c>
      <c r="AK15">
        <v>29.3</v>
      </c>
      <c r="AL15">
        <v>3.2</v>
      </c>
      <c r="AM15">
        <v>20</v>
      </c>
      <c r="AN15">
        <v>52</v>
      </c>
      <c r="AO15">
        <v>20</v>
      </c>
      <c r="AP15">
        <v>10</v>
      </c>
      <c r="AQ15" t="s">
        <v>2238</v>
      </c>
      <c r="AR15">
        <v>98</v>
      </c>
      <c r="AS15" t="s">
        <v>35</v>
      </c>
      <c r="AT15" t="s">
        <v>36</v>
      </c>
      <c r="AU15" s="4">
        <f>HYPERLINK("http://mlb.mlb.com/team/player.jsp?player_id=605400",605400)</f>
        <v>605400</v>
      </c>
      <c r="AV15">
        <v>1020</v>
      </c>
      <c r="AW15">
        <v>20</v>
      </c>
      <c r="AX15">
        <v>168</v>
      </c>
    </row>
    <row r="16" spans="1:50" x14ac:dyDescent="0.3">
      <c r="A16" s="4">
        <f>HYPERLINK("http://legacy.baseballprospectus.com/p/51645",51645)</f>
        <v>51645</v>
      </c>
      <c r="B16" t="s">
        <v>1142</v>
      </c>
      <c r="C16" t="s">
        <v>119</v>
      </c>
      <c r="D16" s="10">
        <v>32532</v>
      </c>
      <c r="E16" t="s">
        <v>33</v>
      </c>
      <c r="F16" t="s">
        <v>9</v>
      </c>
      <c r="G16">
        <v>73</v>
      </c>
      <c r="H16">
        <v>220</v>
      </c>
      <c r="I16">
        <v>2018</v>
      </c>
      <c r="J16" s="4" t="str">
        <f>HYPERLINK("http://legacy.baseballprospectus.com/fantasy/dc/index.php?tm=CHN","CHN")</f>
        <v>CHN</v>
      </c>
      <c r="K16" t="s">
        <v>100</v>
      </c>
      <c r="L16" t="s">
        <v>34</v>
      </c>
      <c r="M16">
        <v>29</v>
      </c>
      <c r="N16">
        <v>12.6</v>
      </c>
      <c r="O16">
        <v>7.9</v>
      </c>
      <c r="P16">
        <v>17</v>
      </c>
      <c r="Q16">
        <v>1</v>
      </c>
      <c r="R16">
        <v>0</v>
      </c>
      <c r="S16">
        <v>0</v>
      </c>
      <c r="T16">
        <v>29</v>
      </c>
      <c r="U16">
        <v>29</v>
      </c>
      <c r="V16" s="9">
        <v>174</v>
      </c>
      <c r="W16">
        <v>732</v>
      </c>
      <c r="X16">
        <v>159</v>
      </c>
      <c r="Y16">
        <v>19</v>
      </c>
      <c r="Z16">
        <v>57</v>
      </c>
      <c r="AA16">
        <v>4</v>
      </c>
      <c r="AB16">
        <v>8</v>
      </c>
      <c r="AC16">
        <v>178</v>
      </c>
      <c r="AD16">
        <v>2.9</v>
      </c>
      <c r="AE16">
        <v>9.1999999999999993</v>
      </c>
      <c r="AF16" s="5">
        <v>0.44500000000000001</v>
      </c>
      <c r="AG16">
        <v>0.29699999999999999</v>
      </c>
      <c r="AH16">
        <v>1.24</v>
      </c>
      <c r="AI16">
        <v>3.6</v>
      </c>
      <c r="AJ16">
        <v>3.69</v>
      </c>
      <c r="AK16">
        <v>28.3</v>
      </c>
      <c r="AL16">
        <v>3.1</v>
      </c>
      <c r="AM16">
        <v>7</v>
      </c>
      <c r="AN16">
        <v>33</v>
      </c>
      <c r="AO16">
        <v>24</v>
      </c>
      <c r="AP16">
        <v>7</v>
      </c>
      <c r="AQ16" t="s">
        <v>2244</v>
      </c>
      <c r="AR16">
        <v>98</v>
      </c>
      <c r="AS16" t="s">
        <v>35</v>
      </c>
      <c r="AT16" t="s">
        <v>36</v>
      </c>
      <c r="AU16" s="4">
        <f>HYPERLINK("http://mlb.mlb.com/team/player.jsp?player_id=500779",500779)</f>
        <v>500779</v>
      </c>
      <c r="AV16">
        <v>1010</v>
      </c>
      <c r="AW16">
        <v>10</v>
      </c>
      <c r="AX16">
        <v>188.7</v>
      </c>
    </row>
    <row r="17" spans="1:50" x14ac:dyDescent="0.3">
      <c r="A17" s="4">
        <f>HYPERLINK("http://legacy.baseballprospectus.com/p/31734",31734)</f>
        <v>31734</v>
      </c>
      <c r="B17" t="s">
        <v>818</v>
      </c>
      <c r="C17" t="s">
        <v>266</v>
      </c>
      <c r="D17" s="10">
        <v>30610</v>
      </c>
      <c r="E17" t="s">
        <v>33</v>
      </c>
      <c r="F17" t="s">
        <v>33</v>
      </c>
      <c r="G17">
        <v>74</v>
      </c>
      <c r="H17">
        <v>200</v>
      </c>
      <c r="I17">
        <v>2018</v>
      </c>
      <c r="J17" s="4" t="str">
        <f>HYPERLINK("http://legacy.baseballprospectus.com/fantasy/dc/index.php?tm=ARI","ARI")</f>
        <v>ARI</v>
      </c>
      <c r="K17" t="s">
        <v>100</v>
      </c>
      <c r="L17" t="s">
        <v>34</v>
      </c>
      <c r="M17">
        <v>34</v>
      </c>
      <c r="N17">
        <v>12.7</v>
      </c>
      <c r="O17">
        <v>9.1</v>
      </c>
      <c r="P17">
        <v>16</v>
      </c>
      <c r="Q17">
        <v>1</v>
      </c>
      <c r="R17">
        <v>0</v>
      </c>
      <c r="S17">
        <v>0</v>
      </c>
      <c r="T17">
        <v>28</v>
      </c>
      <c r="U17">
        <v>28</v>
      </c>
      <c r="V17" s="9">
        <v>187.66669999999999</v>
      </c>
      <c r="W17">
        <v>769</v>
      </c>
      <c r="X17">
        <v>166</v>
      </c>
      <c r="Y17">
        <v>19</v>
      </c>
      <c r="Z17">
        <v>54</v>
      </c>
      <c r="AA17">
        <v>2</v>
      </c>
      <c r="AB17">
        <v>5</v>
      </c>
      <c r="AC17">
        <v>182</v>
      </c>
      <c r="AD17">
        <v>2.6</v>
      </c>
      <c r="AE17">
        <v>8.8000000000000007</v>
      </c>
      <c r="AF17" s="5">
        <v>0.46800000000000003</v>
      </c>
      <c r="AG17">
        <v>0.28899999999999998</v>
      </c>
      <c r="AH17">
        <v>1.1599999999999999</v>
      </c>
      <c r="AI17">
        <v>3.4</v>
      </c>
      <c r="AJ17">
        <v>3.89</v>
      </c>
      <c r="AK17">
        <v>26.7</v>
      </c>
      <c r="AL17">
        <v>2.9</v>
      </c>
      <c r="AM17">
        <v>16</v>
      </c>
      <c r="AN17">
        <v>43</v>
      </c>
      <c r="AO17">
        <v>37</v>
      </c>
      <c r="AP17">
        <v>6</v>
      </c>
      <c r="AQ17" t="s">
        <v>2243</v>
      </c>
      <c r="AR17">
        <v>97</v>
      </c>
      <c r="AS17" t="s">
        <v>35</v>
      </c>
      <c r="AT17" t="s">
        <v>36</v>
      </c>
      <c r="AU17" s="4">
        <f>HYPERLINK("http://mlb.mlb.com/team/player.jsp?player_id=425844",425844)</f>
        <v>425844</v>
      </c>
      <c r="AV17">
        <v>1003</v>
      </c>
      <c r="AW17">
        <v>3</v>
      </c>
      <c r="AX17">
        <v>202.3</v>
      </c>
    </row>
    <row r="18" spans="1:50" x14ac:dyDescent="0.3">
      <c r="A18" s="4">
        <f>HYPERLINK("http://legacy.baseballprospectus.com/p/52691",52691)</f>
        <v>52691</v>
      </c>
      <c r="B18" t="s">
        <v>700</v>
      </c>
      <c r="C18" t="s">
        <v>344</v>
      </c>
      <c r="D18" s="10">
        <v>31477</v>
      </c>
      <c r="E18" t="s">
        <v>33</v>
      </c>
      <c r="F18" t="s">
        <v>33</v>
      </c>
      <c r="G18">
        <v>76</v>
      </c>
      <c r="H18">
        <v>225</v>
      </c>
      <c r="I18">
        <v>2018</v>
      </c>
      <c r="J18" s="4" t="str">
        <f>HYPERLINK("http://legacy.baseballprospectus.com/fantasy/dc/index.php?tm=PHI","PHI")</f>
        <v>PHI</v>
      </c>
      <c r="K18" t="s">
        <v>100</v>
      </c>
      <c r="L18" t="s">
        <v>34</v>
      </c>
      <c r="M18">
        <v>32</v>
      </c>
      <c r="N18">
        <v>11</v>
      </c>
      <c r="O18">
        <v>9.5</v>
      </c>
      <c r="P18">
        <v>17</v>
      </c>
      <c r="Q18">
        <v>1</v>
      </c>
      <c r="R18">
        <v>0</v>
      </c>
      <c r="S18">
        <v>0</v>
      </c>
      <c r="T18">
        <v>30</v>
      </c>
      <c r="U18">
        <v>30</v>
      </c>
      <c r="V18" s="9">
        <v>171</v>
      </c>
      <c r="W18">
        <v>697</v>
      </c>
      <c r="X18">
        <v>140</v>
      </c>
      <c r="Y18">
        <v>19</v>
      </c>
      <c r="Z18">
        <v>55</v>
      </c>
      <c r="AA18">
        <v>2</v>
      </c>
      <c r="AB18">
        <v>8</v>
      </c>
      <c r="AC18">
        <v>177</v>
      </c>
      <c r="AD18">
        <v>2.9</v>
      </c>
      <c r="AE18">
        <v>9.3000000000000007</v>
      </c>
      <c r="AF18" s="5">
        <v>0.49399999999999999</v>
      </c>
      <c r="AG18">
        <v>0.27600000000000002</v>
      </c>
      <c r="AH18">
        <v>1.1100000000000001</v>
      </c>
      <c r="AI18">
        <v>3.63</v>
      </c>
      <c r="AJ18">
        <v>3.79</v>
      </c>
      <c r="AK18">
        <v>26</v>
      </c>
      <c r="AL18">
        <v>2.9</v>
      </c>
      <c r="AM18">
        <v>11</v>
      </c>
      <c r="AN18">
        <v>30</v>
      </c>
      <c r="AO18">
        <v>34</v>
      </c>
      <c r="AP18">
        <v>11</v>
      </c>
      <c r="AQ18" t="s">
        <v>2265</v>
      </c>
      <c r="AR18">
        <v>90</v>
      </c>
      <c r="AS18" t="s">
        <v>35</v>
      </c>
      <c r="AT18" t="s">
        <v>36</v>
      </c>
      <c r="AU18" s="4">
        <f>HYPERLINK("http://mlb.mlb.com/team/player.jsp?player_id=453562",453562)</f>
        <v>453562</v>
      </c>
      <c r="AV18">
        <v>1694</v>
      </c>
      <c r="AW18">
        <v>694</v>
      </c>
      <c r="AX18">
        <v>168.3</v>
      </c>
    </row>
    <row r="19" spans="1:50" x14ac:dyDescent="0.3">
      <c r="A19" s="4">
        <f>HYPERLINK("http://legacy.baseballprospectus.com/p/65957",65957)</f>
        <v>65957</v>
      </c>
      <c r="B19" t="s">
        <v>362</v>
      </c>
      <c r="C19" t="s">
        <v>1061</v>
      </c>
      <c r="D19" s="10">
        <v>33124</v>
      </c>
      <c r="E19" t="s">
        <v>33</v>
      </c>
      <c r="F19" t="s">
        <v>33</v>
      </c>
      <c r="G19">
        <v>76</v>
      </c>
      <c r="H19">
        <v>225</v>
      </c>
      <c r="I19">
        <v>2018</v>
      </c>
      <c r="J19" s="4" t="str">
        <f>HYPERLINK("http://legacy.baseballprospectus.com/fantasy/dc/index.php?tm=HOU","HOU")</f>
        <v>HOU</v>
      </c>
      <c r="K19" t="s">
        <v>95</v>
      </c>
      <c r="L19" t="s">
        <v>34</v>
      </c>
      <c r="M19">
        <v>27</v>
      </c>
      <c r="N19">
        <v>13.2</v>
      </c>
      <c r="O19">
        <v>7</v>
      </c>
      <c r="P19">
        <v>15</v>
      </c>
      <c r="Q19">
        <v>1</v>
      </c>
      <c r="R19">
        <v>0</v>
      </c>
      <c r="S19">
        <v>0</v>
      </c>
      <c r="T19">
        <v>28</v>
      </c>
      <c r="U19">
        <v>28</v>
      </c>
      <c r="V19" s="9">
        <v>168</v>
      </c>
      <c r="W19">
        <v>709</v>
      </c>
      <c r="X19">
        <v>159</v>
      </c>
      <c r="Y19">
        <v>19</v>
      </c>
      <c r="Z19">
        <v>54</v>
      </c>
      <c r="AA19">
        <v>2</v>
      </c>
      <c r="AB19">
        <v>6</v>
      </c>
      <c r="AC19">
        <v>160</v>
      </c>
      <c r="AD19">
        <v>2.9</v>
      </c>
      <c r="AE19">
        <v>8.6</v>
      </c>
      <c r="AF19" s="5">
        <v>0.46500000000000002</v>
      </c>
      <c r="AG19">
        <v>0.3</v>
      </c>
      <c r="AH19">
        <v>1.28</v>
      </c>
      <c r="AI19">
        <v>3.65</v>
      </c>
      <c r="AJ19">
        <v>4.01</v>
      </c>
      <c r="AK19">
        <v>26.5</v>
      </c>
      <c r="AL19">
        <v>2.9</v>
      </c>
      <c r="AM19">
        <v>23</v>
      </c>
      <c r="AN19">
        <v>52</v>
      </c>
      <c r="AO19">
        <v>23</v>
      </c>
      <c r="AP19">
        <v>9</v>
      </c>
      <c r="AQ19" t="s">
        <v>2249</v>
      </c>
      <c r="AR19">
        <v>94</v>
      </c>
      <c r="AS19" t="s">
        <v>35</v>
      </c>
      <c r="AT19" t="s">
        <v>36</v>
      </c>
      <c r="AU19" s="4">
        <f>HYPERLINK("http://mlb.mlb.com/team/player.jsp?player_id=543037",543037)</f>
        <v>543037</v>
      </c>
      <c r="AV19">
        <v>6</v>
      </c>
      <c r="AW19">
        <v>1006</v>
      </c>
      <c r="AX19">
        <v>203</v>
      </c>
    </row>
    <row r="20" spans="1:50" x14ac:dyDescent="0.3">
      <c r="A20" s="4">
        <f>HYPERLINK("http://legacy.baseballprospectus.com/p/68467",68467)</f>
        <v>68467</v>
      </c>
      <c r="B20" t="s">
        <v>1064</v>
      </c>
      <c r="C20" t="s">
        <v>149</v>
      </c>
      <c r="D20" s="10">
        <v>32453</v>
      </c>
      <c r="E20" t="s">
        <v>9</v>
      </c>
      <c r="F20" t="s">
        <v>9</v>
      </c>
      <c r="G20">
        <v>76</v>
      </c>
      <c r="H20">
        <v>235</v>
      </c>
      <c r="I20">
        <v>2018</v>
      </c>
      <c r="J20" s="4" t="str">
        <f>HYPERLINK("http://legacy.baseballprospectus.com/fantasy/dc/index.php?tm=SEA","SEA")</f>
        <v>SEA</v>
      </c>
      <c r="K20" t="s">
        <v>95</v>
      </c>
      <c r="L20" t="s">
        <v>34</v>
      </c>
      <c r="M20">
        <v>29</v>
      </c>
      <c r="N20">
        <v>10.199999999999999</v>
      </c>
      <c r="O20">
        <v>7.4</v>
      </c>
      <c r="P20">
        <v>15</v>
      </c>
      <c r="Q20">
        <v>1</v>
      </c>
      <c r="R20">
        <v>0</v>
      </c>
      <c r="S20">
        <v>0</v>
      </c>
      <c r="T20">
        <v>26</v>
      </c>
      <c r="U20">
        <v>26</v>
      </c>
      <c r="V20" s="9">
        <v>148.33330000000001</v>
      </c>
      <c r="W20">
        <v>623</v>
      </c>
      <c r="X20">
        <v>136</v>
      </c>
      <c r="Y20">
        <v>17</v>
      </c>
      <c r="Z20">
        <v>49</v>
      </c>
      <c r="AA20">
        <v>4</v>
      </c>
      <c r="AB20">
        <v>5</v>
      </c>
      <c r="AC20">
        <v>155</v>
      </c>
      <c r="AD20">
        <v>3</v>
      </c>
      <c r="AE20">
        <v>9.4</v>
      </c>
      <c r="AF20" s="5">
        <v>0.46700000000000003</v>
      </c>
      <c r="AG20">
        <v>0.30099999999999999</v>
      </c>
      <c r="AH20">
        <v>1.26</v>
      </c>
      <c r="AI20">
        <v>3.5</v>
      </c>
      <c r="AJ20">
        <v>3.83</v>
      </c>
      <c r="AK20">
        <v>26</v>
      </c>
      <c r="AL20">
        <v>2.9</v>
      </c>
      <c r="AM20">
        <v>24</v>
      </c>
      <c r="AN20">
        <v>47</v>
      </c>
      <c r="AO20">
        <v>22</v>
      </c>
      <c r="AP20">
        <v>16</v>
      </c>
      <c r="AQ20" t="s">
        <v>2250</v>
      </c>
      <c r="AR20">
        <v>98</v>
      </c>
      <c r="AS20" t="s">
        <v>35</v>
      </c>
      <c r="AT20" t="s">
        <v>36</v>
      </c>
      <c r="AU20" s="4">
        <f>HYPERLINK("http://mlb.mlb.com/team/player.jsp?player_id=572020",572020)</f>
        <v>572020</v>
      </c>
      <c r="AV20">
        <v>41</v>
      </c>
      <c r="AW20">
        <v>1041</v>
      </c>
      <c r="AX20">
        <v>136</v>
      </c>
    </row>
    <row r="21" spans="1:50" x14ac:dyDescent="0.3">
      <c r="A21" s="4">
        <f>HYPERLINK("http://legacy.baseballprospectus.com/p/111306",111306)</f>
        <v>111306</v>
      </c>
      <c r="B21" t="s">
        <v>2253</v>
      </c>
      <c r="C21" t="s">
        <v>2254</v>
      </c>
      <c r="D21" s="10">
        <v>34520</v>
      </c>
      <c r="E21" t="s">
        <v>9</v>
      </c>
      <c r="F21" t="s">
        <v>33</v>
      </c>
      <c r="G21">
        <v>76</v>
      </c>
      <c r="H21">
        <v>205</v>
      </c>
      <c r="I21">
        <v>2018</v>
      </c>
      <c r="J21" s="4" t="str">
        <f>HYPERLINK("http://legacy.baseballprospectus.com/fantasy/dc/index.php?tm=ANA","ANA")</f>
        <v>ANA</v>
      </c>
      <c r="K21" t="s">
        <v>95</v>
      </c>
      <c r="L21" t="s">
        <v>34</v>
      </c>
      <c r="M21">
        <v>23</v>
      </c>
      <c r="N21">
        <v>9.6</v>
      </c>
      <c r="O21">
        <v>7.1</v>
      </c>
      <c r="P21">
        <v>14</v>
      </c>
      <c r="Q21">
        <v>1</v>
      </c>
      <c r="R21">
        <v>0</v>
      </c>
      <c r="S21">
        <v>0</v>
      </c>
      <c r="T21">
        <v>24</v>
      </c>
      <c r="U21">
        <v>24</v>
      </c>
      <c r="V21" s="9">
        <v>144</v>
      </c>
      <c r="W21">
        <v>594</v>
      </c>
      <c r="X21">
        <v>128</v>
      </c>
      <c r="Y21">
        <v>17</v>
      </c>
      <c r="Z21">
        <v>44</v>
      </c>
      <c r="AA21">
        <v>2</v>
      </c>
      <c r="AB21">
        <v>5</v>
      </c>
      <c r="AC21">
        <v>148</v>
      </c>
      <c r="AD21">
        <v>2.7</v>
      </c>
      <c r="AE21">
        <v>9.3000000000000007</v>
      </c>
      <c r="AF21" s="5">
        <v>0.45</v>
      </c>
      <c r="AG21">
        <v>0.29099999999999998</v>
      </c>
      <c r="AH21">
        <v>1.18</v>
      </c>
      <c r="AI21">
        <v>3.48</v>
      </c>
      <c r="AJ21">
        <v>3.77</v>
      </c>
      <c r="AK21">
        <v>26.2</v>
      </c>
      <c r="AL21">
        <v>2.9</v>
      </c>
      <c r="AM21">
        <v>26</v>
      </c>
      <c r="AN21">
        <v>61</v>
      </c>
      <c r="AO21">
        <v>19</v>
      </c>
      <c r="AP21">
        <v>6</v>
      </c>
      <c r="AQ21" t="s">
        <v>2255</v>
      </c>
      <c r="AR21">
        <v>97</v>
      </c>
      <c r="AS21" t="s">
        <v>35</v>
      </c>
      <c r="AT21" t="s">
        <v>35</v>
      </c>
      <c r="AU21" s="4">
        <f>HYPERLINK("http://mlb.mlb.com/team/player.jsp?player_id=660271",660271)</f>
        <v>660271</v>
      </c>
      <c r="AV21">
        <v>157</v>
      </c>
      <c r="AW21">
        <v>1157</v>
      </c>
      <c r="AX21">
        <v>0</v>
      </c>
    </row>
    <row r="22" spans="1:50" x14ac:dyDescent="0.3">
      <c r="A22" s="4">
        <f>HYPERLINK("http://legacy.baseballprospectus.com/p/53155",53155)</f>
        <v>53155</v>
      </c>
      <c r="B22" t="s">
        <v>1040</v>
      </c>
      <c r="C22" t="s">
        <v>1041</v>
      </c>
      <c r="D22" s="10">
        <v>31640</v>
      </c>
      <c r="E22" t="s">
        <v>33</v>
      </c>
      <c r="F22" t="s">
        <v>33</v>
      </c>
      <c r="G22">
        <v>77</v>
      </c>
      <c r="H22">
        <v>220</v>
      </c>
      <c r="I22">
        <v>2018</v>
      </c>
      <c r="J22" s="4" t="str">
        <f>HYPERLINK("http://legacy.baseballprospectus.com/fantasy/dc/index.php?tm=CHN","CHN")</f>
        <v>CHN</v>
      </c>
      <c r="K22" t="s">
        <v>100</v>
      </c>
      <c r="L22" t="s">
        <v>34</v>
      </c>
      <c r="M22">
        <v>31</v>
      </c>
      <c r="N22">
        <v>12.9</v>
      </c>
      <c r="O22">
        <v>8.5</v>
      </c>
      <c r="P22">
        <v>17</v>
      </c>
      <c r="Q22">
        <v>1</v>
      </c>
      <c r="R22">
        <v>0</v>
      </c>
      <c r="S22">
        <v>0</v>
      </c>
      <c r="T22">
        <v>30</v>
      </c>
      <c r="U22">
        <v>30</v>
      </c>
      <c r="V22" s="9">
        <v>180</v>
      </c>
      <c r="W22">
        <v>754</v>
      </c>
      <c r="X22">
        <v>156</v>
      </c>
      <c r="Y22">
        <v>24</v>
      </c>
      <c r="Z22">
        <v>62</v>
      </c>
      <c r="AA22">
        <v>3</v>
      </c>
      <c r="AB22">
        <v>8</v>
      </c>
      <c r="AC22">
        <v>203</v>
      </c>
      <c r="AD22">
        <v>3.1</v>
      </c>
      <c r="AE22">
        <v>10.1</v>
      </c>
      <c r="AF22" s="5">
        <v>0.42599999999999999</v>
      </c>
      <c r="AG22">
        <v>0.28999999999999998</v>
      </c>
      <c r="AH22">
        <v>1.21</v>
      </c>
      <c r="AI22">
        <v>3.78</v>
      </c>
      <c r="AJ22">
        <v>3.9</v>
      </c>
      <c r="AK22">
        <v>25.4</v>
      </c>
      <c r="AL22">
        <v>2.8</v>
      </c>
      <c r="AM22">
        <v>20</v>
      </c>
      <c r="AN22">
        <v>53</v>
      </c>
      <c r="AO22">
        <v>21</v>
      </c>
      <c r="AP22">
        <v>9</v>
      </c>
      <c r="AQ22" t="s">
        <v>2260</v>
      </c>
      <c r="AR22">
        <v>93</v>
      </c>
      <c r="AS22" t="s">
        <v>35</v>
      </c>
      <c r="AT22" t="s">
        <v>36</v>
      </c>
      <c r="AU22" s="4">
        <f>HYPERLINK("http://mlb.mlb.com/team/player.jsp?player_id=506433",506433)</f>
        <v>506433</v>
      </c>
      <c r="AV22">
        <v>1693</v>
      </c>
      <c r="AW22">
        <v>693</v>
      </c>
      <c r="AX22">
        <v>186.7</v>
      </c>
    </row>
    <row r="23" spans="1:50" x14ac:dyDescent="0.3">
      <c r="A23" s="4">
        <f>HYPERLINK("http://legacy.baseballprospectus.com/p/56723",56723)</f>
        <v>56723</v>
      </c>
      <c r="B23" t="s">
        <v>1169</v>
      </c>
      <c r="C23" t="s">
        <v>329</v>
      </c>
      <c r="D23" s="10">
        <v>32884</v>
      </c>
      <c r="E23" t="s">
        <v>33</v>
      </c>
      <c r="F23" t="s">
        <v>33</v>
      </c>
      <c r="G23">
        <v>72</v>
      </c>
      <c r="H23">
        <v>195</v>
      </c>
      <c r="I23">
        <v>2018</v>
      </c>
      <c r="J23" s="4" t="str">
        <f>HYPERLINK("http://legacy.baseballprospectus.com/fantasy/dc/index.php?tm=CLE","CLE")</f>
        <v>CLE</v>
      </c>
      <c r="K23" t="s">
        <v>95</v>
      </c>
      <c r="L23" t="s">
        <v>34</v>
      </c>
      <c r="M23">
        <v>28</v>
      </c>
      <c r="N23">
        <v>9.8000000000000007</v>
      </c>
      <c r="O23">
        <v>5.6</v>
      </c>
      <c r="P23">
        <v>11</v>
      </c>
      <c r="Q23">
        <v>0</v>
      </c>
      <c r="R23">
        <v>0</v>
      </c>
      <c r="S23">
        <v>0</v>
      </c>
      <c r="T23">
        <v>42</v>
      </c>
      <c r="U23">
        <v>19</v>
      </c>
      <c r="V23" s="9">
        <v>132.66669999999999</v>
      </c>
      <c r="W23">
        <v>558</v>
      </c>
      <c r="X23">
        <v>112</v>
      </c>
      <c r="Y23">
        <v>15</v>
      </c>
      <c r="Z23">
        <v>53</v>
      </c>
      <c r="AA23">
        <v>3</v>
      </c>
      <c r="AB23">
        <v>4</v>
      </c>
      <c r="AC23">
        <v>165</v>
      </c>
      <c r="AD23">
        <v>3.6</v>
      </c>
      <c r="AE23">
        <v>11.2</v>
      </c>
      <c r="AF23" s="5">
        <v>0.438</v>
      </c>
      <c r="AG23">
        <v>0.30299999999999999</v>
      </c>
      <c r="AH23">
        <v>1.25</v>
      </c>
      <c r="AI23">
        <v>3.18</v>
      </c>
      <c r="AJ23">
        <v>3.67</v>
      </c>
      <c r="AK23">
        <v>24.8</v>
      </c>
      <c r="AL23">
        <v>2.7</v>
      </c>
      <c r="AM23">
        <v>22</v>
      </c>
      <c r="AN23">
        <v>53</v>
      </c>
      <c r="AO23">
        <v>22</v>
      </c>
      <c r="AP23">
        <v>7</v>
      </c>
      <c r="AQ23" t="s">
        <v>2276</v>
      </c>
      <c r="AR23">
        <v>91</v>
      </c>
      <c r="AS23" t="s">
        <v>35</v>
      </c>
      <c r="AT23" t="s">
        <v>36</v>
      </c>
      <c r="AU23" s="4">
        <f>HYPERLINK("http://mlb.mlb.com/team/player.jsp?player_id=517593",517593)</f>
        <v>517593</v>
      </c>
      <c r="AV23">
        <v>53</v>
      </c>
      <c r="AW23">
        <v>1053</v>
      </c>
      <c r="AX23">
        <v>103</v>
      </c>
    </row>
    <row r="24" spans="1:50" x14ac:dyDescent="0.3">
      <c r="A24" s="4">
        <f>HYPERLINK("http://legacy.baseballprospectus.com/p/60448",60448)</f>
        <v>60448</v>
      </c>
      <c r="B24" t="s">
        <v>849</v>
      </c>
      <c r="C24" t="s">
        <v>510</v>
      </c>
      <c r="D24" s="10">
        <v>32143</v>
      </c>
      <c r="E24" t="s">
        <v>9</v>
      </c>
      <c r="F24" t="s">
        <v>9</v>
      </c>
      <c r="G24">
        <v>75</v>
      </c>
      <c r="H24">
        <v>205</v>
      </c>
      <c r="I24">
        <v>2018</v>
      </c>
      <c r="J24" s="4" t="str">
        <f>HYPERLINK("http://legacy.baseballprospectus.com/fantasy/dc/index.php?tm=HOU","HOU")</f>
        <v>HOU</v>
      </c>
      <c r="K24" t="s">
        <v>95</v>
      </c>
      <c r="L24" t="s">
        <v>34</v>
      </c>
      <c r="M24">
        <v>30</v>
      </c>
      <c r="N24">
        <v>13.1</v>
      </c>
      <c r="O24">
        <v>7.2</v>
      </c>
      <c r="P24">
        <v>15</v>
      </c>
      <c r="Q24">
        <v>1</v>
      </c>
      <c r="R24">
        <v>0</v>
      </c>
      <c r="S24">
        <v>0</v>
      </c>
      <c r="T24">
        <v>28</v>
      </c>
      <c r="U24">
        <v>28</v>
      </c>
      <c r="V24" s="9">
        <v>168</v>
      </c>
      <c r="W24">
        <v>704</v>
      </c>
      <c r="X24">
        <v>158</v>
      </c>
      <c r="Y24">
        <v>15</v>
      </c>
      <c r="Z24">
        <v>60</v>
      </c>
      <c r="AA24">
        <v>2</v>
      </c>
      <c r="AB24">
        <v>6</v>
      </c>
      <c r="AC24">
        <v>137</v>
      </c>
      <c r="AD24">
        <v>3.2</v>
      </c>
      <c r="AE24">
        <v>7.3</v>
      </c>
      <c r="AF24" s="5">
        <v>0.57899999999999996</v>
      </c>
      <c r="AG24">
        <v>0.29299999999999998</v>
      </c>
      <c r="AH24">
        <v>1.3</v>
      </c>
      <c r="AI24">
        <v>3.76</v>
      </c>
      <c r="AJ24">
        <v>4.12</v>
      </c>
      <c r="AK24">
        <v>24.4</v>
      </c>
      <c r="AL24">
        <v>2.7</v>
      </c>
      <c r="AM24">
        <v>11</v>
      </c>
      <c r="AN24">
        <v>43</v>
      </c>
      <c r="AO24">
        <v>40</v>
      </c>
      <c r="AP24">
        <v>19</v>
      </c>
      <c r="AQ24" t="s">
        <v>2245</v>
      </c>
      <c r="AR24">
        <v>95</v>
      </c>
      <c r="AS24" t="s">
        <v>35</v>
      </c>
      <c r="AT24" t="s">
        <v>36</v>
      </c>
      <c r="AU24" s="4">
        <f>HYPERLINK("http://mlb.mlb.com/team/player.jsp?player_id=572971",572971)</f>
        <v>572971</v>
      </c>
      <c r="AV24">
        <v>35</v>
      </c>
      <c r="AW24">
        <v>1035</v>
      </c>
      <c r="AX24">
        <v>145.69999999999999</v>
      </c>
    </row>
    <row r="25" spans="1:50" x14ac:dyDescent="0.3">
      <c r="A25" s="4">
        <f>HYPERLINK("http://legacy.baseballprospectus.com/p/68694",68694)</f>
        <v>68694</v>
      </c>
      <c r="B25" t="s">
        <v>1801</v>
      </c>
      <c r="C25" t="s">
        <v>1802</v>
      </c>
      <c r="D25" s="10">
        <v>33560</v>
      </c>
      <c r="E25" t="s">
        <v>33</v>
      </c>
      <c r="F25" t="s">
        <v>33</v>
      </c>
      <c r="G25">
        <v>77</v>
      </c>
      <c r="H25">
        <v>225</v>
      </c>
      <c r="I25">
        <v>2018</v>
      </c>
      <c r="J25" s="4" t="str">
        <f>HYPERLINK("http://legacy.baseballprospectus.com/fantasy/dc/index.php?tm=PIT","PIT")</f>
        <v>PIT</v>
      </c>
      <c r="K25" t="s">
        <v>100</v>
      </c>
      <c r="L25" t="s">
        <v>34</v>
      </c>
      <c r="M25">
        <v>26</v>
      </c>
      <c r="N25">
        <v>9.6999999999999993</v>
      </c>
      <c r="O25">
        <v>9.3000000000000007</v>
      </c>
      <c r="P25">
        <v>16</v>
      </c>
      <c r="Q25">
        <v>1</v>
      </c>
      <c r="R25">
        <v>0</v>
      </c>
      <c r="S25">
        <v>0</v>
      </c>
      <c r="T25">
        <v>28</v>
      </c>
      <c r="U25">
        <v>28</v>
      </c>
      <c r="V25" s="9">
        <v>159.66669999999999</v>
      </c>
      <c r="W25">
        <v>673</v>
      </c>
      <c r="X25">
        <v>151</v>
      </c>
      <c r="Y25">
        <v>16</v>
      </c>
      <c r="Z25">
        <v>49</v>
      </c>
      <c r="AA25">
        <v>3</v>
      </c>
      <c r="AB25">
        <v>5</v>
      </c>
      <c r="AC25">
        <v>152</v>
      </c>
      <c r="AD25">
        <v>2.8</v>
      </c>
      <c r="AE25">
        <v>8.6</v>
      </c>
      <c r="AF25" s="5">
        <v>0.48599999999999999</v>
      </c>
      <c r="AG25">
        <v>0.29899999999999999</v>
      </c>
      <c r="AH25">
        <v>1.26</v>
      </c>
      <c r="AI25">
        <v>3.5</v>
      </c>
      <c r="AJ25">
        <v>3.8</v>
      </c>
      <c r="AK25">
        <v>24.1</v>
      </c>
      <c r="AL25">
        <v>2.7</v>
      </c>
      <c r="AM25">
        <v>39</v>
      </c>
      <c r="AN25">
        <v>69</v>
      </c>
      <c r="AO25">
        <v>14</v>
      </c>
      <c r="AP25">
        <v>10</v>
      </c>
      <c r="AQ25" t="s">
        <v>2251</v>
      </c>
      <c r="AR25">
        <v>93</v>
      </c>
      <c r="AS25" t="s">
        <v>35</v>
      </c>
      <c r="AT25" t="s">
        <v>36</v>
      </c>
      <c r="AU25" s="4">
        <f>HYPERLINK("http://mlb.mlb.com/team/player.jsp?player_id=592791",592791)</f>
        <v>592791</v>
      </c>
      <c r="AV25">
        <v>1040</v>
      </c>
      <c r="AW25">
        <v>40</v>
      </c>
      <c r="AX25">
        <v>133.69999999999999</v>
      </c>
    </row>
    <row r="26" spans="1:50" x14ac:dyDescent="0.3">
      <c r="A26" s="4">
        <f>HYPERLINK("http://legacy.baseballprospectus.com/p/70371",70371)</f>
        <v>70371</v>
      </c>
      <c r="B26" t="s">
        <v>1164</v>
      </c>
      <c r="C26" t="s">
        <v>477</v>
      </c>
      <c r="D26" s="10">
        <v>33359</v>
      </c>
      <c r="E26" t="s">
        <v>33</v>
      </c>
      <c r="F26" t="s">
        <v>33</v>
      </c>
      <c r="G26">
        <v>68</v>
      </c>
      <c r="H26">
        <v>180</v>
      </c>
      <c r="I26">
        <v>2018</v>
      </c>
      <c r="J26" s="4" t="str">
        <f>HYPERLINK("http://legacy.baseballprospectus.com/fantasy/dc/index.php?tm=TOR","TOR")</f>
        <v>TOR</v>
      </c>
      <c r="K26" t="s">
        <v>95</v>
      </c>
      <c r="L26" t="s">
        <v>34</v>
      </c>
      <c r="M26">
        <v>27</v>
      </c>
      <c r="N26">
        <v>11.4</v>
      </c>
      <c r="O26">
        <v>8.9</v>
      </c>
      <c r="P26">
        <v>15</v>
      </c>
      <c r="Q26">
        <v>1</v>
      </c>
      <c r="R26">
        <v>0</v>
      </c>
      <c r="S26">
        <v>0</v>
      </c>
      <c r="T26">
        <v>28</v>
      </c>
      <c r="U26">
        <v>28</v>
      </c>
      <c r="V26" s="9">
        <v>176.33330000000001</v>
      </c>
      <c r="W26">
        <v>756</v>
      </c>
      <c r="X26">
        <v>175</v>
      </c>
      <c r="Y26">
        <v>17</v>
      </c>
      <c r="Z26">
        <v>64</v>
      </c>
      <c r="AA26">
        <v>2</v>
      </c>
      <c r="AB26">
        <v>6</v>
      </c>
      <c r="AC26">
        <v>147</v>
      </c>
      <c r="AD26">
        <v>3.3</v>
      </c>
      <c r="AE26">
        <v>7.5</v>
      </c>
      <c r="AF26" s="5">
        <v>0.56699999999999995</v>
      </c>
      <c r="AG26">
        <v>0.30299999999999999</v>
      </c>
      <c r="AH26">
        <v>1.37</v>
      </c>
      <c r="AI26">
        <v>3.84</v>
      </c>
      <c r="AJ26">
        <v>4.17</v>
      </c>
      <c r="AK26">
        <v>24.7</v>
      </c>
      <c r="AL26">
        <v>2.7</v>
      </c>
      <c r="AM26">
        <v>20</v>
      </c>
      <c r="AN26">
        <v>51</v>
      </c>
      <c r="AO26">
        <v>19</v>
      </c>
      <c r="AP26">
        <v>7</v>
      </c>
      <c r="AQ26" t="s">
        <v>2247</v>
      </c>
      <c r="AR26">
        <v>93</v>
      </c>
      <c r="AS26" t="s">
        <v>35</v>
      </c>
      <c r="AT26" t="s">
        <v>36</v>
      </c>
      <c r="AU26" s="4">
        <f>HYPERLINK("http://mlb.mlb.com/team/player.jsp?player_id=573186",573186)</f>
        <v>573186</v>
      </c>
      <c r="AV26">
        <v>8</v>
      </c>
      <c r="AW26">
        <v>1008</v>
      </c>
      <c r="AX26">
        <v>201</v>
      </c>
    </row>
    <row r="27" spans="1:50" x14ac:dyDescent="0.3">
      <c r="A27" s="4">
        <f>HYPERLINK("http://legacy.baseballprospectus.com/p/45548",45548)</f>
        <v>45548</v>
      </c>
      <c r="B27" t="s">
        <v>860</v>
      </c>
      <c r="C27" t="s">
        <v>442</v>
      </c>
      <c r="D27" s="10">
        <v>30688</v>
      </c>
      <c r="E27" t="s">
        <v>9</v>
      </c>
      <c r="F27" t="s">
        <v>9</v>
      </c>
      <c r="G27">
        <v>76</v>
      </c>
      <c r="H27">
        <v>240</v>
      </c>
      <c r="I27">
        <v>2018</v>
      </c>
      <c r="J27" s="4" t="str">
        <f>HYPERLINK("http://legacy.baseballprospectus.com/fantasy/dc/index.php?tm=CHN","CHN")</f>
        <v>CHN</v>
      </c>
      <c r="K27" t="s">
        <v>100</v>
      </c>
      <c r="L27" t="s">
        <v>34</v>
      </c>
      <c r="M27">
        <v>34</v>
      </c>
      <c r="N27">
        <v>12.9</v>
      </c>
      <c r="O27">
        <v>8.6</v>
      </c>
      <c r="P27">
        <v>16</v>
      </c>
      <c r="Q27">
        <v>1</v>
      </c>
      <c r="R27">
        <v>0</v>
      </c>
      <c r="S27">
        <v>0</v>
      </c>
      <c r="T27">
        <v>29</v>
      </c>
      <c r="U27">
        <v>29</v>
      </c>
      <c r="V27" s="9">
        <v>182.66669999999999</v>
      </c>
      <c r="W27">
        <v>774</v>
      </c>
      <c r="X27">
        <v>171</v>
      </c>
      <c r="Y27">
        <v>21</v>
      </c>
      <c r="Z27">
        <v>62</v>
      </c>
      <c r="AA27">
        <v>2</v>
      </c>
      <c r="AB27">
        <v>8</v>
      </c>
      <c r="AC27">
        <v>170</v>
      </c>
      <c r="AD27">
        <v>3.1</v>
      </c>
      <c r="AE27">
        <v>8.4</v>
      </c>
      <c r="AF27" s="5">
        <v>0.47199999999999998</v>
      </c>
      <c r="AG27">
        <v>0.29299999999999998</v>
      </c>
      <c r="AH27">
        <v>1.27</v>
      </c>
      <c r="AI27">
        <v>3.91</v>
      </c>
      <c r="AJ27">
        <v>4.04</v>
      </c>
      <c r="AK27">
        <v>23.2</v>
      </c>
      <c r="AL27">
        <v>2.5</v>
      </c>
      <c r="AM27">
        <v>15</v>
      </c>
      <c r="AN27">
        <v>49</v>
      </c>
      <c r="AO27">
        <v>21</v>
      </c>
      <c r="AP27">
        <v>10</v>
      </c>
      <c r="AQ27" t="s">
        <v>2256</v>
      </c>
      <c r="AR27">
        <v>97</v>
      </c>
      <c r="AS27" t="s">
        <v>35</v>
      </c>
      <c r="AT27" t="s">
        <v>36</v>
      </c>
      <c r="AU27" s="4">
        <f>HYPERLINK("http://mlb.mlb.com/team/player.jsp?player_id=452657",452657)</f>
        <v>452657</v>
      </c>
      <c r="AV27">
        <v>1015</v>
      </c>
      <c r="AW27">
        <v>15</v>
      </c>
      <c r="AX27">
        <v>180.7</v>
      </c>
    </row>
    <row r="28" spans="1:50" x14ac:dyDescent="0.3">
      <c r="A28" s="4">
        <f>HYPERLINK("http://legacy.baseballprospectus.com/p/70306",70306)</f>
        <v>70306</v>
      </c>
      <c r="B28" t="s">
        <v>815</v>
      </c>
      <c r="C28" t="s">
        <v>816</v>
      </c>
      <c r="D28" s="10">
        <v>32819</v>
      </c>
      <c r="E28" t="s">
        <v>33</v>
      </c>
      <c r="F28" t="s">
        <v>33</v>
      </c>
      <c r="G28">
        <v>70</v>
      </c>
      <c r="H28">
        <v>190</v>
      </c>
      <c r="I28">
        <v>2018</v>
      </c>
      <c r="J28" s="4" t="str">
        <f>HYPERLINK("http://legacy.baseballprospectus.com/fantasy/dc/index.php?tm=NYA","NYA")</f>
        <v>NYA</v>
      </c>
      <c r="K28" t="s">
        <v>95</v>
      </c>
      <c r="L28" t="s">
        <v>34</v>
      </c>
      <c r="M28">
        <v>28</v>
      </c>
      <c r="N28">
        <v>12.7</v>
      </c>
      <c r="O28">
        <v>7.5</v>
      </c>
      <c r="P28">
        <v>15</v>
      </c>
      <c r="Q28">
        <v>1</v>
      </c>
      <c r="R28">
        <v>0</v>
      </c>
      <c r="S28">
        <v>0</v>
      </c>
      <c r="T28">
        <v>28</v>
      </c>
      <c r="U28">
        <v>28</v>
      </c>
      <c r="V28" s="9">
        <v>168</v>
      </c>
      <c r="W28">
        <v>711</v>
      </c>
      <c r="X28">
        <v>158</v>
      </c>
      <c r="Y28">
        <v>21</v>
      </c>
      <c r="Z28">
        <v>61</v>
      </c>
      <c r="AA28">
        <v>2</v>
      </c>
      <c r="AB28">
        <v>5</v>
      </c>
      <c r="AC28">
        <v>149</v>
      </c>
      <c r="AD28">
        <v>3.3</v>
      </c>
      <c r="AE28">
        <v>8</v>
      </c>
      <c r="AF28" s="5">
        <v>0.51100000000000001</v>
      </c>
      <c r="AG28">
        <v>0.28799999999999998</v>
      </c>
      <c r="AH28">
        <v>1.29</v>
      </c>
      <c r="AI28">
        <v>4</v>
      </c>
      <c r="AJ28">
        <v>4.2300000000000004</v>
      </c>
      <c r="AK28">
        <v>22.5</v>
      </c>
      <c r="AL28">
        <v>2.5</v>
      </c>
      <c r="AM28">
        <v>20</v>
      </c>
      <c r="AN28">
        <v>44</v>
      </c>
      <c r="AO28">
        <v>28</v>
      </c>
      <c r="AP28">
        <v>12</v>
      </c>
      <c r="AQ28" t="s">
        <v>2269</v>
      </c>
      <c r="AR28">
        <v>96</v>
      </c>
      <c r="AS28" t="s">
        <v>35</v>
      </c>
      <c r="AT28" t="s">
        <v>36</v>
      </c>
      <c r="AU28" s="4">
        <f>HYPERLINK("http://mlb.mlb.com/team/player.jsp?player_id=543243",543243)</f>
        <v>543243</v>
      </c>
      <c r="AV28">
        <v>21</v>
      </c>
      <c r="AW28">
        <v>1021</v>
      </c>
      <c r="AX28">
        <v>162.30000000000001</v>
      </c>
    </row>
    <row r="29" spans="1:50" x14ac:dyDescent="0.3">
      <c r="A29" s="4">
        <f>HYPERLINK("http://legacy.baseballprospectus.com/p/70335",70335)</f>
        <v>70335</v>
      </c>
      <c r="B29" t="s">
        <v>711</v>
      </c>
      <c r="C29" t="s">
        <v>272</v>
      </c>
      <c r="D29" s="10">
        <v>33255</v>
      </c>
      <c r="E29" t="s">
        <v>33</v>
      </c>
      <c r="F29" t="s">
        <v>33</v>
      </c>
      <c r="G29">
        <v>73</v>
      </c>
      <c r="H29">
        <v>190</v>
      </c>
      <c r="I29">
        <v>2018</v>
      </c>
      <c r="J29" s="4" t="str">
        <f>HYPERLINK("http://legacy.baseballprospectus.com/fantasy/dc/index.php?tm=CLE","CLE")</f>
        <v>CLE</v>
      </c>
      <c r="K29" t="s">
        <v>95</v>
      </c>
      <c r="L29" t="s">
        <v>34</v>
      </c>
      <c r="M29">
        <v>27</v>
      </c>
      <c r="N29">
        <v>12.7</v>
      </c>
      <c r="O29">
        <v>8.1</v>
      </c>
      <c r="P29">
        <v>16</v>
      </c>
      <c r="Q29">
        <v>1</v>
      </c>
      <c r="R29">
        <v>0</v>
      </c>
      <c r="S29">
        <v>0</v>
      </c>
      <c r="T29">
        <v>30</v>
      </c>
      <c r="U29">
        <v>30</v>
      </c>
      <c r="V29" s="9">
        <v>171</v>
      </c>
      <c r="W29">
        <v>732</v>
      </c>
      <c r="X29">
        <v>159</v>
      </c>
      <c r="Y29">
        <v>21</v>
      </c>
      <c r="Z29">
        <v>67</v>
      </c>
      <c r="AA29">
        <v>3</v>
      </c>
      <c r="AB29">
        <v>6</v>
      </c>
      <c r="AC29">
        <v>174</v>
      </c>
      <c r="AD29">
        <v>3.5</v>
      </c>
      <c r="AE29">
        <v>9.1999999999999993</v>
      </c>
      <c r="AF29" s="5">
        <v>0.45300000000000001</v>
      </c>
      <c r="AG29">
        <v>0.29799999999999999</v>
      </c>
      <c r="AH29">
        <v>1.33</v>
      </c>
      <c r="AI29">
        <v>3.73</v>
      </c>
      <c r="AJ29">
        <v>4.2300000000000004</v>
      </c>
      <c r="AK29">
        <v>22.9</v>
      </c>
      <c r="AL29">
        <v>2.5</v>
      </c>
      <c r="AM29">
        <v>22</v>
      </c>
      <c r="AN29">
        <v>49</v>
      </c>
      <c r="AO29">
        <v>23</v>
      </c>
      <c r="AP29">
        <v>9</v>
      </c>
      <c r="AQ29" t="s">
        <v>2266</v>
      </c>
      <c r="AR29">
        <v>90</v>
      </c>
      <c r="AS29" t="s">
        <v>35</v>
      </c>
      <c r="AT29" t="s">
        <v>36</v>
      </c>
      <c r="AU29" s="4">
        <f>HYPERLINK("http://mlb.mlb.com/team/player.jsp?player_id=545333",545333)</f>
        <v>545333</v>
      </c>
      <c r="AV29">
        <v>16</v>
      </c>
      <c r="AW29">
        <v>1016</v>
      </c>
      <c r="AX29">
        <v>176.3</v>
      </c>
    </row>
    <row r="30" spans="1:50" x14ac:dyDescent="0.3">
      <c r="A30" s="4">
        <f>HYPERLINK("http://legacy.baseballprospectus.com/p/100718",100718)</f>
        <v>100718</v>
      </c>
      <c r="B30" t="s">
        <v>984</v>
      </c>
      <c r="C30" t="s">
        <v>141</v>
      </c>
      <c r="D30" s="10">
        <v>33250</v>
      </c>
      <c r="E30" t="s">
        <v>33</v>
      </c>
      <c r="F30" t="s">
        <v>9</v>
      </c>
      <c r="G30">
        <v>76</v>
      </c>
      <c r="H30">
        <v>215</v>
      </c>
      <c r="I30">
        <v>2018</v>
      </c>
      <c r="J30" s="4" t="str">
        <f>HYPERLINK("http://legacy.baseballprospectus.com/fantasy/dc/index.php?tm=LAN","LAN")</f>
        <v>LAN</v>
      </c>
      <c r="K30" t="s">
        <v>100</v>
      </c>
      <c r="L30" t="s">
        <v>34</v>
      </c>
      <c r="M30">
        <v>27</v>
      </c>
      <c r="N30">
        <v>10.5</v>
      </c>
      <c r="O30">
        <v>6</v>
      </c>
      <c r="P30">
        <v>14</v>
      </c>
      <c r="Q30">
        <v>1</v>
      </c>
      <c r="R30">
        <v>0</v>
      </c>
      <c r="S30">
        <v>0</v>
      </c>
      <c r="T30">
        <v>24</v>
      </c>
      <c r="U30">
        <v>24</v>
      </c>
      <c r="V30" s="9">
        <v>136.66669999999999</v>
      </c>
      <c r="W30">
        <v>568</v>
      </c>
      <c r="X30">
        <v>120</v>
      </c>
      <c r="Y30">
        <v>13</v>
      </c>
      <c r="Z30">
        <v>44</v>
      </c>
      <c r="AA30">
        <v>2</v>
      </c>
      <c r="AB30">
        <v>5</v>
      </c>
      <c r="AC30">
        <v>139</v>
      </c>
      <c r="AD30">
        <v>2.9</v>
      </c>
      <c r="AE30">
        <v>9.1999999999999993</v>
      </c>
      <c r="AF30" s="5">
        <v>0.51300000000000001</v>
      </c>
      <c r="AG30">
        <v>0.29199999999999998</v>
      </c>
      <c r="AH30">
        <v>1.19</v>
      </c>
      <c r="AI30">
        <v>3.22</v>
      </c>
      <c r="AJ30">
        <v>3.68</v>
      </c>
      <c r="AK30">
        <v>22.3</v>
      </c>
      <c r="AL30">
        <v>2.5</v>
      </c>
      <c r="AM30">
        <v>19</v>
      </c>
      <c r="AN30">
        <v>52</v>
      </c>
      <c r="AO30">
        <v>22</v>
      </c>
      <c r="AP30">
        <v>8</v>
      </c>
      <c r="AQ30" t="s">
        <v>2267</v>
      </c>
      <c r="AR30">
        <v>96</v>
      </c>
      <c r="AS30" t="s">
        <v>35</v>
      </c>
      <c r="AT30" t="s">
        <v>36</v>
      </c>
      <c r="AU30" s="4">
        <f>HYPERLINK("http://mlb.mlb.com/team/player.jsp?player_id=622072",622072)</f>
        <v>622072</v>
      </c>
      <c r="AV30">
        <v>1031</v>
      </c>
      <c r="AW30">
        <v>31</v>
      </c>
      <c r="AX30">
        <v>152.30000000000001</v>
      </c>
    </row>
    <row r="31" spans="1:50" x14ac:dyDescent="0.3">
      <c r="A31" s="4">
        <f>HYPERLINK("http://legacy.baseballprospectus.com/p/59473",59473)</f>
        <v>59473</v>
      </c>
      <c r="B31" t="s">
        <v>1249</v>
      </c>
      <c r="C31" t="s">
        <v>1324</v>
      </c>
      <c r="D31" s="10">
        <v>32448</v>
      </c>
      <c r="E31" t="s">
        <v>33</v>
      </c>
      <c r="F31" t="s">
        <v>33</v>
      </c>
      <c r="G31">
        <v>75</v>
      </c>
      <c r="H31">
        <v>215</v>
      </c>
      <c r="I31">
        <v>2018</v>
      </c>
      <c r="J31" s="4" t="str">
        <f>HYPERLINK("http://legacy.baseballprospectus.com/fantasy/dc/index.php?tm=NYA","NYA")</f>
        <v>NYA</v>
      </c>
      <c r="K31" t="s">
        <v>95</v>
      </c>
      <c r="L31" t="s">
        <v>34</v>
      </c>
      <c r="M31">
        <v>29</v>
      </c>
      <c r="N31">
        <v>13.6</v>
      </c>
      <c r="O31">
        <v>8</v>
      </c>
      <c r="P31">
        <v>15</v>
      </c>
      <c r="Q31">
        <v>1</v>
      </c>
      <c r="R31">
        <v>0</v>
      </c>
      <c r="S31">
        <v>0</v>
      </c>
      <c r="T31">
        <v>29</v>
      </c>
      <c r="U31">
        <v>29</v>
      </c>
      <c r="V31" s="9">
        <v>182.66669999999999</v>
      </c>
      <c r="W31">
        <v>765</v>
      </c>
      <c r="X31">
        <v>174</v>
      </c>
      <c r="Y31">
        <v>28</v>
      </c>
      <c r="Z31">
        <v>53</v>
      </c>
      <c r="AA31">
        <v>2</v>
      </c>
      <c r="AB31">
        <v>6</v>
      </c>
      <c r="AC31">
        <v>170</v>
      </c>
      <c r="AD31">
        <v>2.6</v>
      </c>
      <c r="AE31">
        <v>8.4</v>
      </c>
      <c r="AF31" s="5">
        <v>0.47599999999999998</v>
      </c>
      <c r="AG31">
        <v>0.28699999999999998</v>
      </c>
      <c r="AH31">
        <v>1.23</v>
      </c>
      <c r="AI31">
        <v>4.0999999999999996</v>
      </c>
      <c r="AJ31">
        <v>4.3499999999999996</v>
      </c>
      <c r="AK31">
        <v>22.3</v>
      </c>
      <c r="AL31">
        <v>2.4</v>
      </c>
      <c r="AM31">
        <v>14</v>
      </c>
      <c r="AN31">
        <v>41</v>
      </c>
      <c r="AO31">
        <v>18</v>
      </c>
      <c r="AP31">
        <v>2</v>
      </c>
      <c r="AQ31" t="s">
        <v>2258</v>
      </c>
      <c r="AR31">
        <v>97</v>
      </c>
      <c r="AS31" t="s">
        <v>35</v>
      </c>
      <c r="AT31" t="s">
        <v>36</v>
      </c>
      <c r="AU31" s="4">
        <f>HYPERLINK("http://mlb.mlb.com/team/player.jsp?player_id=547888",547888)</f>
        <v>547888</v>
      </c>
      <c r="AV31">
        <v>15</v>
      </c>
      <c r="AW31">
        <v>1015</v>
      </c>
      <c r="AX31">
        <v>178.3</v>
      </c>
    </row>
    <row r="32" spans="1:50" x14ac:dyDescent="0.3">
      <c r="A32" s="4">
        <f>HYPERLINK("http://legacy.baseballprospectus.com/p/68564",68564)</f>
        <v>68564</v>
      </c>
      <c r="B32" t="s">
        <v>815</v>
      </c>
      <c r="C32" t="s">
        <v>442</v>
      </c>
      <c r="D32" s="10">
        <v>33547</v>
      </c>
      <c r="E32" t="s">
        <v>33</v>
      </c>
      <c r="F32" t="s">
        <v>33</v>
      </c>
      <c r="G32">
        <v>76</v>
      </c>
      <c r="H32">
        <v>235</v>
      </c>
      <c r="I32">
        <v>2018</v>
      </c>
      <c r="J32" s="4" t="str">
        <f>HYPERLINK("http://legacy.baseballprospectus.com/fantasy/dc/index.php?tm=COL","COL")</f>
        <v>COL</v>
      </c>
      <c r="K32" t="s">
        <v>100</v>
      </c>
      <c r="L32" t="s">
        <v>34</v>
      </c>
      <c r="M32">
        <v>26</v>
      </c>
      <c r="N32">
        <v>9.9</v>
      </c>
      <c r="O32">
        <v>9.1</v>
      </c>
      <c r="P32">
        <v>16</v>
      </c>
      <c r="Q32">
        <v>1</v>
      </c>
      <c r="R32">
        <v>0</v>
      </c>
      <c r="S32">
        <v>0</v>
      </c>
      <c r="T32">
        <v>28</v>
      </c>
      <c r="U32">
        <v>28</v>
      </c>
      <c r="V32" s="9">
        <v>159.66669999999999</v>
      </c>
      <c r="W32">
        <v>686</v>
      </c>
      <c r="X32">
        <v>153</v>
      </c>
      <c r="Y32">
        <v>19</v>
      </c>
      <c r="Z32">
        <v>58</v>
      </c>
      <c r="AA32">
        <v>2</v>
      </c>
      <c r="AB32">
        <v>5</v>
      </c>
      <c r="AC32">
        <v>164</v>
      </c>
      <c r="AD32">
        <v>3.3</v>
      </c>
      <c r="AE32">
        <v>9.3000000000000007</v>
      </c>
      <c r="AF32" s="5">
        <v>0.45400000000000001</v>
      </c>
      <c r="AG32">
        <v>0.30499999999999999</v>
      </c>
      <c r="AH32">
        <v>1.34</v>
      </c>
      <c r="AI32">
        <v>3.79</v>
      </c>
      <c r="AJ32">
        <v>3.93</v>
      </c>
      <c r="AK32">
        <v>22</v>
      </c>
      <c r="AL32">
        <v>2.4</v>
      </c>
      <c r="AM32">
        <v>27</v>
      </c>
      <c r="AN32">
        <v>58</v>
      </c>
      <c r="AO32">
        <v>20</v>
      </c>
      <c r="AP32">
        <v>9</v>
      </c>
      <c r="AQ32" t="s">
        <v>2261</v>
      </c>
      <c r="AR32">
        <v>86</v>
      </c>
      <c r="AS32" t="s">
        <v>35</v>
      </c>
      <c r="AT32" t="s">
        <v>36</v>
      </c>
      <c r="AU32" s="4">
        <f>HYPERLINK("http://mlb.mlb.com/team/player.jsp?player_id=592351",592351)</f>
        <v>592351</v>
      </c>
      <c r="AV32">
        <v>1051</v>
      </c>
      <c r="AW32">
        <v>51</v>
      </c>
      <c r="AX32">
        <v>110.3</v>
      </c>
    </row>
    <row r="33" spans="1:50" x14ac:dyDescent="0.3">
      <c r="A33" s="4">
        <f>HYPERLINK("http://legacy.baseballprospectus.com/p/69172",69172)</f>
        <v>69172</v>
      </c>
      <c r="B33" t="s">
        <v>1274</v>
      </c>
      <c r="C33" t="s">
        <v>182</v>
      </c>
      <c r="D33" s="10">
        <v>32849</v>
      </c>
      <c r="E33" t="s">
        <v>33</v>
      </c>
      <c r="F33" t="s">
        <v>33</v>
      </c>
      <c r="G33">
        <v>75</v>
      </c>
      <c r="H33">
        <v>190</v>
      </c>
      <c r="I33">
        <v>2018</v>
      </c>
      <c r="J33" s="4" t="str">
        <f>HYPERLINK("http://legacy.baseballprospectus.com/fantasy/dc/index.php?tm=CHN","CHN")</f>
        <v>CHN</v>
      </c>
      <c r="K33" t="s">
        <v>100</v>
      </c>
      <c r="L33" t="s">
        <v>34</v>
      </c>
      <c r="M33">
        <v>28</v>
      </c>
      <c r="N33">
        <v>11.5</v>
      </c>
      <c r="O33">
        <v>7.8</v>
      </c>
      <c r="P33">
        <v>16</v>
      </c>
      <c r="Q33">
        <v>1</v>
      </c>
      <c r="R33">
        <v>0</v>
      </c>
      <c r="S33">
        <v>0</v>
      </c>
      <c r="T33">
        <v>28</v>
      </c>
      <c r="U33">
        <v>28</v>
      </c>
      <c r="V33" s="9">
        <v>159.66669999999999</v>
      </c>
      <c r="W33">
        <v>666</v>
      </c>
      <c r="X33">
        <v>144</v>
      </c>
      <c r="Y33">
        <v>18</v>
      </c>
      <c r="Z33">
        <v>53</v>
      </c>
      <c r="AA33">
        <v>3</v>
      </c>
      <c r="AB33">
        <v>6</v>
      </c>
      <c r="AC33">
        <v>147</v>
      </c>
      <c r="AD33">
        <v>3</v>
      </c>
      <c r="AE33">
        <v>8.3000000000000007</v>
      </c>
      <c r="AF33" s="5">
        <v>0.495</v>
      </c>
      <c r="AG33">
        <v>0.28699999999999998</v>
      </c>
      <c r="AH33">
        <v>1.22</v>
      </c>
      <c r="AI33">
        <v>3.82</v>
      </c>
      <c r="AJ33">
        <v>3.94</v>
      </c>
      <c r="AK33">
        <v>21.9</v>
      </c>
      <c r="AL33">
        <v>2.4</v>
      </c>
      <c r="AM33">
        <v>21</v>
      </c>
      <c r="AN33">
        <v>46</v>
      </c>
      <c r="AO33">
        <v>24</v>
      </c>
      <c r="AP33">
        <v>12</v>
      </c>
      <c r="AQ33" t="s">
        <v>2252</v>
      </c>
      <c r="AR33">
        <v>96</v>
      </c>
      <c r="AS33" t="s">
        <v>35</v>
      </c>
      <c r="AT33" t="s">
        <v>36</v>
      </c>
      <c r="AU33" s="4">
        <f>HYPERLINK("http://mlb.mlb.com/team/player.jsp?player_id=543294",543294)</f>
        <v>543294</v>
      </c>
      <c r="AV33">
        <v>1036</v>
      </c>
      <c r="AW33">
        <v>36</v>
      </c>
      <c r="AX33">
        <v>139.69999999999999</v>
      </c>
    </row>
    <row r="34" spans="1:50" x14ac:dyDescent="0.3">
      <c r="A34" s="4">
        <f>HYPERLINK("http://legacy.baseballprospectus.com/p/70641",70641)</f>
        <v>70641</v>
      </c>
      <c r="B34" t="s">
        <v>1144</v>
      </c>
      <c r="C34" t="s">
        <v>181</v>
      </c>
      <c r="D34" s="10">
        <v>33420</v>
      </c>
      <c r="E34" t="s">
        <v>33</v>
      </c>
      <c r="F34" t="s">
        <v>33</v>
      </c>
      <c r="G34">
        <v>78</v>
      </c>
      <c r="H34">
        <v>215</v>
      </c>
      <c r="I34">
        <v>2018</v>
      </c>
      <c r="J34" s="4" t="str">
        <f>HYPERLINK("http://legacy.baseballprospectus.com/fantasy/dc/index.php?tm=SLN","SLN")</f>
        <v>SLN</v>
      </c>
      <c r="K34" t="s">
        <v>100</v>
      </c>
      <c r="L34" t="s">
        <v>34</v>
      </c>
      <c r="M34">
        <v>26</v>
      </c>
      <c r="N34">
        <v>10.3</v>
      </c>
      <c r="O34">
        <v>8.3000000000000007</v>
      </c>
      <c r="P34">
        <v>14</v>
      </c>
      <c r="Q34">
        <v>1</v>
      </c>
      <c r="R34">
        <v>0</v>
      </c>
      <c r="S34">
        <v>0</v>
      </c>
      <c r="T34">
        <v>26</v>
      </c>
      <c r="U34">
        <v>26</v>
      </c>
      <c r="V34" s="9">
        <v>156</v>
      </c>
      <c r="W34">
        <v>659</v>
      </c>
      <c r="X34">
        <v>145</v>
      </c>
      <c r="Y34">
        <v>16</v>
      </c>
      <c r="Z34">
        <v>54</v>
      </c>
      <c r="AA34">
        <v>3</v>
      </c>
      <c r="AB34">
        <v>5</v>
      </c>
      <c r="AC34">
        <v>145</v>
      </c>
      <c r="AD34">
        <v>3.1</v>
      </c>
      <c r="AE34">
        <v>8.4</v>
      </c>
      <c r="AF34" s="5">
        <v>0.47499999999999998</v>
      </c>
      <c r="AG34">
        <v>0.29399999999999998</v>
      </c>
      <c r="AH34">
        <v>1.27</v>
      </c>
      <c r="AI34">
        <v>3.7</v>
      </c>
      <c r="AJ34">
        <v>3.93</v>
      </c>
      <c r="AK34">
        <v>21.5</v>
      </c>
      <c r="AL34">
        <v>2.4</v>
      </c>
      <c r="AM34">
        <v>17</v>
      </c>
      <c r="AN34">
        <v>57</v>
      </c>
      <c r="AO34">
        <v>13</v>
      </c>
      <c r="AP34">
        <v>8</v>
      </c>
      <c r="AQ34" t="s">
        <v>2262</v>
      </c>
      <c r="AR34">
        <v>93</v>
      </c>
      <c r="AS34" t="s">
        <v>35</v>
      </c>
      <c r="AT34" t="s">
        <v>36</v>
      </c>
      <c r="AU34" s="4">
        <f>HYPERLINK("http://mlb.mlb.com/team/player.jsp?player_id=608379",608379)</f>
        <v>608379</v>
      </c>
      <c r="AV34">
        <v>1021</v>
      </c>
      <c r="AW34">
        <v>21</v>
      </c>
      <c r="AX34">
        <v>165.7</v>
      </c>
    </row>
    <row r="35" spans="1:50" x14ac:dyDescent="0.3">
      <c r="A35" s="4">
        <f>HYPERLINK("http://legacy.baseballprospectus.com/p/70883",70883)</f>
        <v>70883</v>
      </c>
      <c r="B35" t="s">
        <v>1457</v>
      </c>
      <c r="C35" t="s">
        <v>165</v>
      </c>
      <c r="D35" s="10">
        <v>33948</v>
      </c>
      <c r="E35" t="s">
        <v>9</v>
      </c>
      <c r="F35" t="s">
        <v>9</v>
      </c>
      <c r="G35">
        <v>75</v>
      </c>
      <c r="H35">
        <v>235</v>
      </c>
      <c r="I35">
        <v>2018</v>
      </c>
      <c r="J35" s="4" t="str">
        <f>HYPERLINK("http://legacy.baseballprospectus.com/fantasy/dc/index.php?tm=CHA","CHA")</f>
        <v>CHA</v>
      </c>
      <c r="K35" t="s">
        <v>95</v>
      </c>
      <c r="L35" t="s">
        <v>34</v>
      </c>
      <c r="M35">
        <v>25</v>
      </c>
      <c r="N35">
        <v>7.8</v>
      </c>
      <c r="O35">
        <v>7.6</v>
      </c>
      <c r="P35">
        <v>13</v>
      </c>
      <c r="Q35">
        <v>1</v>
      </c>
      <c r="R35">
        <v>0</v>
      </c>
      <c r="S35">
        <v>0</v>
      </c>
      <c r="T35">
        <v>23</v>
      </c>
      <c r="U35">
        <v>23</v>
      </c>
      <c r="V35" s="9">
        <v>131</v>
      </c>
      <c r="W35">
        <v>561</v>
      </c>
      <c r="X35">
        <v>120</v>
      </c>
      <c r="Y35">
        <v>16</v>
      </c>
      <c r="Z35">
        <v>51</v>
      </c>
      <c r="AA35">
        <v>2</v>
      </c>
      <c r="AB35">
        <v>6</v>
      </c>
      <c r="AC35">
        <v>145</v>
      </c>
      <c r="AD35">
        <v>3.5</v>
      </c>
      <c r="AE35">
        <v>10</v>
      </c>
      <c r="AF35" s="5">
        <v>0.45200000000000001</v>
      </c>
      <c r="AG35">
        <v>0.30199999999999999</v>
      </c>
      <c r="AH35">
        <v>1.32</v>
      </c>
      <c r="AI35">
        <v>3.71</v>
      </c>
      <c r="AJ35">
        <v>3.95</v>
      </c>
      <c r="AK35">
        <v>21.4</v>
      </c>
      <c r="AL35">
        <v>2.4</v>
      </c>
      <c r="AM35">
        <v>23</v>
      </c>
      <c r="AN35">
        <v>56</v>
      </c>
      <c r="AO35">
        <v>17</v>
      </c>
      <c r="AP35">
        <v>11</v>
      </c>
      <c r="AQ35" t="s">
        <v>2277</v>
      </c>
      <c r="AR35">
        <v>100</v>
      </c>
      <c r="AS35" t="s">
        <v>35</v>
      </c>
      <c r="AT35" t="s">
        <v>36</v>
      </c>
      <c r="AU35" s="4">
        <f>HYPERLINK("http://mlb.mlb.com/team/player.jsp?player_id=607074",607074)</f>
        <v>607074</v>
      </c>
      <c r="AV35">
        <v>71</v>
      </c>
      <c r="AW35">
        <v>1071</v>
      </c>
      <c r="AX35">
        <v>69.3</v>
      </c>
    </row>
    <row r="36" spans="1:50" x14ac:dyDescent="0.3">
      <c r="A36" s="4">
        <f>HYPERLINK("http://legacy.baseballprospectus.com/p/45529",45529)</f>
        <v>45529</v>
      </c>
      <c r="B36" t="s">
        <v>380</v>
      </c>
      <c r="C36" t="s">
        <v>813</v>
      </c>
      <c r="D36" s="10">
        <v>31309</v>
      </c>
      <c r="E36" t="s">
        <v>33</v>
      </c>
      <c r="F36" t="s">
        <v>9</v>
      </c>
      <c r="G36">
        <v>72</v>
      </c>
      <c r="H36">
        <v>205</v>
      </c>
      <c r="I36">
        <v>2018</v>
      </c>
      <c r="J36" s="4" t="str">
        <f>HYPERLINK("http://legacy.baseballprospectus.com/fantasy/dc/index.php?tm=WAS","WAS")</f>
        <v>WAS</v>
      </c>
      <c r="K36" t="s">
        <v>100</v>
      </c>
      <c r="L36" t="s">
        <v>34</v>
      </c>
      <c r="M36">
        <v>32</v>
      </c>
      <c r="N36">
        <v>12</v>
      </c>
      <c r="O36">
        <v>8.9</v>
      </c>
      <c r="P36">
        <v>16</v>
      </c>
      <c r="Q36">
        <v>1</v>
      </c>
      <c r="R36">
        <v>0</v>
      </c>
      <c r="S36">
        <v>0</v>
      </c>
      <c r="T36">
        <v>29</v>
      </c>
      <c r="U36">
        <v>29</v>
      </c>
      <c r="V36" s="9">
        <v>174</v>
      </c>
      <c r="W36">
        <v>746</v>
      </c>
      <c r="X36">
        <v>163</v>
      </c>
      <c r="Y36">
        <v>18</v>
      </c>
      <c r="Z36">
        <v>66</v>
      </c>
      <c r="AA36">
        <v>3</v>
      </c>
      <c r="AB36">
        <v>8</v>
      </c>
      <c r="AC36">
        <v>164</v>
      </c>
      <c r="AD36">
        <v>3.4</v>
      </c>
      <c r="AE36">
        <v>8.5</v>
      </c>
      <c r="AF36" s="5">
        <v>0.48299999999999998</v>
      </c>
      <c r="AG36">
        <v>0.29799999999999999</v>
      </c>
      <c r="AH36">
        <v>1.33</v>
      </c>
      <c r="AI36">
        <v>3.78</v>
      </c>
      <c r="AJ36">
        <v>4.09</v>
      </c>
      <c r="AK36">
        <v>21.2</v>
      </c>
      <c r="AL36">
        <v>2.2999999999999998</v>
      </c>
      <c r="AM36">
        <v>13</v>
      </c>
      <c r="AN36">
        <v>35</v>
      </c>
      <c r="AO36">
        <v>31</v>
      </c>
      <c r="AP36">
        <v>13</v>
      </c>
      <c r="AQ36" t="s">
        <v>2273</v>
      </c>
      <c r="AR36">
        <v>89</v>
      </c>
      <c r="AS36" t="s">
        <v>35</v>
      </c>
      <c r="AT36" t="s">
        <v>36</v>
      </c>
      <c r="AU36" s="4">
        <f>HYPERLINK("http://mlb.mlb.com/team/player.jsp?player_id=461829",461829)</f>
        <v>461829</v>
      </c>
      <c r="AV36">
        <v>1005</v>
      </c>
      <c r="AW36">
        <v>5</v>
      </c>
      <c r="AX36">
        <v>201</v>
      </c>
    </row>
    <row r="37" spans="1:50" x14ac:dyDescent="0.3">
      <c r="A37" s="4">
        <f>HYPERLINK("http://legacy.baseballprospectus.com/p/49775",49775)</f>
        <v>49775</v>
      </c>
      <c r="B37" t="s">
        <v>720</v>
      </c>
      <c r="C37" t="s">
        <v>721</v>
      </c>
      <c r="D37" s="10">
        <v>32225</v>
      </c>
      <c r="E37" t="s">
        <v>33</v>
      </c>
      <c r="F37" t="s">
        <v>33</v>
      </c>
      <c r="G37">
        <v>80</v>
      </c>
      <c r="H37">
        <v>265</v>
      </c>
      <c r="I37">
        <v>2018</v>
      </c>
      <c r="J37" s="4" t="str">
        <f>HYPERLINK("http://legacy.baseballprospectus.com/fantasy/dc/index.php?tm=NYA","NYA")</f>
        <v>NYA</v>
      </c>
      <c r="K37" t="s">
        <v>95</v>
      </c>
      <c r="L37" t="s">
        <v>34</v>
      </c>
      <c r="M37">
        <v>30</v>
      </c>
      <c r="N37">
        <v>4</v>
      </c>
      <c r="O37">
        <v>2.6</v>
      </c>
      <c r="P37">
        <v>0</v>
      </c>
      <c r="Q37">
        <v>0</v>
      </c>
      <c r="R37">
        <v>5</v>
      </c>
      <c r="S37">
        <v>4</v>
      </c>
      <c r="T37">
        <v>65</v>
      </c>
      <c r="U37">
        <v>0</v>
      </c>
      <c r="V37" s="9">
        <v>69</v>
      </c>
      <c r="W37">
        <v>281</v>
      </c>
      <c r="X37">
        <v>42</v>
      </c>
      <c r="Y37">
        <v>5</v>
      </c>
      <c r="Z37">
        <v>31</v>
      </c>
      <c r="AA37">
        <v>1</v>
      </c>
      <c r="AB37">
        <v>5</v>
      </c>
      <c r="AC37">
        <v>112</v>
      </c>
      <c r="AD37">
        <v>4</v>
      </c>
      <c r="AE37">
        <v>14.6</v>
      </c>
      <c r="AF37" s="5">
        <v>0.49</v>
      </c>
      <c r="AG37">
        <v>0.28899999999999998</v>
      </c>
      <c r="AH37">
        <v>1.04</v>
      </c>
      <c r="AI37">
        <v>2.08</v>
      </c>
      <c r="AJ37">
        <v>2.4</v>
      </c>
      <c r="AK37">
        <v>20.399999999999999</v>
      </c>
      <c r="AL37">
        <v>2.2000000000000002</v>
      </c>
      <c r="AM37">
        <v>22</v>
      </c>
      <c r="AN37">
        <v>38</v>
      </c>
      <c r="AO37">
        <v>32</v>
      </c>
      <c r="AP37">
        <v>14</v>
      </c>
      <c r="AQ37" t="s">
        <v>2302</v>
      </c>
      <c r="AR37">
        <v>89</v>
      </c>
      <c r="AS37" t="s">
        <v>35</v>
      </c>
      <c r="AT37" t="s">
        <v>36</v>
      </c>
      <c r="AU37" s="4">
        <f>HYPERLINK("http://mlb.mlb.com/team/player.jsp?player_id=476454",476454)</f>
        <v>476454</v>
      </c>
      <c r="AV37">
        <v>260</v>
      </c>
      <c r="AW37">
        <v>1260</v>
      </c>
      <c r="AX37">
        <v>59.7</v>
      </c>
    </row>
    <row r="38" spans="1:50" x14ac:dyDescent="0.3">
      <c r="A38" s="4">
        <f>HYPERLINK("http://legacy.baseballprospectus.com/p/54694",54694)</f>
        <v>54694</v>
      </c>
      <c r="B38" t="s">
        <v>912</v>
      </c>
      <c r="C38" t="s">
        <v>103</v>
      </c>
      <c r="D38" s="10">
        <v>31285</v>
      </c>
      <c r="E38" t="s">
        <v>9</v>
      </c>
      <c r="F38" t="s">
        <v>9</v>
      </c>
      <c r="G38">
        <v>77</v>
      </c>
      <c r="H38">
        <v>215</v>
      </c>
      <c r="I38">
        <v>2018</v>
      </c>
      <c r="J38" s="4" t="str">
        <f>HYPERLINK("http://legacy.baseballprospectus.com/fantasy/dc/index.php?tm=BOS","BOS")</f>
        <v>BOS</v>
      </c>
      <c r="K38" t="s">
        <v>95</v>
      </c>
      <c r="L38" t="s">
        <v>34</v>
      </c>
      <c r="M38">
        <v>32</v>
      </c>
      <c r="N38">
        <v>11</v>
      </c>
      <c r="O38">
        <v>8.4</v>
      </c>
      <c r="P38">
        <v>14</v>
      </c>
      <c r="Q38">
        <v>1</v>
      </c>
      <c r="R38">
        <v>0</v>
      </c>
      <c r="S38">
        <v>0</v>
      </c>
      <c r="T38">
        <v>27</v>
      </c>
      <c r="U38">
        <v>27</v>
      </c>
      <c r="V38" s="9">
        <v>162</v>
      </c>
      <c r="W38">
        <v>698</v>
      </c>
      <c r="X38">
        <v>161</v>
      </c>
      <c r="Y38">
        <v>19</v>
      </c>
      <c r="Z38">
        <v>53</v>
      </c>
      <c r="AA38">
        <v>2</v>
      </c>
      <c r="AB38">
        <v>7</v>
      </c>
      <c r="AC38">
        <v>152</v>
      </c>
      <c r="AD38">
        <v>3</v>
      </c>
      <c r="AE38">
        <v>8.5</v>
      </c>
      <c r="AF38" s="5">
        <v>0.42599999999999999</v>
      </c>
      <c r="AG38">
        <v>0.30399999999999999</v>
      </c>
      <c r="AH38">
        <v>1.34</v>
      </c>
      <c r="AI38">
        <v>3.77</v>
      </c>
      <c r="AJ38">
        <v>4.3600000000000003</v>
      </c>
      <c r="AK38">
        <v>19.600000000000001</v>
      </c>
      <c r="AL38">
        <v>2.2000000000000002</v>
      </c>
      <c r="AM38">
        <v>13</v>
      </c>
      <c r="AN38">
        <v>33</v>
      </c>
      <c r="AO38">
        <v>36</v>
      </c>
      <c r="AP38">
        <v>9</v>
      </c>
      <c r="AQ38" t="s">
        <v>2295</v>
      </c>
      <c r="AR38">
        <v>91</v>
      </c>
      <c r="AS38" t="s">
        <v>35</v>
      </c>
      <c r="AT38" t="s">
        <v>36</v>
      </c>
      <c r="AU38" s="4">
        <f>HYPERLINK("http://mlb.mlb.com/team/player.jsp?player_id=456034",456034)</f>
        <v>456034</v>
      </c>
      <c r="AV38">
        <v>67</v>
      </c>
      <c r="AW38">
        <v>1067</v>
      </c>
      <c r="AX38">
        <v>74.7</v>
      </c>
    </row>
    <row r="39" spans="1:50" x14ac:dyDescent="0.3">
      <c r="A39" s="4">
        <f>HYPERLINK("http://legacy.baseballprospectus.com/p/100574",100574)</f>
        <v>100574</v>
      </c>
      <c r="B39" t="s">
        <v>1199</v>
      </c>
      <c r="C39" t="s">
        <v>119</v>
      </c>
      <c r="D39" s="10">
        <v>34481</v>
      </c>
      <c r="E39" t="s">
        <v>33</v>
      </c>
      <c r="F39" t="s">
        <v>33</v>
      </c>
      <c r="G39">
        <v>72</v>
      </c>
      <c r="H39">
        <v>185</v>
      </c>
      <c r="I39">
        <v>2018</v>
      </c>
      <c r="J39" s="4" t="str">
        <f>HYPERLINK("http://legacy.baseballprospectus.com/fantasy/dc/index.php?tm=MIN","MIN")</f>
        <v>MIN</v>
      </c>
      <c r="K39" t="s">
        <v>95</v>
      </c>
      <c r="L39" t="s">
        <v>34</v>
      </c>
      <c r="M39">
        <v>24</v>
      </c>
      <c r="N39">
        <v>10.7</v>
      </c>
      <c r="O39">
        <v>9.1</v>
      </c>
      <c r="P39">
        <v>15</v>
      </c>
      <c r="Q39">
        <v>1</v>
      </c>
      <c r="R39">
        <v>0</v>
      </c>
      <c r="S39">
        <v>0</v>
      </c>
      <c r="T39">
        <v>29</v>
      </c>
      <c r="U39">
        <v>29</v>
      </c>
      <c r="V39" s="9">
        <v>165.33330000000001</v>
      </c>
      <c r="W39">
        <v>708</v>
      </c>
      <c r="X39">
        <v>155</v>
      </c>
      <c r="Y39">
        <v>25</v>
      </c>
      <c r="Z39">
        <v>61</v>
      </c>
      <c r="AA39">
        <v>3</v>
      </c>
      <c r="AB39">
        <v>8</v>
      </c>
      <c r="AC39">
        <v>173</v>
      </c>
      <c r="AD39">
        <v>3.3</v>
      </c>
      <c r="AE39">
        <v>9.4</v>
      </c>
      <c r="AF39" s="5">
        <v>0.42</v>
      </c>
      <c r="AG39">
        <v>0.29599999999999999</v>
      </c>
      <c r="AH39">
        <v>1.32</v>
      </c>
      <c r="AI39">
        <v>4.1100000000000003</v>
      </c>
      <c r="AJ39">
        <v>4.3600000000000003</v>
      </c>
      <c r="AK39">
        <v>20</v>
      </c>
      <c r="AL39">
        <v>2.2000000000000002</v>
      </c>
      <c r="AM39">
        <v>23</v>
      </c>
      <c r="AN39">
        <v>64</v>
      </c>
      <c r="AO39">
        <v>14</v>
      </c>
      <c r="AP39">
        <v>15</v>
      </c>
      <c r="AQ39" t="s">
        <v>2264</v>
      </c>
      <c r="AR39">
        <v>92</v>
      </c>
      <c r="AS39" t="s">
        <v>35</v>
      </c>
      <c r="AT39" t="s">
        <v>36</v>
      </c>
      <c r="AU39" s="4">
        <f>HYPERLINK("http://mlb.mlb.com/team/player.jsp?player_id=621244",621244)</f>
        <v>621244</v>
      </c>
      <c r="AV39">
        <v>36</v>
      </c>
      <c r="AW39">
        <v>1036</v>
      </c>
      <c r="AX39">
        <v>145.69999999999999</v>
      </c>
    </row>
    <row r="40" spans="1:50" x14ac:dyDescent="0.3">
      <c r="A40" s="4">
        <f>HYPERLINK("http://legacy.baseballprospectus.com/p/48258",48258)</f>
        <v>48258</v>
      </c>
      <c r="B40" t="s">
        <v>887</v>
      </c>
      <c r="C40" t="s">
        <v>175</v>
      </c>
      <c r="D40" s="10">
        <v>30632</v>
      </c>
      <c r="E40" t="s">
        <v>33</v>
      </c>
      <c r="F40" t="s">
        <v>33</v>
      </c>
      <c r="G40">
        <v>77</v>
      </c>
      <c r="H40">
        <v>235</v>
      </c>
      <c r="I40">
        <v>2018</v>
      </c>
      <c r="J40" s="4" t="str">
        <f>HYPERLINK("http://legacy.baseballprospectus.com/fantasy/dc/index.php?tm=HOU","HOU")</f>
        <v>HOU</v>
      </c>
      <c r="K40" t="s">
        <v>95</v>
      </c>
      <c r="L40" t="s">
        <v>34</v>
      </c>
      <c r="M40">
        <v>34</v>
      </c>
      <c r="N40">
        <v>10.6</v>
      </c>
      <c r="O40">
        <v>6</v>
      </c>
      <c r="P40">
        <v>12</v>
      </c>
      <c r="Q40">
        <v>1</v>
      </c>
      <c r="R40">
        <v>0</v>
      </c>
      <c r="S40">
        <v>0</v>
      </c>
      <c r="T40">
        <v>23</v>
      </c>
      <c r="U40">
        <v>23</v>
      </c>
      <c r="V40" s="9">
        <v>138</v>
      </c>
      <c r="W40">
        <v>589</v>
      </c>
      <c r="X40">
        <v>128</v>
      </c>
      <c r="Y40">
        <v>14</v>
      </c>
      <c r="Z40">
        <v>54</v>
      </c>
      <c r="AA40">
        <v>3</v>
      </c>
      <c r="AB40">
        <v>7</v>
      </c>
      <c r="AC40">
        <v>130</v>
      </c>
      <c r="AD40">
        <v>3.5</v>
      </c>
      <c r="AE40">
        <v>8.5</v>
      </c>
      <c r="AF40" s="5">
        <v>0.53100000000000003</v>
      </c>
      <c r="AG40">
        <v>0.29699999999999999</v>
      </c>
      <c r="AH40">
        <v>1.33</v>
      </c>
      <c r="AI40">
        <v>3.83</v>
      </c>
      <c r="AJ40">
        <v>4.2</v>
      </c>
      <c r="AK40">
        <v>18.899999999999999</v>
      </c>
      <c r="AL40">
        <v>2.1</v>
      </c>
      <c r="AM40">
        <v>14</v>
      </c>
      <c r="AN40">
        <v>50</v>
      </c>
      <c r="AO40">
        <v>18</v>
      </c>
      <c r="AP40">
        <v>11</v>
      </c>
      <c r="AQ40" t="s">
        <v>2275</v>
      </c>
      <c r="AR40">
        <v>94</v>
      </c>
      <c r="AS40" t="s">
        <v>35</v>
      </c>
      <c r="AT40" t="s">
        <v>36</v>
      </c>
      <c r="AU40" s="4">
        <f>HYPERLINK("http://mlb.mlb.com/team/player.jsp?player_id=450203",450203)</f>
        <v>450203</v>
      </c>
      <c r="AV40">
        <v>33</v>
      </c>
      <c r="AW40">
        <v>1033</v>
      </c>
      <c r="AX40">
        <v>146.69999999999999</v>
      </c>
    </row>
    <row r="41" spans="1:50" x14ac:dyDescent="0.3">
      <c r="A41" s="4">
        <f>HYPERLINK("http://legacy.baseballprospectus.com/p/60655",60655)</f>
        <v>60655</v>
      </c>
      <c r="B41" t="s">
        <v>918</v>
      </c>
      <c r="C41" t="s">
        <v>451</v>
      </c>
      <c r="D41" s="10">
        <v>32290</v>
      </c>
      <c r="E41" t="s">
        <v>33</v>
      </c>
      <c r="F41" t="s">
        <v>33</v>
      </c>
      <c r="G41">
        <v>75</v>
      </c>
      <c r="H41">
        <v>210</v>
      </c>
      <c r="I41">
        <v>2018</v>
      </c>
      <c r="J41" s="4" t="str">
        <f>HYPERLINK("http://legacy.baseballprospectus.com/fantasy/dc/index.php?tm=ANA","ANA")</f>
        <v>ANA</v>
      </c>
      <c r="K41" t="s">
        <v>95</v>
      </c>
      <c r="L41" t="s">
        <v>34</v>
      </c>
      <c r="M41">
        <v>30</v>
      </c>
      <c r="N41">
        <v>9.6</v>
      </c>
      <c r="O41">
        <v>7.9</v>
      </c>
      <c r="P41">
        <v>12</v>
      </c>
      <c r="Q41">
        <v>1</v>
      </c>
      <c r="R41">
        <v>0</v>
      </c>
      <c r="S41">
        <v>0</v>
      </c>
      <c r="T41">
        <v>24</v>
      </c>
      <c r="U41">
        <v>24</v>
      </c>
      <c r="V41" s="9">
        <v>151.33330000000001</v>
      </c>
      <c r="W41">
        <v>646</v>
      </c>
      <c r="X41">
        <v>140</v>
      </c>
      <c r="Y41">
        <v>17</v>
      </c>
      <c r="Z41">
        <v>61</v>
      </c>
      <c r="AA41">
        <v>3</v>
      </c>
      <c r="AB41">
        <v>5</v>
      </c>
      <c r="AC41">
        <v>134</v>
      </c>
      <c r="AD41">
        <v>3.6</v>
      </c>
      <c r="AE41">
        <v>8</v>
      </c>
      <c r="AF41" s="5">
        <v>0.498</v>
      </c>
      <c r="AG41">
        <v>0.28699999999999998</v>
      </c>
      <c r="AH41">
        <v>1.32</v>
      </c>
      <c r="AI41">
        <v>3.98</v>
      </c>
      <c r="AJ41">
        <v>4.3</v>
      </c>
      <c r="AK41">
        <v>19.2</v>
      </c>
      <c r="AL41">
        <v>2.1</v>
      </c>
      <c r="AM41">
        <v>11</v>
      </c>
      <c r="AN41">
        <v>45</v>
      </c>
      <c r="AO41">
        <v>39</v>
      </c>
      <c r="AP41">
        <v>20</v>
      </c>
      <c r="AQ41" t="s">
        <v>2245</v>
      </c>
      <c r="AR41">
        <v>95</v>
      </c>
      <c r="AS41" t="s">
        <v>35</v>
      </c>
      <c r="AT41" t="s">
        <v>36</v>
      </c>
      <c r="AU41" s="4">
        <f>HYPERLINK("http://mlb.mlb.com/team/player.jsp?player_id=572070",572070)</f>
        <v>572070</v>
      </c>
      <c r="AV41">
        <v>97</v>
      </c>
      <c r="AW41">
        <v>1097</v>
      </c>
      <c r="AX41">
        <v>27.7</v>
      </c>
    </row>
    <row r="42" spans="1:50" x14ac:dyDescent="0.3">
      <c r="A42" s="4">
        <f>HYPERLINK("http://legacy.baseballprospectus.com/p/70913",70913)</f>
        <v>70913</v>
      </c>
      <c r="B42" t="s">
        <v>979</v>
      </c>
      <c r="C42" t="s">
        <v>432</v>
      </c>
      <c r="D42" s="10">
        <v>34202</v>
      </c>
      <c r="E42" t="s">
        <v>33</v>
      </c>
      <c r="F42" t="s">
        <v>33</v>
      </c>
      <c r="G42">
        <v>74</v>
      </c>
      <c r="H42">
        <v>170</v>
      </c>
      <c r="I42">
        <v>2018</v>
      </c>
      <c r="J42" s="4" t="str">
        <f>HYPERLINK("http://legacy.baseballprospectus.com/fantasy/dc/index.php?tm=SLN","SLN")</f>
        <v>SLN</v>
      </c>
      <c r="K42" t="s">
        <v>100</v>
      </c>
      <c r="L42" t="s">
        <v>34</v>
      </c>
      <c r="M42">
        <v>24</v>
      </c>
      <c r="N42">
        <v>9.5</v>
      </c>
      <c r="O42">
        <v>7.7</v>
      </c>
      <c r="P42">
        <v>13</v>
      </c>
      <c r="Q42">
        <v>1</v>
      </c>
      <c r="R42">
        <v>0</v>
      </c>
      <c r="S42">
        <v>0</v>
      </c>
      <c r="T42">
        <v>24</v>
      </c>
      <c r="U42">
        <v>24</v>
      </c>
      <c r="V42" s="9">
        <v>144</v>
      </c>
      <c r="W42">
        <v>609</v>
      </c>
      <c r="X42">
        <v>137</v>
      </c>
      <c r="Y42">
        <v>19</v>
      </c>
      <c r="Z42">
        <v>44</v>
      </c>
      <c r="AA42">
        <v>3</v>
      </c>
      <c r="AB42">
        <v>5</v>
      </c>
      <c r="AC42">
        <v>149</v>
      </c>
      <c r="AD42">
        <v>2.8</v>
      </c>
      <c r="AE42">
        <v>9.3000000000000007</v>
      </c>
      <c r="AF42" s="5">
        <v>0.433</v>
      </c>
      <c r="AG42">
        <v>0.30099999999999999</v>
      </c>
      <c r="AH42">
        <v>1.26</v>
      </c>
      <c r="AI42">
        <v>3.77</v>
      </c>
      <c r="AJ42">
        <v>3.99</v>
      </c>
      <c r="AK42">
        <v>19</v>
      </c>
      <c r="AL42">
        <v>2.1</v>
      </c>
      <c r="AM42">
        <v>23</v>
      </c>
      <c r="AN42">
        <v>68</v>
      </c>
      <c r="AO42">
        <v>11</v>
      </c>
      <c r="AP42">
        <v>16</v>
      </c>
      <c r="AQ42" t="s">
        <v>2263</v>
      </c>
      <c r="AR42">
        <v>94</v>
      </c>
      <c r="AS42" t="s">
        <v>35</v>
      </c>
      <c r="AT42" t="s">
        <v>36</v>
      </c>
      <c r="AU42" s="4">
        <f>HYPERLINK("http://mlb.mlb.com/team/player.jsp?player_id=596133",596133)</f>
        <v>596133</v>
      </c>
      <c r="AV42">
        <v>1078</v>
      </c>
      <c r="AW42">
        <v>78</v>
      </c>
      <c r="AX42">
        <v>60.3</v>
      </c>
    </row>
    <row r="43" spans="1:50" x14ac:dyDescent="0.3">
      <c r="A43" s="4">
        <f>HYPERLINK("http://legacy.baseballprospectus.com/p/45613",45613)</f>
        <v>45613</v>
      </c>
      <c r="B43" t="s">
        <v>970</v>
      </c>
      <c r="C43" t="s">
        <v>254</v>
      </c>
      <c r="D43" s="10">
        <v>30367</v>
      </c>
      <c r="E43" t="s">
        <v>33</v>
      </c>
      <c r="F43" t="s">
        <v>33</v>
      </c>
      <c r="G43">
        <v>77</v>
      </c>
      <c r="H43">
        <v>225</v>
      </c>
      <c r="I43">
        <v>2018</v>
      </c>
      <c r="J43" s="4" t="str">
        <f>HYPERLINK("http://legacy.baseballprospectus.com/fantasy/dc/index.php?tm=HOU","HOU")</f>
        <v>HOU</v>
      </c>
      <c r="K43" t="s">
        <v>95</v>
      </c>
      <c r="L43" t="s">
        <v>34</v>
      </c>
      <c r="M43">
        <v>35</v>
      </c>
      <c r="N43">
        <v>14.1</v>
      </c>
      <c r="O43">
        <v>8.5</v>
      </c>
      <c r="P43">
        <v>14</v>
      </c>
      <c r="Q43">
        <v>1</v>
      </c>
      <c r="R43">
        <v>0</v>
      </c>
      <c r="S43">
        <v>0</v>
      </c>
      <c r="T43">
        <v>30</v>
      </c>
      <c r="U43">
        <v>30</v>
      </c>
      <c r="V43" s="9">
        <v>189</v>
      </c>
      <c r="W43">
        <v>803</v>
      </c>
      <c r="X43">
        <v>178</v>
      </c>
      <c r="Y43">
        <v>28</v>
      </c>
      <c r="Z43">
        <v>66</v>
      </c>
      <c r="AA43">
        <v>3</v>
      </c>
      <c r="AB43">
        <v>8</v>
      </c>
      <c r="AC43">
        <v>183</v>
      </c>
      <c r="AD43">
        <v>3.2</v>
      </c>
      <c r="AE43">
        <v>8.6999999999999993</v>
      </c>
      <c r="AF43" s="5">
        <v>0.375</v>
      </c>
      <c r="AG43">
        <v>0.28999999999999998</v>
      </c>
      <c r="AH43">
        <v>1.29</v>
      </c>
      <c r="AI43">
        <v>4.18</v>
      </c>
      <c r="AJ43">
        <v>4.59</v>
      </c>
      <c r="AK43">
        <v>18.3</v>
      </c>
      <c r="AL43">
        <v>2</v>
      </c>
      <c r="AM43">
        <v>11</v>
      </c>
      <c r="AN43">
        <v>31</v>
      </c>
      <c r="AO43">
        <v>39</v>
      </c>
      <c r="AP43">
        <v>9</v>
      </c>
      <c r="AQ43" t="s">
        <v>2284</v>
      </c>
      <c r="AR43">
        <v>89</v>
      </c>
      <c r="AS43" t="s">
        <v>35</v>
      </c>
      <c r="AT43" t="s">
        <v>36</v>
      </c>
      <c r="AU43" s="4">
        <f>HYPERLINK("http://mlb.mlb.com/team/player.jsp?player_id=434378",434378)</f>
        <v>434378</v>
      </c>
      <c r="AV43">
        <v>3</v>
      </c>
      <c r="AW43">
        <v>1003</v>
      </c>
      <c r="AX43">
        <v>206</v>
      </c>
    </row>
    <row r="44" spans="1:50" x14ac:dyDescent="0.3">
      <c r="A44" s="4">
        <f>HYPERLINK("http://legacy.baseballprospectus.com/p/47965",47965)</f>
        <v>47965</v>
      </c>
      <c r="B44" t="s">
        <v>842</v>
      </c>
      <c r="C44" t="s">
        <v>843</v>
      </c>
      <c r="D44" s="10">
        <v>32050</v>
      </c>
      <c r="E44" t="s">
        <v>37</v>
      </c>
      <c r="F44" t="s">
        <v>33</v>
      </c>
      <c r="G44">
        <v>77</v>
      </c>
      <c r="H44">
        <v>275</v>
      </c>
      <c r="I44">
        <v>2018</v>
      </c>
      <c r="J44" s="4" t="str">
        <f>HYPERLINK("http://legacy.baseballprospectus.com/fantasy/dc/index.php?tm=LAN","LAN")</f>
        <v>LAN</v>
      </c>
      <c r="K44" t="s">
        <v>100</v>
      </c>
      <c r="L44" t="s">
        <v>34</v>
      </c>
      <c r="M44">
        <v>30</v>
      </c>
      <c r="N44">
        <v>3.9</v>
      </c>
      <c r="O44">
        <v>2.2000000000000002</v>
      </c>
      <c r="P44">
        <v>0</v>
      </c>
      <c r="Q44">
        <v>0</v>
      </c>
      <c r="R44">
        <v>40</v>
      </c>
      <c r="S44">
        <v>3</v>
      </c>
      <c r="T44">
        <v>60</v>
      </c>
      <c r="U44">
        <v>0</v>
      </c>
      <c r="V44" s="9">
        <v>63.333300000000001</v>
      </c>
      <c r="W44">
        <v>246</v>
      </c>
      <c r="X44">
        <v>40</v>
      </c>
      <c r="Y44">
        <v>7</v>
      </c>
      <c r="Z44">
        <v>17</v>
      </c>
      <c r="AA44">
        <v>1</v>
      </c>
      <c r="AB44">
        <v>2</v>
      </c>
      <c r="AC44">
        <v>104</v>
      </c>
      <c r="AD44">
        <v>2.5</v>
      </c>
      <c r="AE44">
        <v>14.8</v>
      </c>
      <c r="AF44" s="5">
        <v>0.39100000000000001</v>
      </c>
      <c r="AG44">
        <v>0.29099999999999998</v>
      </c>
      <c r="AH44">
        <v>0.91</v>
      </c>
      <c r="AI44">
        <v>1.7</v>
      </c>
      <c r="AJ44">
        <v>2.2000000000000002</v>
      </c>
      <c r="AK44">
        <v>18.2</v>
      </c>
      <c r="AL44">
        <v>2</v>
      </c>
      <c r="AM44">
        <v>23</v>
      </c>
      <c r="AN44">
        <v>40</v>
      </c>
      <c r="AO44">
        <v>27</v>
      </c>
      <c r="AP44">
        <v>8</v>
      </c>
      <c r="AQ44" t="s">
        <v>2285</v>
      </c>
      <c r="AR44">
        <v>91</v>
      </c>
      <c r="AS44" t="s">
        <v>35</v>
      </c>
      <c r="AT44" t="s">
        <v>36</v>
      </c>
      <c r="AU44" s="4">
        <f>HYPERLINK("http://mlb.mlb.com/team/player.jsp?player_id=445276",445276)</f>
        <v>445276</v>
      </c>
      <c r="AV44">
        <v>1248</v>
      </c>
      <c r="AW44">
        <v>248</v>
      </c>
      <c r="AX44">
        <v>68.3</v>
      </c>
    </row>
    <row r="45" spans="1:50" x14ac:dyDescent="0.3">
      <c r="A45" s="4">
        <f>HYPERLINK("http://legacy.baseballprospectus.com/p/57743",57743)</f>
        <v>57743</v>
      </c>
      <c r="B45" t="s">
        <v>735</v>
      </c>
      <c r="C45" t="s">
        <v>736</v>
      </c>
      <c r="D45" s="10">
        <v>32721</v>
      </c>
      <c r="E45" t="s">
        <v>33</v>
      </c>
      <c r="F45" t="s">
        <v>9</v>
      </c>
      <c r="G45">
        <v>77</v>
      </c>
      <c r="H45">
        <v>250</v>
      </c>
      <c r="I45">
        <v>2018</v>
      </c>
      <c r="J45" s="4" t="str">
        <f>HYPERLINK("http://legacy.baseballprospectus.com/fantasy/dc/index.php?tm=SFN","SFN")</f>
        <v>SFN</v>
      </c>
      <c r="K45" t="s">
        <v>100</v>
      </c>
      <c r="L45" t="s">
        <v>34</v>
      </c>
      <c r="M45">
        <v>28</v>
      </c>
      <c r="N45">
        <v>9.6999999999999993</v>
      </c>
      <c r="O45">
        <v>8.1</v>
      </c>
      <c r="P45">
        <v>13</v>
      </c>
      <c r="Q45">
        <v>1</v>
      </c>
      <c r="R45">
        <v>0</v>
      </c>
      <c r="S45">
        <v>0</v>
      </c>
      <c r="T45">
        <v>24</v>
      </c>
      <c r="U45">
        <v>24</v>
      </c>
      <c r="V45" s="9">
        <v>151.33330000000001</v>
      </c>
      <c r="W45">
        <v>623</v>
      </c>
      <c r="X45">
        <v>134</v>
      </c>
      <c r="Y45">
        <v>17</v>
      </c>
      <c r="Z45">
        <v>41</v>
      </c>
      <c r="AA45">
        <v>3</v>
      </c>
      <c r="AB45">
        <v>5</v>
      </c>
      <c r="AC45">
        <v>153</v>
      </c>
      <c r="AD45">
        <v>2.5</v>
      </c>
      <c r="AE45">
        <v>9.1</v>
      </c>
      <c r="AF45" s="5">
        <v>0.42099999999999999</v>
      </c>
      <c r="AG45">
        <v>0.28599999999999998</v>
      </c>
      <c r="AH45">
        <v>1.1399999999999999</v>
      </c>
      <c r="AI45">
        <v>3.41</v>
      </c>
      <c r="AJ45">
        <v>4.1100000000000003</v>
      </c>
      <c r="AK45">
        <v>18</v>
      </c>
      <c r="AL45">
        <v>2</v>
      </c>
      <c r="AM45">
        <v>14</v>
      </c>
      <c r="AN45">
        <v>49</v>
      </c>
      <c r="AO45">
        <v>29</v>
      </c>
      <c r="AP45">
        <v>5</v>
      </c>
      <c r="AQ45" t="s">
        <v>2257</v>
      </c>
      <c r="AR45">
        <v>97</v>
      </c>
      <c r="AS45" t="s">
        <v>35</v>
      </c>
      <c r="AT45" t="s">
        <v>36</v>
      </c>
      <c r="AU45" s="4">
        <f>HYPERLINK("http://mlb.mlb.com/team/player.jsp?player_id=518516",518516)</f>
        <v>518516</v>
      </c>
      <c r="AV45">
        <v>1050</v>
      </c>
      <c r="AW45">
        <v>50</v>
      </c>
      <c r="AX45">
        <v>111</v>
      </c>
    </row>
    <row r="46" spans="1:50" x14ac:dyDescent="0.3">
      <c r="A46" s="4">
        <f>HYPERLINK("http://legacy.baseballprospectus.com/p/58350",58350)</f>
        <v>58350</v>
      </c>
      <c r="B46" t="s">
        <v>850</v>
      </c>
      <c r="C46" t="s">
        <v>261</v>
      </c>
      <c r="D46" s="10">
        <v>32291</v>
      </c>
      <c r="E46" t="s">
        <v>33</v>
      </c>
      <c r="F46" t="s">
        <v>33</v>
      </c>
      <c r="G46">
        <v>72</v>
      </c>
      <c r="H46">
        <v>210</v>
      </c>
      <c r="I46">
        <v>2018</v>
      </c>
      <c r="J46" s="4" t="str">
        <f>HYPERLINK("http://legacy.baseballprospectus.com/fantasy/dc/index.php?tm=BOS","BOS")</f>
        <v>BOS</v>
      </c>
      <c r="K46" t="s">
        <v>95</v>
      </c>
      <c r="L46" t="s">
        <v>34</v>
      </c>
      <c r="M46">
        <v>30</v>
      </c>
      <c r="N46">
        <v>2.8</v>
      </c>
      <c r="O46">
        <v>2</v>
      </c>
      <c r="P46">
        <v>0</v>
      </c>
      <c r="Q46">
        <v>0</v>
      </c>
      <c r="R46">
        <v>38</v>
      </c>
      <c r="S46">
        <v>2</v>
      </c>
      <c r="T46">
        <v>48</v>
      </c>
      <c r="U46">
        <v>0</v>
      </c>
      <c r="V46" s="9">
        <v>51</v>
      </c>
      <c r="W46">
        <v>197</v>
      </c>
      <c r="X46">
        <v>27</v>
      </c>
      <c r="Y46">
        <v>4</v>
      </c>
      <c r="Z46">
        <v>17</v>
      </c>
      <c r="AA46">
        <v>1</v>
      </c>
      <c r="AB46">
        <v>3</v>
      </c>
      <c r="AC46">
        <v>93</v>
      </c>
      <c r="AD46">
        <v>3.1</v>
      </c>
      <c r="AE46">
        <v>16.399999999999999</v>
      </c>
      <c r="AF46" s="5">
        <v>0.39700000000000002</v>
      </c>
      <c r="AG46">
        <v>0.28899999999999998</v>
      </c>
      <c r="AH46">
        <v>0.87</v>
      </c>
      <c r="AI46">
        <v>1.36</v>
      </c>
      <c r="AJ46">
        <v>1.78</v>
      </c>
      <c r="AK46">
        <v>18.3</v>
      </c>
      <c r="AL46">
        <v>2</v>
      </c>
      <c r="AM46">
        <v>24</v>
      </c>
      <c r="AN46">
        <v>41</v>
      </c>
      <c r="AO46">
        <v>28</v>
      </c>
      <c r="AP46">
        <v>9</v>
      </c>
      <c r="AQ46" t="s">
        <v>2309</v>
      </c>
      <c r="AR46">
        <v>89</v>
      </c>
      <c r="AS46" t="s">
        <v>35</v>
      </c>
      <c r="AT46" t="s">
        <v>36</v>
      </c>
      <c r="AU46" s="4">
        <f>HYPERLINK("http://mlb.mlb.com/team/player.jsp?player_id=518886",518886)</f>
        <v>518886</v>
      </c>
      <c r="AV46">
        <v>235</v>
      </c>
      <c r="AW46">
        <v>1235</v>
      </c>
      <c r="AX46">
        <v>69</v>
      </c>
    </row>
    <row r="47" spans="1:50" x14ac:dyDescent="0.3">
      <c r="A47" s="4">
        <f>HYPERLINK("http://legacy.baseballprospectus.com/p/100137",100137)</f>
        <v>100137</v>
      </c>
      <c r="B47" t="s">
        <v>1599</v>
      </c>
      <c r="C47" t="s">
        <v>266</v>
      </c>
      <c r="D47" s="10">
        <v>32984</v>
      </c>
      <c r="E47" t="s">
        <v>33</v>
      </c>
      <c r="F47" t="s">
        <v>33</v>
      </c>
      <c r="G47">
        <v>75</v>
      </c>
      <c r="H47">
        <v>240</v>
      </c>
      <c r="I47">
        <v>2018</v>
      </c>
      <c r="J47" s="4" t="str">
        <f>HYPERLINK("http://legacy.baseballprospectus.com/fantasy/dc/index.php?tm=ARI","ARI")</f>
        <v>ARI</v>
      </c>
      <c r="K47" t="s">
        <v>100</v>
      </c>
      <c r="L47" t="s">
        <v>34</v>
      </c>
      <c r="M47">
        <v>28</v>
      </c>
      <c r="N47">
        <v>10.3</v>
      </c>
      <c r="O47">
        <v>8.4</v>
      </c>
      <c r="P47">
        <v>14</v>
      </c>
      <c r="Q47">
        <v>1</v>
      </c>
      <c r="R47">
        <v>0</v>
      </c>
      <c r="S47">
        <v>0</v>
      </c>
      <c r="T47">
        <v>26</v>
      </c>
      <c r="U47">
        <v>26</v>
      </c>
      <c r="V47" s="9">
        <v>156</v>
      </c>
      <c r="W47">
        <v>652</v>
      </c>
      <c r="X47">
        <v>140</v>
      </c>
      <c r="Y47">
        <v>16</v>
      </c>
      <c r="Z47">
        <v>55</v>
      </c>
      <c r="AA47">
        <v>3</v>
      </c>
      <c r="AB47">
        <v>6</v>
      </c>
      <c r="AC47">
        <v>157</v>
      </c>
      <c r="AD47">
        <v>3.2</v>
      </c>
      <c r="AE47">
        <v>9.1</v>
      </c>
      <c r="AF47" s="5">
        <v>0.51800000000000002</v>
      </c>
      <c r="AG47">
        <v>0.29599999999999999</v>
      </c>
      <c r="AH47">
        <v>1.25</v>
      </c>
      <c r="AI47">
        <v>3.62</v>
      </c>
      <c r="AJ47">
        <v>4.13</v>
      </c>
      <c r="AK47">
        <v>18.2</v>
      </c>
      <c r="AL47">
        <v>2</v>
      </c>
      <c r="AM47">
        <v>17</v>
      </c>
      <c r="AN47">
        <v>53</v>
      </c>
      <c r="AO47">
        <v>17</v>
      </c>
      <c r="AP47">
        <v>21</v>
      </c>
      <c r="AQ47" t="s">
        <v>2272</v>
      </c>
      <c r="AR47">
        <v>88</v>
      </c>
      <c r="AS47" t="s">
        <v>35</v>
      </c>
      <c r="AT47" t="s">
        <v>36</v>
      </c>
      <c r="AU47" s="4">
        <f>HYPERLINK("http://mlb.mlb.com/team/player.jsp?player_id=643327",643327)</f>
        <v>643327</v>
      </c>
      <c r="AV47">
        <v>1029</v>
      </c>
      <c r="AW47">
        <v>29</v>
      </c>
      <c r="AX47">
        <v>155</v>
      </c>
    </row>
    <row r="48" spans="1:50" x14ac:dyDescent="0.3">
      <c r="A48" s="4">
        <f>HYPERLINK("http://legacy.baseballprospectus.com/p/36959",36959)</f>
        <v>36959</v>
      </c>
      <c r="B48" t="s">
        <v>424</v>
      </c>
      <c r="C48" t="s">
        <v>836</v>
      </c>
      <c r="D48" s="10">
        <v>29291</v>
      </c>
      <c r="E48" t="s">
        <v>9</v>
      </c>
      <c r="F48" t="s">
        <v>9</v>
      </c>
      <c r="G48">
        <v>77</v>
      </c>
      <c r="H48">
        <v>220</v>
      </c>
      <c r="I48">
        <v>2018</v>
      </c>
      <c r="J48" s="4" t="str">
        <f>HYPERLINK("http://legacy.baseballprospectus.com/fantasy/dc/index.php?tm=LAN","LAN")</f>
        <v>LAN</v>
      </c>
      <c r="K48" t="s">
        <v>100</v>
      </c>
      <c r="L48" t="s">
        <v>34</v>
      </c>
      <c r="M48">
        <v>38</v>
      </c>
      <c r="N48">
        <v>10.3</v>
      </c>
      <c r="O48">
        <v>6.4</v>
      </c>
      <c r="P48">
        <v>13</v>
      </c>
      <c r="Q48">
        <v>1</v>
      </c>
      <c r="R48">
        <v>0</v>
      </c>
      <c r="S48">
        <v>0</v>
      </c>
      <c r="T48">
        <v>24</v>
      </c>
      <c r="U48">
        <v>24</v>
      </c>
      <c r="V48" s="9">
        <v>136.66669999999999</v>
      </c>
      <c r="W48">
        <v>575</v>
      </c>
      <c r="X48">
        <v>116</v>
      </c>
      <c r="Y48">
        <v>17</v>
      </c>
      <c r="Z48">
        <v>51</v>
      </c>
      <c r="AA48">
        <v>3</v>
      </c>
      <c r="AB48">
        <v>8</v>
      </c>
      <c r="AC48">
        <v>155</v>
      </c>
      <c r="AD48">
        <v>3.4</v>
      </c>
      <c r="AE48">
        <v>10.199999999999999</v>
      </c>
      <c r="AF48" s="5">
        <v>0.44</v>
      </c>
      <c r="AG48">
        <v>0.28999999999999998</v>
      </c>
      <c r="AH48">
        <v>1.22</v>
      </c>
      <c r="AI48">
        <v>3.55</v>
      </c>
      <c r="AJ48">
        <v>4.05</v>
      </c>
      <c r="AK48">
        <v>17.2</v>
      </c>
      <c r="AL48">
        <v>1.9</v>
      </c>
      <c r="AM48">
        <v>23</v>
      </c>
      <c r="AN48">
        <v>36</v>
      </c>
      <c r="AO48">
        <v>22</v>
      </c>
      <c r="AP48">
        <v>5</v>
      </c>
      <c r="AQ48" t="s">
        <v>2283</v>
      </c>
      <c r="AR48">
        <v>81</v>
      </c>
      <c r="AS48" t="s">
        <v>35</v>
      </c>
      <c r="AT48" t="s">
        <v>36</v>
      </c>
      <c r="AU48" s="4">
        <f>HYPERLINK("http://mlb.mlb.com/team/player.jsp?player_id=448179",448179)</f>
        <v>448179</v>
      </c>
      <c r="AV48">
        <v>1037</v>
      </c>
      <c r="AW48">
        <v>37</v>
      </c>
      <c r="AX48">
        <v>135.69999999999999</v>
      </c>
    </row>
    <row r="49" spans="1:50" x14ac:dyDescent="0.3">
      <c r="A49" s="4">
        <f>HYPERLINK("http://legacy.baseballprospectus.com/p/49617",49617)</f>
        <v>49617</v>
      </c>
      <c r="B49" t="s">
        <v>516</v>
      </c>
      <c r="C49" t="s">
        <v>204</v>
      </c>
      <c r="D49" s="10">
        <v>31188</v>
      </c>
      <c r="E49" t="s">
        <v>9</v>
      </c>
      <c r="F49" t="s">
        <v>9</v>
      </c>
      <c r="G49">
        <v>79</v>
      </c>
      <c r="H49">
        <v>205</v>
      </c>
      <c r="I49">
        <v>2018</v>
      </c>
      <c r="J49" s="4" t="str">
        <f>HYPERLINK("http://legacy.baseballprospectus.com/fantasy/dc/index.php?tm=CLE","CLE")</f>
        <v>CLE</v>
      </c>
      <c r="K49" t="s">
        <v>95</v>
      </c>
      <c r="L49" t="s">
        <v>34</v>
      </c>
      <c r="M49">
        <v>33</v>
      </c>
      <c r="N49">
        <v>3.4</v>
      </c>
      <c r="O49">
        <v>2.1</v>
      </c>
      <c r="P49">
        <v>0</v>
      </c>
      <c r="Q49">
        <v>0</v>
      </c>
      <c r="R49">
        <v>5</v>
      </c>
      <c r="S49">
        <v>4</v>
      </c>
      <c r="T49">
        <v>55</v>
      </c>
      <c r="U49">
        <v>0</v>
      </c>
      <c r="V49" s="9">
        <v>58.666699999999999</v>
      </c>
      <c r="W49">
        <v>233</v>
      </c>
      <c r="X49">
        <v>38</v>
      </c>
      <c r="Y49">
        <v>5</v>
      </c>
      <c r="Z49">
        <v>19</v>
      </c>
      <c r="AA49">
        <v>1</v>
      </c>
      <c r="AB49">
        <v>3</v>
      </c>
      <c r="AC49">
        <v>92</v>
      </c>
      <c r="AD49">
        <v>3</v>
      </c>
      <c r="AE49">
        <v>14.2</v>
      </c>
      <c r="AF49" s="5">
        <v>0.47099999999999997</v>
      </c>
      <c r="AG49">
        <v>0.28899999999999998</v>
      </c>
      <c r="AH49">
        <v>0.97</v>
      </c>
      <c r="AI49">
        <v>1.89</v>
      </c>
      <c r="AJ49">
        <v>2.39</v>
      </c>
      <c r="AK49">
        <v>17.3</v>
      </c>
      <c r="AL49">
        <v>1.9</v>
      </c>
      <c r="AM49">
        <v>17</v>
      </c>
      <c r="AN49">
        <v>41</v>
      </c>
      <c r="AO49">
        <v>35</v>
      </c>
      <c r="AP49">
        <v>8</v>
      </c>
      <c r="AQ49" t="s">
        <v>2307</v>
      </c>
      <c r="AR49">
        <v>94</v>
      </c>
      <c r="AS49" t="s">
        <v>35</v>
      </c>
      <c r="AT49" t="s">
        <v>36</v>
      </c>
      <c r="AU49" s="4">
        <f>HYPERLINK("http://mlb.mlb.com/team/player.jsp?player_id=453192",453192)</f>
        <v>453192</v>
      </c>
      <c r="AV49">
        <v>249</v>
      </c>
      <c r="AW49">
        <v>1249</v>
      </c>
      <c r="AX49">
        <v>62.7</v>
      </c>
    </row>
    <row r="50" spans="1:50" x14ac:dyDescent="0.3">
      <c r="A50" s="4">
        <f>HYPERLINK("http://legacy.baseballprospectus.com/p/67148",67148)</f>
        <v>67148</v>
      </c>
      <c r="B50" t="s">
        <v>684</v>
      </c>
      <c r="C50" t="s">
        <v>975</v>
      </c>
      <c r="D50" s="10">
        <v>33829</v>
      </c>
      <c r="E50" t="s">
        <v>33</v>
      </c>
      <c r="F50" t="s">
        <v>33</v>
      </c>
      <c r="G50">
        <v>76</v>
      </c>
      <c r="H50">
        <v>235</v>
      </c>
      <c r="I50">
        <v>2018</v>
      </c>
      <c r="J50" s="4" t="str">
        <f>HYPERLINK("http://legacy.baseballprospectus.com/fantasy/dc/index.php?tm=ARI","ARI")</f>
        <v>ARI</v>
      </c>
      <c r="K50" t="s">
        <v>100</v>
      </c>
      <c r="L50" t="s">
        <v>34</v>
      </c>
      <c r="M50">
        <v>25</v>
      </c>
      <c r="N50">
        <v>10.199999999999999</v>
      </c>
      <c r="O50">
        <v>8.8000000000000007</v>
      </c>
      <c r="P50">
        <v>15</v>
      </c>
      <c r="Q50">
        <v>0</v>
      </c>
      <c r="R50">
        <v>0</v>
      </c>
      <c r="S50">
        <v>0</v>
      </c>
      <c r="T50">
        <v>29</v>
      </c>
      <c r="U50">
        <v>29</v>
      </c>
      <c r="V50" s="9">
        <v>153.66669999999999</v>
      </c>
      <c r="W50">
        <v>644</v>
      </c>
      <c r="X50">
        <v>137</v>
      </c>
      <c r="Y50">
        <v>17</v>
      </c>
      <c r="Z50">
        <v>52</v>
      </c>
      <c r="AA50">
        <v>4</v>
      </c>
      <c r="AB50">
        <v>6</v>
      </c>
      <c r="AC50">
        <v>157</v>
      </c>
      <c r="AD50">
        <v>3</v>
      </c>
      <c r="AE50">
        <v>9.1999999999999993</v>
      </c>
      <c r="AF50" s="5">
        <v>0.45700000000000002</v>
      </c>
      <c r="AG50">
        <v>0.29099999999999998</v>
      </c>
      <c r="AH50">
        <v>1.22</v>
      </c>
      <c r="AI50">
        <v>3.64</v>
      </c>
      <c r="AJ50">
        <v>4.1500000000000004</v>
      </c>
      <c r="AK50">
        <v>17.600000000000001</v>
      </c>
      <c r="AL50">
        <v>1.9</v>
      </c>
      <c r="AM50">
        <v>24</v>
      </c>
      <c r="AN50">
        <v>56</v>
      </c>
      <c r="AO50">
        <v>21</v>
      </c>
      <c r="AP50">
        <v>12</v>
      </c>
      <c r="AQ50" t="s">
        <v>2271</v>
      </c>
      <c r="AR50">
        <v>97</v>
      </c>
      <c r="AS50" t="s">
        <v>35</v>
      </c>
      <c r="AT50" t="s">
        <v>36</v>
      </c>
      <c r="AU50" s="4">
        <f>HYPERLINK("http://mlb.mlb.com/team/player.jsp?player_id=592836",592836)</f>
        <v>592836</v>
      </c>
      <c r="AV50">
        <v>1026</v>
      </c>
      <c r="AW50">
        <v>26</v>
      </c>
      <c r="AX50">
        <v>157.30000000000001</v>
      </c>
    </row>
    <row r="51" spans="1:50" x14ac:dyDescent="0.3">
      <c r="A51" s="4">
        <f>HYPERLINK("http://legacy.baseballprospectus.com/p/70271",70271)</f>
        <v>70271</v>
      </c>
      <c r="B51" t="s">
        <v>1188</v>
      </c>
      <c r="C51" t="s">
        <v>176</v>
      </c>
      <c r="D51" s="10">
        <v>33942</v>
      </c>
      <c r="E51" t="s">
        <v>9</v>
      </c>
      <c r="F51" t="s">
        <v>9</v>
      </c>
      <c r="G51">
        <v>76</v>
      </c>
      <c r="H51">
        <v>200</v>
      </c>
      <c r="I51">
        <v>2018</v>
      </c>
      <c r="J51" s="4" t="str">
        <f>HYPERLINK("http://legacy.baseballprospectus.com/fantasy/dc/index.php?tm=TBA","TBA")</f>
        <v>TBA</v>
      </c>
      <c r="K51" t="s">
        <v>95</v>
      </c>
      <c r="L51" t="s">
        <v>34</v>
      </c>
      <c r="M51">
        <v>25</v>
      </c>
      <c r="N51">
        <v>8.4</v>
      </c>
      <c r="O51">
        <v>7.9</v>
      </c>
      <c r="P51">
        <v>13</v>
      </c>
      <c r="Q51">
        <v>0</v>
      </c>
      <c r="R51">
        <v>0</v>
      </c>
      <c r="S51">
        <v>0</v>
      </c>
      <c r="T51">
        <v>25</v>
      </c>
      <c r="U51">
        <v>25</v>
      </c>
      <c r="V51" s="9">
        <v>132.66669999999999</v>
      </c>
      <c r="W51">
        <v>566</v>
      </c>
      <c r="X51">
        <v>117</v>
      </c>
      <c r="Y51">
        <v>16</v>
      </c>
      <c r="Z51">
        <v>58</v>
      </c>
      <c r="AA51">
        <v>3</v>
      </c>
      <c r="AB51">
        <v>3</v>
      </c>
      <c r="AC51">
        <v>152</v>
      </c>
      <c r="AD51">
        <v>3.9</v>
      </c>
      <c r="AE51">
        <v>10.3</v>
      </c>
      <c r="AF51" s="5">
        <v>0.44800000000000001</v>
      </c>
      <c r="AG51">
        <v>0.3</v>
      </c>
      <c r="AH51">
        <v>1.34</v>
      </c>
      <c r="AI51">
        <v>3.65</v>
      </c>
      <c r="AJ51">
        <v>4.25</v>
      </c>
      <c r="AK51">
        <v>17.5</v>
      </c>
      <c r="AL51">
        <v>1.9</v>
      </c>
      <c r="AM51">
        <v>36</v>
      </c>
      <c r="AN51">
        <v>67</v>
      </c>
      <c r="AO51">
        <v>17</v>
      </c>
      <c r="AP51">
        <v>18</v>
      </c>
      <c r="AQ51" t="s">
        <v>2282</v>
      </c>
      <c r="AR51">
        <v>96</v>
      </c>
      <c r="AS51" t="s">
        <v>35</v>
      </c>
      <c r="AT51" t="s">
        <v>36</v>
      </c>
      <c r="AU51" s="4">
        <f>HYPERLINK("http://mlb.mlb.com/team/player.jsp?player_id=605483",605483)</f>
        <v>605483</v>
      </c>
      <c r="AV51">
        <v>45</v>
      </c>
      <c r="AW51">
        <v>1045</v>
      </c>
      <c r="AX51">
        <v>129.30000000000001</v>
      </c>
    </row>
    <row r="52" spans="1:50" x14ac:dyDescent="0.3">
      <c r="A52" s="4">
        <f>HYPERLINK("http://legacy.baseballprospectus.com/p/46084",46084)</f>
        <v>46084</v>
      </c>
      <c r="B52" t="s">
        <v>825</v>
      </c>
      <c r="C52" t="s">
        <v>826</v>
      </c>
      <c r="D52" s="10">
        <v>30243</v>
      </c>
      <c r="E52" t="s">
        <v>9</v>
      </c>
      <c r="F52" t="s">
        <v>9</v>
      </c>
      <c r="G52">
        <v>77</v>
      </c>
      <c r="H52">
        <v>205</v>
      </c>
      <c r="I52">
        <v>2018</v>
      </c>
      <c r="J52" s="4" t="str">
        <f>HYPERLINK("http://legacy.baseballprospectus.com/fantasy/dc/index.php?tm=TOR","TOR")</f>
        <v>TOR</v>
      </c>
      <c r="K52" t="s">
        <v>95</v>
      </c>
      <c r="L52" t="s">
        <v>34</v>
      </c>
      <c r="M52">
        <v>35</v>
      </c>
      <c r="N52">
        <v>9.8000000000000007</v>
      </c>
      <c r="O52">
        <v>8.8000000000000007</v>
      </c>
      <c r="P52">
        <v>13</v>
      </c>
      <c r="Q52">
        <v>1</v>
      </c>
      <c r="R52">
        <v>0</v>
      </c>
      <c r="S52">
        <v>0</v>
      </c>
      <c r="T52">
        <v>27</v>
      </c>
      <c r="U52">
        <v>27</v>
      </c>
      <c r="V52" s="9">
        <v>154</v>
      </c>
      <c r="W52">
        <v>665</v>
      </c>
      <c r="X52">
        <v>154</v>
      </c>
      <c r="Y52">
        <v>19</v>
      </c>
      <c r="Z52">
        <v>56</v>
      </c>
      <c r="AA52">
        <v>2</v>
      </c>
      <c r="AB52">
        <v>5</v>
      </c>
      <c r="AC52">
        <v>131</v>
      </c>
      <c r="AD52">
        <v>3.3</v>
      </c>
      <c r="AE52">
        <v>7.7</v>
      </c>
      <c r="AF52" s="5">
        <v>0.45</v>
      </c>
      <c r="AG52">
        <v>0.29699999999999999</v>
      </c>
      <c r="AH52">
        <v>1.37</v>
      </c>
      <c r="AI52">
        <v>4.1500000000000004</v>
      </c>
      <c r="AJ52">
        <v>4.5199999999999996</v>
      </c>
      <c r="AK52">
        <v>16.100000000000001</v>
      </c>
      <c r="AL52">
        <v>1.8</v>
      </c>
      <c r="AM52">
        <v>13</v>
      </c>
      <c r="AN52">
        <v>35</v>
      </c>
      <c r="AO52">
        <v>30</v>
      </c>
      <c r="AP52">
        <v>10</v>
      </c>
      <c r="AQ52" t="s">
        <v>2274</v>
      </c>
      <c r="AR52">
        <v>87</v>
      </c>
      <c r="AS52" t="s">
        <v>35</v>
      </c>
      <c r="AT52" t="s">
        <v>36</v>
      </c>
      <c r="AU52" s="4">
        <f>HYPERLINK("http://mlb.mlb.com/team/player.jsp?player_id=457918",457918)</f>
        <v>457918</v>
      </c>
      <c r="AV52">
        <v>37</v>
      </c>
      <c r="AW52">
        <v>1037</v>
      </c>
      <c r="AX52">
        <v>145.30000000000001</v>
      </c>
    </row>
    <row r="53" spans="1:50" x14ac:dyDescent="0.3">
      <c r="A53" s="4">
        <f>HYPERLINK("http://legacy.baseballprospectus.com/p/53014",53014)</f>
        <v>53014</v>
      </c>
      <c r="B53" t="s">
        <v>752</v>
      </c>
      <c r="C53" t="s">
        <v>753</v>
      </c>
      <c r="D53" s="10">
        <v>32201</v>
      </c>
      <c r="E53" t="s">
        <v>9</v>
      </c>
      <c r="F53" t="s">
        <v>9</v>
      </c>
      <c r="G53">
        <v>76</v>
      </c>
      <c r="H53">
        <v>212</v>
      </c>
      <c r="I53">
        <v>2018</v>
      </c>
      <c r="J53" s="4" t="str">
        <f>HYPERLINK("http://legacy.baseballprospectus.com/fantasy/dc/index.php?tm=NYA","NYA")</f>
        <v>NYA</v>
      </c>
      <c r="K53" t="s">
        <v>95</v>
      </c>
      <c r="L53" t="s">
        <v>34</v>
      </c>
      <c r="M53">
        <v>30</v>
      </c>
      <c r="N53">
        <v>3.1</v>
      </c>
      <c r="O53">
        <v>2</v>
      </c>
      <c r="P53">
        <v>0</v>
      </c>
      <c r="Q53">
        <v>0</v>
      </c>
      <c r="R53">
        <v>40</v>
      </c>
      <c r="S53">
        <v>3</v>
      </c>
      <c r="T53">
        <v>51</v>
      </c>
      <c r="U53">
        <v>0</v>
      </c>
      <c r="V53" s="9">
        <v>54.333300000000001</v>
      </c>
      <c r="W53">
        <v>220</v>
      </c>
      <c r="X53">
        <v>37</v>
      </c>
      <c r="Y53">
        <v>5</v>
      </c>
      <c r="Z53">
        <v>21</v>
      </c>
      <c r="AA53">
        <v>1</v>
      </c>
      <c r="AB53">
        <v>2</v>
      </c>
      <c r="AC53">
        <v>82</v>
      </c>
      <c r="AD53">
        <v>3.4</v>
      </c>
      <c r="AE53">
        <v>13.6</v>
      </c>
      <c r="AF53" s="5">
        <v>0.44700000000000001</v>
      </c>
      <c r="AG53">
        <v>0.29499999999999998</v>
      </c>
      <c r="AH53">
        <v>1.07</v>
      </c>
      <c r="AI53">
        <v>2.11</v>
      </c>
      <c r="AJ53">
        <v>2.41</v>
      </c>
      <c r="AK53">
        <v>15.9</v>
      </c>
      <c r="AL53">
        <v>1.8</v>
      </c>
      <c r="AM53">
        <v>23</v>
      </c>
      <c r="AN53">
        <v>37</v>
      </c>
      <c r="AO53">
        <v>32</v>
      </c>
      <c r="AP53">
        <v>9</v>
      </c>
      <c r="AQ53" t="s">
        <v>2308</v>
      </c>
      <c r="AR53">
        <v>89</v>
      </c>
      <c r="AS53" t="s">
        <v>35</v>
      </c>
      <c r="AT53" t="s">
        <v>36</v>
      </c>
      <c r="AU53" s="4">
        <f>HYPERLINK("http://mlb.mlb.com/team/player.jsp?player_id=547973",547973)</f>
        <v>547973</v>
      </c>
      <c r="AV53">
        <v>282</v>
      </c>
      <c r="AW53">
        <v>1282</v>
      </c>
      <c r="AX53">
        <v>50.3</v>
      </c>
    </row>
    <row r="54" spans="1:50" x14ac:dyDescent="0.3">
      <c r="A54" s="4">
        <f>HYPERLINK("http://legacy.baseballprospectus.com/p/59626",59626)</f>
        <v>59626</v>
      </c>
      <c r="B54" t="s">
        <v>766</v>
      </c>
      <c r="C54" t="s">
        <v>767</v>
      </c>
      <c r="D54" s="10">
        <v>32708</v>
      </c>
      <c r="E54" t="s">
        <v>9</v>
      </c>
      <c r="F54" t="s">
        <v>9</v>
      </c>
      <c r="G54">
        <v>75</v>
      </c>
      <c r="H54">
        <v>210</v>
      </c>
      <c r="I54">
        <v>2018</v>
      </c>
      <c r="J54" s="4" t="str">
        <f>HYPERLINK("http://legacy.baseballprospectus.com/fantasy/dc/index.php?tm=ARI","ARI")</f>
        <v>ARI</v>
      </c>
      <c r="K54" t="s">
        <v>100</v>
      </c>
      <c r="L54" t="s">
        <v>34</v>
      </c>
      <c r="M54">
        <v>28</v>
      </c>
      <c r="N54">
        <v>10.9</v>
      </c>
      <c r="O54">
        <v>9.3000000000000007</v>
      </c>
      <c r="P54">
        <v>14</v>
      </c>
      <c r="Q54">
        <v>1</v>
      </c>
      <c r="R54">
        <v>0</v>
      </c>
      <c r="S54">
        <v>0</v>
      </c>
      <c r="T54">
        <v>28</v>
      </c>
      <c r="U54">
        <v>28</v>
      </c>
      <c r="V54" s="9">
        <v>168</v>
      </c>
      <c r="W54">
        <v>720</v>
      </c>
      <c r="X54">
        <v>163</v>
      </c>
      <c r="Y54">
        <v>18</v>
      </c>
      <c r="Z54">
        <v>59</v>
      </c>
      <c r="AA54">
        <v>3</v>
      </c>
      <c r="AB54">
        <v>5</v>
      </c>
      <c r="AC54">
        <v>159</v>
      </c>
      <c r="AD54">
        <v>3.1</v>
      </c>
      <c r="AE54">
        <v>8.5</v>
      </c>
      <c r="AF54" s="5">
        <v>0.497</v>
      </c>
      <c r="AG54">
        <v>0.3</v>
      </c>
      <c r="AH54">
        <v>1.32</v>
      </c>
      <c r="AI54">
        <v>3.77</v>
      </c>
      <c r="AJ54">
        <v>4.3099999999999996</v>
      </c>
      <c r="AK54">
        <v>16.600000000000001</v>
      </c>
      <c r="AL54">
        <v>1.8</v>
      </c>
      <c r="AM54">
        <v>23</v>
      </c>
      <c r="AN54">
        <v>58</v>
      </c>
      <c r="AO54">
        <v>23</v>
      </c>
      <c r="AP54">
        <v>7</v>
      </c>
      <c r="AQ54" t="s">
        <v>2280</v>
      </c>
      <c r="AR54">
        <v>95</v>
      </c>
      <c r="AS54" t="s">
        <v>35</v>
      </c>
      <c r="AT54" t="s">
        <v>36</v>
      </c>
      <c r="AU54" s="4">
        <f>HYPERLINK("http://mlb.mlb.com/team/player.jsp?player_id=571578",571578)</f>
        <v>571578</v>
      </c>
      <c r="AV54">
        <v>1009</v>
      </c>
      <c r="AW54">
        <v>9</v>
      </c>
      <c r="AX54">
        <v>189.7</v>
      </c>
    </row>
    <row r="55" spans="1:50" x14ac:dyDescent="0.3">
      <c r="A55" s="4">
        <f>HYPERLINK("http://legacy.baseballprospectus.com/p/68404",68404)</f>
        <v>68404</v>
      </c>
      <c r="B55" t="s">
        <v>910</v>
      </c>
      <c r="C55" t="s">
        <v>210</v>
      </c>
      <c r="D55" s="10">
        <v>32469</v>
      </c>
      <c r="E55" t="s">
        <v>33</v>
      </c>
      <c r="F55" t="s">
        <v>9</v>
      </c>
      <c r="G55">
        <v>78</v>
      </c>
      <c r="H55">
        <v>240</v>
      </c>
      <c r="I55">
        <v>2018</v>
      </c>
      <c r="J55" s="4" t="str">
        <f>HYPERLINK("http://legacy.baseballprospectus.com/fantasy/dc/index.php?tm=BOS","BOS")</f>
        <v>BOS</v>
      </c>
      <c r="K55" t="s">
        <v>95</v>
      </c>
      <c r="L55" t="s">
        <v>34</v>
      </c>
      <c r="M55">
        <v>29</v>
      </c>
      <c r="N55">
        <v>9.4</v>
      </c>
      <c r="O55">
        <v>7.3</v>
      </c>
      <c r="P55">
        <v>12</v>
      </c>
      <c r="Q55">
        <v>0</v>
      </c>
      <c r="R55">
        <v>0</v>
      </c>
      <c r="S55">
        <v>0</v>
      </c>
      <c r="T55">
        <v>24</v>
      </c>
      <c r="U55">
        <v>24</v>
      </c>
      <c r="V55" s="9">
        <v>136.66669999999999</v>
      </c>
      <c r="W55">
        <v>586</v>
      </c>
      <c r="X55">
        <v>128</v>
      </c>
      <c r="Y55">
        <v>15</v>
      </c>
      <c r="Z55">
        <v>54</v>
      </c>
      <c r="AA55">
        <v>2</v>
      </c>
      <c r="AB55">
        <v>4</v>
      </c>
      <c r="AC55">
        <v>132</v>
      </c>
      <c r="AD55">
        <v>3.6</v>
      </c>
      <c r="AE55">
        <v>8.6999999999999993</v>
      </c>
      <c r="AF55" s="5">
        <v>0.45200000000000001</v>
      </c>
      <c r="AG55">
        <v>0.29699999999999999</v>
      </c>
      <c r="AH55">
        <v>1.34</v>
      </c>
      <c r="AI55">
        <v>3.79</v>
      </c>
      <c r="AJ55">
        <v>4.37</v>
      </c>
      <c r="AK55">
        <v>16.399999999999999</v>
      </c>
      <c r="AL55">
        <v>1.8</v>
      </c>
      <c r="AM55">
        <v>21</v>
      </c>
      <c r="AN55">
        <v>42</v>
      </c>
      <c r="AO55">
        <v>19</v>
      </c>
      <c r="AP55">
        <v>9</v>
      </c>
      <c r="AQ55" t="s">
        <v>2281</v>
      </c>
      <c r="AR55">
        <v>94</v>
      </c>
      <c r="AS55" t="s">
        <v>35</v>
      </c>
      <c r="AT55" t="s">
        <v>36</v>
      </c>
      <c r="AU55" s="4">
        <f>HYPERLINK("http://mlb.mlb.com/team/player.jsp?player_id=519141",519141)</f>
        <v>519141</v>
      </c>
      <c r="AV55">
        <v>18</v>
      </c>
      <c r="AW55">
        <v>1018</v>
      </c>
      <c r="AX55">
        <v>173.7</v>
      </c>
    </row>
    <row r="56" spans="1:50" x14ac:dyDescent="0.3">
      <c r="A56" s="4">
        <f>HYPERLINK("http://legacy.baseballprospectus.com/p/68997",68997)</f>
        <v>68997</v>
      </c>
      <c r="B56" t="s">
        <v>1086</v>
      </c>
      <c r="C56" t="s">
        <v>1058</v>
      </c>
      <c r="D56" s="10">
        <v>34737</v>
      </c>
      <c r="E56" t="s">
        <v>33</v>
      </c>
      <c r="F56" t="s">
        <v>33</v>
      </c>
      <c r="G56">
        <v>74</v>
      </c>
      <c r="H56">
        <v>215</v>
      </c>
      <c r="I56">
        <v>2018</v>
      </c>
      <c r="J56" s="4" t="str">
        <f>HYPERLINK("http://legacy.baseballprospectus.com/fantasy/dc/index.php?tm=TOR","TOR")</f>
        <v>TOR</v>
      </c>
      <c r="K56" t="s">
        <v>95</v>
      </c>
      <c r="L56" t="s">
        <v>34</v>
      </c>
      <c r="M56">
        <v>23</v>
      </c>
      <c r="N56">
        <v>3.3</v>
      </c>
      <c r="O56">
        <v>2.9</v>
      </c>
      <c r="P56">
        <v>0</v>
      </c>
      <c r="Q56">
        <v>0</v>
      </c>
      <c r="R56">
        <v>31</v>
      </c>
      <c r="S56">
        <v>4</v>
      </c>
      <c r="T56">
        <v>61</v>
      </c>
      <c r="U56">
        <v>0</v>
      </c>
      <c r="V56" s="9">
        <v>65</v>
      </c>
      <c r="W56">
        <v>262</v>
      </c>
      <c r="X56">
        <v>48</v>
      </c>
      <c r="Y56">
        <v>6</v>
      </c>
      <c r="Z56">
        <v>22</v>
      </c>
      <c r="AA56">
        <v>2</v>
      </c>
      <c r="AB56">
        <v>2</v>
      </c>
      <c r="AC56">
        <v>86</v>
      </c>
      <c r="AD56">
        <v>3</v>
      </c>
      <c r="AE56">
        <v>12</v>
      </c>
      <c r="AF56" s="5">
        <v>0.41399999999999998</v>
      </c>
      <c r="AG56">
        <v>0.28999999999999998</v>
      </c>
      <c r="AH56">
        <v>1.07</v>
      </c>
      <c r="AI56">
        <v>2.39</v>
      </c>
      <c r="AJ56">
        <v>2.8</v>
      </c>
      <c r="AK56">
        <v>16.399999999999999</v>
      </c>
      <c r="AL56">
        <v>1.8</v>
      </c>
      <c r="AM56">
        <v>22</v>
      </c>
      <c r="AN56">
        <v>53</v>
      </c>
      <c r="AO56">
        <v>24</v>
      </c>
      <c r="AP56">
        <v>11</v>
      </c>
      <c r="AQ56" t="s">
        <v>2299</v>
      </c>
      <c r="AR56">
        <v>97</v>
      </c>
      <c r="AS56" t="s">
        <v>35</v>
      </c>
      <c r="AT56" t="s">
        <v>36</v>
      </c>
      <c r="AU56" s="4">
        <f>HYPERLINK("http://mlb.mlb.com/team/player.jsp?player_id=532077",532077)</f>
        <v>532077</v>
      </c>
      <c r="AV56">
        <v>247</v>
      </c>
      <c r="AW56">
        <v>1247</v>
      </c>
      <c r="AX56">
        <v>64</v>
      </c>
    </row>
    <row r="57" spans="1:50" x14ac:dyDescent="0.3">
      <c r="A57" s="4">
        <f>HYPERLINK("http://legacy.baseballprospectus.com/p/70445",70445)</f>
        <v>70445</v>
      </c>
      <c r="B57" t="s">
        <v>1042</v>
      </c>
      <c r="C57" t="s">
        <v>181</v>
      </c>
      <c r="D57" s="10">
        <v>34043</v>
      </c>
      <c r="E57" t="s">
        <v>33</v>
      </c>
      <c r="F57" t="s">
        <v>33</v>
      </c>
      <c r="G57">
        <v>75</v>
      </c>
      <c r="H57">
        <v>210</v>
      </c>
      <c r="I57">
        <v>2018</v>
      </c>
      <c r="J57" s="4" t="str">
        <f>HYPERLINK("http://legacy.baseballprospectus.com/fantasy/dc/index.php?tm=DET","DET")</f>
        <v>DET</v>
      </c>
      <c r="K57" t="s">
        <v>95</v>
      </c>
      <c r="L57" t="s">
        <v>34</v>
      </c>
      <c r="M57">
        <v>25</v>
      </c>
      <c r="N57">
        <v>8.4</v>
      </c>
      <c r="O57">
        <v>10</v>
      </c>
      <c r="P57">
        <v>13</v>
      </c>
      <c r="Q57">
        <v>1</v>
      </c>
      <c r="R57">
        <v>0</v>
      </c>
      <c r="S57">
        <v>0</v>
      </c>
      <c r="T57">
        <v>26</v>
      </c>
      <c r="U57">
        <v>26</v>
      </c>
      <c r="V57" s="9">
        <v>156</v>
      </c>
      <c r="W57">
        <v>668</v>
      </c>
      <c r="X57">
        <v>157</v>
      </c>
      <c r="Y57">
        <v>23</v>
      </c>
      <c r="Z57">
        <v>50</v>
      </c>
      <c r="AA57">
        <v>3</v>
      </c>
      <c r="AB57">
        <v>7</v>
      </c>
      <c r="AC57">
        <v>130</v>
      </c>
      <c r="AD57">
        <v>2.9</v>
      </c>
      <c r="AE57">
        <v>7.5</v>
      </c>
      <c r="AF57" s="5">
        <v>0.48499999999999999</v>
      </c>
      <c r="AG57">
        <v>0.29299999999999998</v>
      </c>
      <c r="AH57">
        <v>1.33</v>
      </c>
      <c r="AI57">
        <v>4.46</v>
      </c>
      <c r="AJ57">
        <v>4.59</v>
      </c>
      <c r="AK57">
        <v>15.1</v>
      </c>
      <c r="AL57">
        <v>1.7</v>
      </c>
      <c r="AM57">
        <v>23</v>
      </c>
      <c r="AN57">
        <v>54</v>
      </c>
      <c r="AO57">
        <v>20</v>
      </c>
      <c r="AP57">
        <v>16</v>
      </c>
      <c r="AQ57" t="s">
        <v>2246</v>
      </c>
      <c r="AR57">
        <v>94</v>
      </c>
      <c r="AS57" t="s">
        <v>35</v>
      </c>
      <c r="AT57" t="s">
        <v>36</v>
      </c>
      <c r="AU57" s="4">
        <f>HYPERLINK("http://mlb.mlb.com/team/player.jsp?player_id=605242",605242)</f>
        <v>605242</v>
      </c>
      <c r="AV57">
        <v>20</v>
      </c>
      <c r="AW57">
        <v>1020</v>
      </c>
      <c r="AX57">
        <v>164.7</v>
      </c>
    </row>
    <row r="58" spans="1:50" x14ac:dyDescent="0.3">
      <c r="A58" s="4">
        <f>HYPERLINK("http://legacy.baseballprospectus.com/p/100273",100273)</f>
        <v>100273</v>
      </c>
      <c r="B58" t="s">
        <v>2028</v>
      </c>
      <c r="C58" t="s">
        <v>1507</v>
      </c>
      <c r="D58" s="10">
        <v>34752</v>
      </c>
      <c r="E58" t="s">
        <v>33</v>
      </c>
      <c r="F58" t="s">
        <v>33</v>
      </c>
      <c r="G58">
        <v>73</v>
      </c>
      <c r="H58">
        <v>185</v>
      </c>
      <c r="I58">
        <v>2018</v>
      </c>
      <c r="J58" s="4" t="str">
        <f>HYPERLINK("http://legacy.baseballprospectus.com/fantasy/dc/index.php?tm=COL","COL")</f>
        <v>COL</v>
      </c>
      <c r="K58" t="s">
        <v>100</v>
      </c>
      <c r="L58" t="s">
        <v>34</v>
      </c>
      <c r="M58">
        <v>23</v>
      </c>
      <c r="N58">
        <v>9.6</v>
      </c>
      <c r="O58">
        <v>9.6999999999999993</v>
      </c>
      <c r="P58">
        <v>14</v>
      </c>
      <c r="Q58">
        <v>1</v>
      </c>
      <c r="R58">
        <v>0</v>
      </c>
      <c r="S58">
        <v>0</v>
      </c>
      <c r="T58">
        <v>28</v>
      </c>
      <c r="U58">
        <v>28</v>
      </c>
      <c r="V58" s="9">
        <v>159.66669999999999</v>
      </c>
      <c r="W58">
        <v>686</v>
      </c>
      <c r="X58">
        <v>160</v>
      </c>
      <c r="Y58">
        <v>25</v>
      </c>
      <c r="Z58">
        <v>52</v>
      </c>
      <c r="AA58">
        <v>3</v>
      </c>
      <c r="AB58">
        <v>5</v>
      </c>
      <c r="AC58">
        <v>160</v>
      </c>
      <c r="AD58">
        <v>3</v>
      </c>
      <c r="AE58">
        <v>9</v>
      </c>
      <c r="AF58" s="5">
        <v>0.443</v>
      </c>
      <c r="AG58">
        <v>0.30399999999999999</v>
      </c>
      <c r="AH58">
        <v>1.34</v>
      </c>
      <c r="AI58">
        <v>4.18</v>
      </c>
      <c r="AJ58">
        <v>4.34</v>
      </c>
      <c r="AK58">
        <v>15.2</v>
      </c>
      <c r="AL58">
        <v>1.7</v>
      </c>
      <c r="AM58">
        <v>22</v>
      </c>
      <c r="AN58">
        <v>55</v>
      </c>
      <c r="AO58">
        <v>12</v>
      </c>
      <c r="AP58">
        <v>17</v>
      </c>
      <c r="AQ58" t="s">
        <v>2270</v>
      </c>
      <c r="AR58">
        <v>85</v>
      </c>
      <c r="AS58" t="s">
        <v>35</v>
      </c>
      <c r="AT58" t="s">
        <v>36</v>
      </c>
      <c r="AU58" s="4">
        <f>HYPERLINK("http://mlb.mlb.com/team/player.jsp?player_id=608566",608566)</f>
        <v>608566</v>
      </c>
      <c r="AV58">
        <v>1025</v>
      </c>
      <c r="AW58">
        <v>25</v>
      </c>
      <c r="AX58">
        <v>162</v>
      </c>
    </row>
    <row r="59" spans="1:50" x14ac:dyDescent="0.3">
      <c r="A59" s="4">
        <f>HYPERLINK("http://legacy.baseballprospectus.com/p/47415",47415)</f>
        <v>47415</v>
      </c>
      <c r="B59" t="s">
        <v>771</v>
      </c>
      <c r="C59" t="s">
        <v>282</v>
      </c>
      <c r="D59" s="10">
        <v>31458</v>
      </c>
      <c r="E59" t="s">
        <v>33</v>
      </c>
      <c r="F59" t="s">
        <v>33</v>
      </c>
      <c r="G59">
        <v>71</v>
      </c>
      <c r="H59">
        <v>220</v>
      </c>
      <c r="I59">
        <v>2018</v>
      </c>
      <c r="J59" s="4" t="str">
        <f>HYPERLINK("http://legacy.baseballprospectus.com/fantasy/dc/index.php?tm=SFN","SFN")</f>
        <v>SFN</v>
      </c>
      <c r="K59" t="s">
        <v>100</v>
      </c>
      <c r="L59" t="s">
        <v>34</v>
      </c>
      <c r="M59">
        <v>32</v>
      </c>
      <c r="N59">
        <v>9.8000000000000007</v>
      </c>
      <c r="O59">
        <v>8.9</v>
      </c>
      <c r="P59">
        <v>13</v>
      </c>
      <c r="Q59">
        <v>1</v>
      </c>
      <c r="R59">
        <v>0</v>
      </c>
      <c r="S59">
        <v>0</v>
      </c>
      <c r="T59">
        <v>26</v>
      </c>
      <c r="U59">
        <v>26</v>
      </c>
      <c r="V59" s="9">
        <v>156</v>
      </c>
      <c r="W59">
        <v>651</v>
      </c>
      <c r="X59">
        <v>143</v>
      </c>
      <c r="Y59">
        <v>16</v>
      </c>
      <c r="Z59">
        <v>47</v>
      </c>
      <c r="AA59">
        <v>2</v>
      </c>
      <c r="AB59">
        <v>7</v>
      </c>
      <c r="AC59">
        <v>136</v>
      </c>
      <c r="AD59">
        <v>2.7</v>
      </c>
      <c r="AE59">
        <v>7.9</v>
      </c>
      <c r="AF59" s="5">
        <v>0.45</v>
      </c>
      <c r="AG59">
        <v>0.28799999999999998</v>
      </c>
      <c r="AH59">
        <v>1.21</v>
      </c>
      <c r="AI59">
        <v>3.62</v>
      </c>
      <c r="AJ59">
        <v>4.3600000000000003</v>
      </c>
      <c r="AK59">
        <v>14.6</v>
      </c>
      <c r="AL59">
        <v>1.6</v>
      </c>
      <c r="AM59">
        <v>14</v>
      </c>
      <c r="AN59">
        <v>34</v>
      </c>
      <c r="AO59">
        <v>37</v>
      </c>
      <c r="AP59">
        <v>11</v>
      </c>
      <c r="AQ59" t="s">
        <v>2306</v>
      </c>
      <c r="AR59">
        <v>91</v>
      </c>
      <c r="AS59" t="s">
        <v>35</v>
      </c>
      <c r="AT59" t="s">
        <v>36</v>
      </c>
      <c r="AU59" s="4">
        <f>HYPERLINK("http://mlb.mlb.com/team/player.jsp?player_id=456501",456501)</f>
        <v>456501</v>
      </c>
      <c r="AV59">
        <v>1034</v>
      </c>
      <c r="AW59">
        <v>34</v>
      </c>
      <c r="AX59">
        <v>147.30000000000001</v>
      </c>
    </row>
    <row r="60" spans="1:50" x14ac:dyDescent="0.3">
      <c r="A60" s="4">
        <f>HYPERLINK("http://legacy.baseballprospectus.com/p/50175",50175)</f>
        <v>50175</v>
      </c>
      <c r="B60" t="s">
        <v>936</v>
      </c>
      <c r="C60" t="s">
        <v>146</v>
      </c>
      <c r="D60" s="10">
        <v>31070</v>
      </c>
      <c r="E60" t="s">
        <v>33</v>
      </c>
      <c r="F60" t="s">
        <v>33</v>
      </c>
      <c r="G60">
        <v>77</v>
      </c>
      <c r="H60">
        <v>225</v>
      </c>
      <c r="I60">
        <v>2018</v>
      </c>
      <c r="J60" s="4" t="str">
        <f>HYPERLINK("http://legacy.baseballprospectus.com/fantasy/dc/index.php?tm=SFN","SFN")</f>
        <v>SFN</v>
      </c>
      <c r="K60" t="s">
        <v>100</v>
      </c>
      <c r="L60" t="s">
        <v>34</v>
      </c>
      <c r="M60">
        <v>33</v>
      </c>
      <c r="N60">
        <v>9.5</v>
      </c>
      <c r="O60">
        <v>8.3000000000000007</v>
      </c>
      <c r="P60">
        <v>12</v>
      </c>
      <c r="Q60">
        <v>1</v>
      </c>
      <c r="R60">
        <v>0</v>
      </c>
      <c r="S60">
        <v>0</v>
      </c>
      <c r="T60">
        <v>24</v>
      </c>
      <c r="U60">
        <v>24</v>
      </c>
      <c r="V60" s="9">
        <v>151.33330000000001</v>
      </c>
      <c r="W60">
        <v>631</v>
      </c>
      <c r="X60">
        <v>145</v>
      </c>
      <c r="Y60">
        <v>17</v>
      </c>
      <c r="Z60">
        <v>40</v>
      </c>
      <c r="AA60">
        <v>2</v>
      </c>
      <c r="AB60">
        <v>5</v>
      </c>
      <c r="AC60">
        <v>136</v>
      </c>
      <c r="AD60">
        <v>2.4</v>
      </c>
      <c r="AE60">
        <v>8.1</v>
      </c>
      <c r="AF60" s="5">
        <v>0.438</v>
      </c>
      <c r="AG60">
        <v>0.29499999999999998</v>
      </c>
      <c r="AH60">
        <v>1.22</v>
      </c>
      <c r="AI60">
        <v>3.62</v>
      </c>
      <c r="AJ60">
        <v>4.3499999999999996</v>
      </c>
      <c r="AK60">
        <v>14.3</v>
      </c>
      <c r="AL60">
        <v>1.6</v>
      </c>
      <c r="AM60">
        <v>14</v>
      </c>
      <c r="AN60">
        <v>47</v>
      </c>
      <c r="AO60">
        <v>25</v>
      </c>
      <c r="AP60">
        <v>13</v>
      </c>
      <c r="AQ60" t="s">
        <v>2268</v>
      </c>
      <c r="AR60">
        <v>91</v>
      </c>
      <c r="AS60" t="s">
        <v>35</v>
      </c>
      <c r="AT60" t="s">
        <v>36</v>
      </c>
      <c r="AU60" s="4">
        <f>HYPERLINK("http://mlb.mlb.com/team/player.jsp?player_id=502188",502188)</f>
        <v>502188</v>
      </c>
      <c r="AV60">
        <v>1001</v>
      </c>
      <c r="AW60">
        <v>1</v>
      </c>
      <c r="AX60">
        <v>207.7</v>
      </c>
    </row>
    <row r="61" spans="1:50" x14ac:dyDescent="0.3">
      <c r="A61" s="4">
        <f>HYPERLINK("http://legacy.baseballprospectus.com/p/69123",69123)</f>
        <v>69123</v>
      </c>
      <c r="B61" t="s">
        <v>1150</v>
      </c>
      <c r="C61" t="s">
        <v>509</v>
      </c>
      <c r="D61" s="10">
        <v>32106</v>
      </c>
      <c r="E61" t="s">
        <v>33</v>
      </c>
      <c r="F61" t="s">
        <v>33</v>
      </c>
      <c r="G61">
        <v>75</v>
      </c>
      <c r="H61">
        <v>225</v>
      </c>
      <c r="I61">
        <v>2018</v>
      </c>
      <c r="J61" s="4" t="str">
        <f>HYPERLINK("http://legacy.baseballprospectus.com/fantasy/dc/index.php?tm=KCA","KCA")</f>
        <v>KCA</v>
      </c>
      <c r="K61" t="s">
        <v>95</v>
      </c>
      <c r="L61" t="s">
        <v>34</v>
      </c>
      <c r="M61">
        <v>30</v>
      </c>
      <c r="N61">
        <v>6.8</v>
      </c>
      <c r="O61">
        <v>8.8000000000000007</v>
      </c>
      <c r="P61">
        <v>11</v>
      </c>
      <c r="Q61">
        <v>0</v>
      </c>
      <c r="R61">
        <v>0</v>
      </c>
      <c r="S61">
        <v>0</v>
      </c>
      <c r="T61">
        <v>23</v>
      </c>
      <c r="U61">
        <v>23</v>
      </c>
      <c r="V61" s="9">
        <v>131</v>
      </c>
      <c r="W61">
        <v>569</v>
      </c>
      <c r="X61">
        <v>126</v>
      </c>
      <c r="Y61">
        <v>17</v>
      </c>
      <c r="Z61">
        <v>53</v>
      </c>
      <c r="AA61">
        <v>2</v>
      </c>
      <c r="AB61">
        <v>6</v>
      </c>
      <c r="AC61">
        <v>130</v>
      </c>
      <c r="AD61">
        <v>3.6</v>
      </c>
      <c r="AE61">
        <v>8.9</v>
      </c>
      <c r="AF61" s="5">
        <v>0.44900000000000001</v>
      </c>
      <c r="AG61">
        <v>0.29899999999999999</v>
      </c>
      <c r="AH61">
        <v>1.37</v>
      </c>
      <c r="AI61">
        <v>4.22</v>
      </c>
      <c r="AJ61">
        <v>4.45</v>
      </c>
      <c r="AK61">
        <v>14.7</v>
      </c>
      <c r="AL61">
        <v>1.6</v>
      </c>
      <c r="AM61">
        <v>18</v>
      </c>
      <c r="AN61">
        <v>42</v>
      </c>
      <c r="AO61">
        <v>20</v>
      </c>
      <c r="AP61">
        <v>17</v>
      </c>
      <c r="AQ61" t="s">
        <v>2311</v>
      </c>
      <c r="AR61">
        <v>75</v>
      </c>
      <c r="AS61" t="s">
        <v>35</v>
      </c>
      <c r="AT61" t="s">
        <v>36</v>
      </c>
      <c r="AU61" s="4">
        <f>HYPERLINK("http://mlb.mlb.com/team/player.jsp?player_id=501992",501992)</f>
        <v>501992</v>
      </c>
      <c r="AV61">
        <v>85</v>
      </c>
      <c r="AW61">
        <v>1085</v>
      </c>
      <c r="AX61">
        <v>45.3</v>
      </c>
    </row>
    <row r="62" spans="1:50" x14ac:dyDescent="0.3">
      <c r="A62" s="4">
        <f>HYPERLINK("http://legacy.baseballprospectus.com/p/70547",70547)</f>
        <v>70547</v>
      </c>
      <c r="B62" t="s">
        <v>1528</v>
      </c>
      <c r="C62" t="s">
        <v>125</v>
      </c>
      <c r="D62" s="10">
        <v>34180</v>
      </c>
      <c r="E62" t="s">
        <v>33</v>
      </c>
      <c r="F62" t="s">
        <v>33</v>
      </c>
      <c r="G62">
        <v>76</v>
      </c>
      <c r="H62">
        <v>235</v>
      </c>
      <c r="I62">
        <v>2018</v>
      </c>
      <c r="J62" s="4" t="str">
        <f>HYPERLINK("http://legacy.baseballprospectus.com/fantasy/dc/index.php?tm=TBA","TBA")</f>
        <v>TBA</v>
      </c>
      <c r="K62" t="s">
        <v>95</v>
      </c>
      <c r="L62" t="s">
        <v>34</v>
      </c>
      <c r="M62">
        <v>24</v>
      </c>
      <c r="N62">
        <v>8.1</v>
      </c>
      <c r="O62">
        <v>7.7</v>
      </c>
      <c r="P62">
        <v>11</v>
      </c>
      <c r="Q62">
        <v>0</v>
      </c>
      <c r="R62">
        <v>0</v>
      </c>
      <c r="S62">
        <v>0</v>
      </c>
      <c r="T62">
        <v>23</v>
      </c>
      <c r="U62">
        <v>23</v>
      </c>
      <c r="V62" s="9">
        <v>131</v>
      </c>
      <c r="W62">
        <v>550</v>
      </c>
      <c r="X62">
        <v>112</v>
      </c>
      <c r="Y62">
        <v>19</v>
      </c>
      <c r="Z62">
        <v>53</v>
      </c>
      <c r="AA62">
        <v>3</v>
      </c>
      <c r="AB62">
        <v>4</v>
      </c>
      <c r="AC62">
        <v>150</v>
      </c>
      <c r="AD62">
        <v>3.6</v>
      </c>
      <c r="AE62">
        <v>10.3</v>
      </c>
      <c r="AF62" s="5">
        <v>0.39800000000000002</v>
      </c>
      <c r="AG62">
        <v>0.28699999999999998</v>
      </c>
      <c r="AH62">
        <v>1.24</v>
      </c>
      <c r="AI62">
        <v>3.85</v>
      </c>
      <c r="AJ62">
        <v>4.47</v>
      </c>
      <c r="AK62">
        <v>14.4</v>
      </c>
      <c r="AL62">
        <v>1.6</v>
      </c>
      <c r="AM62">
        <v>21</v>
      </c>
      <c r="AN62">
        <v>60</v>
      </c>
      <c r="AO62">
        <v>15</v>
      </c>
      <c r="AP62">
        <v>19</v>
      </c>
      <c r="AQ62" t="s">
        <v>2331</v>
      </c>
      <c r="AR62">
        <v>85</v>
      </c>
      <c r="AS62" t="s">
        <v>35</v>
      </c>
      <c r="AT62" t="s">
        <v>36</v>
      </c>
      <c r="AU62" s="4">
        <f>HYPERLINK("http://mlb.mlb.com/team/player.jsp?player_id=607188",607188)</f>
        <v>607188</v>
      </c>
      <c r="AV62">
        <v>61</v>
      </c>
      <c r="AW62">
        <v>1061</v>
      </c>
      <c r="AX62">
        <v>86.7</v>
      </c>
    </row>
    <row r="63" spans="1:50" x14ac:dyDescent="0.3">
      <c r="A63" s="4">
        <f>HYPERLINK("http://legacy.baseballprospectus.com/p/70977",70977)</f>
        <v>70977</v>
      </c>
      <c r="B63" t="s">
        <v>1287</v>
      </c>
      <c r="C63" t="s">
        <v>487</v>
      </c>
      <c r="D63" s="10">
        <v>34007</v>
      </c>
      <c r="E63" t="s">
        <v>33</v>
      </c>
      <c r="F63" t="s">
        <v>33</v>
      </c>
      <c r="G63">
        <v>72</v>
      </c>
      <c r="H63">
        <v>155</v>
      </c>
      <c r="I63">
        <v>2018</v>
      </c>
      <c r="J63" s="4" t="str">
        <f>HYPERLINK("http://legacy.baseballprospectus.com/fantasy/dc/index.php?tm=MIL","MIL")</f>
        <v>MIL</v>
      </c>
      <c r="K63" t="s">
        <v>100</v>
      </c>
      <c r="L63" t="s">
        <v>34</v>
      </c>
      <c r="M63">
        <v>25</v>
      </c>
      <c r="N63">
        <v>10.6</v>
      </c>
      <c r="O63">
        <v>9.5</v>
      </c>
      <c r="P63">
        <v>14</v>
      </c>
      <c r="Q63">
        <v>1</v>
      </c>
      <c r="R63">
        <v>0</v>
      </c>
      <c r="S63">
        <v>0</v>
      </c>
      <c r="T63">
        <v>28</v>
      </c>
      <c r="U63">
        <v>28</v>
      </c>
      <c r="V63" s="9">
        <v>168</v>
      </c>
      <c r="W63">
        <v>725</v>
      </c>
      <c r="X63">
        <v>169</v>
      </c>
      <c r="Y63">
        <v>21</v>
      </c>
      <c r="Z63">
        <v>58</v>
      </c>
      <c r="AA63">
        <v>3</v>
      </c>
      <c r="AB63">
        <v>6</v>
      </c>
      <c r="AC63">
        <v>141</v>
      </c>
      <c r="AD63">
        <v>3.1</v>
      </c>
      <c r="AE63">
        <v>7.5</v>
      </c>
      <c r="AF63" s="5">
        <v>0.48899999999999999</v>
      </c>
      <c r="AG63">
        <v>0.29799999999999999</v>
      </c>
      <c r="AH63">
        <v>1.36</v>
      </c>
      <c r="AI63">
        <v>4.1500000000000004</v>
      </c>
      <c r="AJ63">
        <v>4.4400000000000004</v>
      </c>
      <c r="AK63">
        <v>14.3</v>
      </c>
      <c r="AL63">
        <v>1.6</v>
      </c>
      <c r="AM63">
        <v>22</v>
      </c>
      <c r="AN63">
        <v>51</v>
      </c>
      <c r="AO63">
        <v>22</v>
      </c>
      <c r="AP63">
        <v>14</v>
      </c>
      <c r="AQ63" t="s">
        <v>2278</v>
      </c>
      <c r="AR63">
        <v>94</v>
      </c>
      <c r="AS63" t="s">
        <v>35</v>
      </c>
      <c r="AT63" t="s">
        <v>36</v>
      </c>
      <c r="AU63" s="4">
        <f>HYPERLINK("http://mlb.mlb.com/team/player.jsp?player_id=605200",605200)</f>
        <v>605200</v>
      </c>
      <c r="AV63">
        <v>1008</v>
      </c>
      <c r="AW63">
        <v>8</v>
      </c>
      <c r="AX63">
        <v>191.3</v>
      </c>
    </row>
    <row r="64" spans="1:50" x14ac:dyDescent="0.3">
      <c r="A64" s="4">
        <f>HYPERLINK("http://legacy.baseballprospectus.com/p/101222",101222)</f>
        <v>101222</v>
      </c>
      <c r="B64" t="s">
        <v>923</v>
      </c>
      <c r="C64" t="s">
        <v>501</v>
      </c>
      <c r="D64" s="10">
        <v>34692</v>
      </c>
      <c r="E64" t="s">
        <v>33</v>
      </c>
      <c r="F64" t="s">
        <v>33</v>
      </c>
      <c r="G64">
        <v>72</v>
      </c>
      <c r="H64">
        <v>215</v>
      </c>
      <c r="I64">
        <v>2018</v>
      </c>
      <c r="J64" s="4" t="str">
        <f>HYPERLINK("http://legacy.baseballprospectus.com/fantasy/dc/index.php?tm=MIN","MIN")</f>
        <v>MIN</v>
      </c>
      <c r="K64" t="s">
        <v>95</v>
      </c>
      <c r="L64" t="s">
        <v>34</v>
      </c>
      <c r="M64">
        <v>23</v>
      </c>
      <c r="N64">
        <v>6.6</v>
      </c>
      <c r="O64">
        <v>6</v>
      </c>
      <c r="P64">
        <v>9.6</v>
      </c>
      <c r="Q64">
        <v>0</v>
      </c>
      <c r="R64">
        <v>0</v>
      </c>
      <c r="S64">
        <v>0</v>
      </c>
      <c r="T64">
        <v>19.399999999999999</v>
      </c>
      <c r="U64">
        <v>19.399999999999999</v>
      </c>
      <c r="V64" s="9">
        <v>102</v>
      </c>
      <c r="W64">
        <v>440</v>
      </c>
      <c r="X64">
        <v>103</v>
      </c>
      <c r="Y64">
        <v>15</v>
      </c>
      <c r="Z64">
        <v>35</v>
      </c>
      <c r="AA64" t="s">
        <v>1680</v>
      </c>
      <c r="AB64">
        <v>5</v>
      </c>
      <c r="AC64">
        <v>105</v>
      </c>
      <c r="AD64">
        <v>3.1</v>
      </c>
      <c r="AE64">
        <v>9.1999999999999993</v>
      </c>
      <c r="AF64" s="5">
        <v>0.49122929573058999</v>
      </c>
      <c r="AG64">
        <v>0.314</v>
      </c>
      <c r="AH64">
        <v>1.35</v>
      </c>
      <c r="AI64">
        <v>4.24</v>
      </c>
      <c r="AJ64">
        <v>4.2699999999999996</v>
      </c>
      <c r="AK64">
        <v>15.2</v>
      </c>
      <c r="AL64">
        <v>1.6</v>
      </c>
      <c r="AM64">
        <v>14</v>
      </c>
      <c r="AN64">
        <v>22</v>
      </c>
      <c r="AO64">
        <v>11</v>
      </c>
      <c r="AP64">
        <v>29</v>
      </c>
      <c r="AQ64" t="s">
        <v>2292</v>
      </c>
      <c r="AR64">
        <v>42</v>
      </c>
      <c r="AS64" t="s">
        <v>36</v>
      </c>
      <c r="AT64" t="s">
        <v>35</v>
      </c>
      <c r="AU64" s="4">
        <f>HYPERLINK("http://mlb.mlb.com/team/player.jsp?player_id=622864",622864)</f>
        <v>622864</v>
      </c>
      <c r="AV64">
        <v>185</v>
      </c>
      <c r="AW64">
        <v>1185</v>
      </c>
      <c r="AX64">
        <v>0</v>
      </c>
    </row>
    <row r="65" spans="1:50" x14ac:dyDescent="0.3">
      <c r="A65" s="4">
        <f>HYPERLINK("http://legacy.baseballprospectus.com/p/45536",45536)</f>
        <v>45536</v>
      </c>
      <c r="B65" t="s">
        <v>420</v>
      </c>
      <c r="C65" t="s">
        <v>575</v>
      </c>
      <c r="D65" s="10">
        <v>31510</v>
      </c>
      <c r="E65" t="s">
        <v>33</v>
      </c>
      <c r="F65" t="s">
        <v>33</v>
      </c>
      <c r="G65">
        <v>75</v>
      </c>
      <c r="H65">
        <v>225</v>
      </c>
      <c r="I65">
        <v>2018</v>
      </c>
      <c r="J65" s="4" t="str">
        <f>HYPERLINK("http://legacy.baseballprospectus.com/fantasy/dc/index.php?tm=SEA","SEA")</f>
        <v>SEA</v>
      </c>
      <c r="K65" t="s">
        <v>95</v>
      </c>
      <c r="L65" t="s">
        <v>34</v>
      </c>
      <c r="M65">
        <v>32</v>
      </c>
      <c r="N65">
        <v>11</v>
      </c>
      <c r="O65">
        <v>9.1999999999999993</v>
      </c>
      <c r="P65">
        <v>12</v>
      </c>
      <c r="Q65">
        <v>1</v>
      </c>
      <c r="R65">
        <v>0</v>
      </c>
      <c r="S65">
        <v>0</v>
      </c>
      <c r="T65">
        <v>26</v>
      </c>
      <c r="U65">
        <v>26</v>
      </c>
      <c r="V65" s="9">
        <v>174.33330000000001</v>
      </c>
      <c r="W65">
        <v>745</v>
      </c>
      <c r="X65">
        <v>167</v>
      </c>
      <c r="Y65">
        <v>24</v>
      </c>
      <c r="Z65">
        <v>65</v>
      </c>
      <c r="AA65">
        <v>2</v>
      </c>
      <c r="AB65">
        <v>10</v>
      </c>
      <c r="AC65">
        <v>153</v>
      </c>
      <c r="AD65">
        <v>3.3</v>
      </c>
      <c r="AE65">
        <v>7.9</v>
      </c>
      <c r="AF65" s="5">
        <v>0.49399999999999999</v>
      </c>
      <c r="AG65">
        <v>0.28999999999999998</v>
      </c>
      <c r="AH65">
        <v>1.33</v>
      </c>
      <c r="AI65">
        <v>4.3600000000000003</v>
      </c>
      <c r="AJ65">
        <v>4.7699999999999996</v>
      </c>
      <c r="AK65">
        <v>13.7</v>
      </c>
      <c r="AL65">
        <v>1.5</v>
      </c>
      <c r="AM65">
        <v>18</v>
      </c>
      <c r="AN65">
        <v>39</v>
      </c>
      <c r="AO65">
        <v>33</v>
      </c>
      <c r="AP65">
        <v>11</v>
      </c>
      <c r="AQ65" t="s">
        <v>2317</v>
      </c>
      <c r="AR65">
        <v>93</v>
      </c>
      <c r="AS65" t="s">
        <v>35</v>
      </c>
      <c r="AT65" t="s">
        <v>36</v>
      </c>
      <c r="AU65" s="4">
        <f>HYPERLINK("http://mlb.mlb.com/team/player.jsp?player_id=433587",433587)</f>
        <v>433587</v>
      </c>
      <c r="AV65">
        <v>60</v>
      </c>
      <c r="AW65">
        <v>1060</v>
      </c>
      <c r="AX65">
        <v>86.7</v>
      </c>
    </row>
    <row r="66" spans="1:50" x14ac:dyDescent="0.3">
      <c r="A66" s="4">
        <f>HYPERLINK("http://legacy.baseballprospectus.com/p/67143",67143)</f>
        <v>67143</v>
      </c>
      <c r="B66" t="s">
        <v>1179</v>
      </c>
      <c r="C66" t="s">
        <v>162</v>
      </c>
      <c r="D66" s="10">
        <v>33762</v>
      </c>
      <c r="E66" t="s">
        <v>33</v>
      </c>
      <c r="F66" t="s">
        <v>33</v>
      </c>
      <c r="G66">
        <v>75</v>
      </c>
      <c r="H66">
        <v>205</v>
      </c>
      <c r="I66">
        <v>2018</v>
      </c>
      <c r="J66" s="4" t="str">
        <f>HYPERLINK("http://legacy.baseballprospectus.com/fantasy/dc/index.php?tm=PHI","PHI")</f>
        <v>PHI</v>
      </c>
      <c r="K66" t="s">
        <v>100</v>
      </c>
      <c r="L66" t="s">
        <v>34</v>
      </c>
      <c r="M66">
        <v>26</v>
      </c>
      <c r="N66">
        <v>7.9</v>
      </c>
      <c r="O66">
        <v>7.9</v>
      </c>
      <c r="P66">
        <v>13</v>
      </c>
      <c r="Q66">
        <v>0</v>
      </c>
      <c r="R66">
        <v>0</v>
      </c>
      <c r="S66">
        <v>0</v>
      </c>
      <c r="T66">
        <v>24</v>
      </c>
      <c r="U66">
        <v>24</v>
      </c>
      <c r="V66" s="9">
        <v>127.33329999999999</v>
      </c>
      <c r="W66">
        <v>533</v>
      </c>
      <c r="X66">
        <v>113</v>
      </c>
      <c r="Y66">
        <v>19</v>
      </c>
      <c r="Z66">
        <v>46</v>
      </c>
      <c r="AA66">
        <v>1</v>
      </c>
      <c r="AB66">
        <v>4</v>
      </c>
      <c r="AC66">
        <v>141</v>
      </c>
      <c r="AD66">
        <v>3.3</v>
      </c>
      <c r="AE66">
        <v>10</v>
      </c>
      <c r="AF66" s="5">
        <v>0.40600000000000003</v>
      </c>
      <c r="AG66">
        <v>0.29399999999999998</v>
      </c>
      <c r="AH66">
        <v>1.26</v>
      </c>
      <c r="AI66">
        <v>4.03</v>
      </c>
      <c r="AJ66">
        <v>4.21</v>
      </c>
      <c r="AK66">
        <v>13.8</v>
      </c>
      <c r="AL66">
        <v>1.5</v>
      </c>
      <c r="AM66">
        <v>31</v>
      </c>
      <c r="AN66">
        <v>59</v>
      </c>
      <c r="AO66">
        <v>13</v>
      </c>
      <c r="AP66">
        <v>13</v>
      </c>
      <c r="AQ66" t="s">
        <v>2347</v>
      </c>
      <c r="AR66">
        <v>96</v>
      </c>
      <c r="AS66" t="s">
        <v>35</v>
      </c>
      <c r="AT66" t="s">
        <v>36</v>
      </c>
      <c r="AU66" s="4">
        <f>HYPERLINK("http://mlb.mlb.com/team/player.jsp?player_id=592826",592826)</f>
        <v>592826</v>
      </c>
      <c r="AV66">
        <v>1070</v>
      </c>
      <c r="AW66">
        <v>70</v>
      </c>
      <c r="AX66">
        <v>72</v>
      </c>
    </row>
    <row r="67" spans="1:50" x14ac:dyDescent="0.3">
      <c r="A67" s="4">
        <f>HYPERLINK("http://legacy.baseballprospectus.com/p/70354",70354)</f>
        <v>70354</v>
      </c>
      <c r="B67" t="s">
        <v>1162</v>
      </c>
      <c r="C67" t="s">
        <v>1284</v>
      </c>
      <c r="D67" s="10">
        <v>33136</v>
      </c>
      <c r="E67" t="s">
        <v>33</v>
      </c>
      <c r="F67" t="s">
        <v>33</v>
      </c>
      <c r="G67">
        <v>74</v>
      </c>
      <c r="H67">
        <v>205</v>
      </c>
      <c r="I67">
        <v>2018</v>
      </c>
      <c r="J67" s="4" t="str">
        <f>HYPERLINK("http://legacy.baseballprospectus.com/fantasy/dc/index.php?tm=HOU","HOU")</f>
        <v>HOU</v>
      </c>
      <c r="K67" t="s">
        <v>95</v>
      </c>
      <c r="L67" t="s">
        <v>34</v>
      </c>
      <c r="M67">
        <v>27</v>
      </c>
      <c r="N67">
        <v>3</v>
      </c>
      <c r="O67">
        <v>2.2000000000000002</v>
      </c>
      <c r="P67">
        <v>0</v>
      </c>
      <c r="Q67">
        <v>0</v>
      </c>
      <c r="R67">
        <v>30</v>
      </c>
      <c r="S67">
        <v>3</v>
      </c>
      <c r="T67">
        <v>50</v>
      </c>
      <c r="U67">
        <v>0</v>
      </c>
      <c r="V67" s="9">
        <v>53</v>
      </c>
      <c r="W67">
        <v>218</v>
      </c>
      <c r="X67">
        <v>41</v>
      </c>
      <c r="Y67">
        <v>5</v>
      </c>
      <c r="Z67">
        <v>20</v>
      </c>
      <c r="AA67">
        <v>1</v>
      </c>
      <c r="AB67">
        <v>2</v>
      </c>
      <c r="AC67">
        <v>72</v>
      </c>
      <c r="AD67">
        <v>3.3</v>
      </c>
      <c r="AE67">
        <v>12.2</v>
      </c>
      <c r="AF67" s="5">
        <v>0.442</v>
      </c>
      <c r="AG67">
        <v>0.29899999999999999</v>
      </c>
      <c r="AH67">
        <v>1.1399999999999999</v>
      </c>
      <c r="AI67">
        <v>2.38</v>
      </c>
      <c r="AJ67">
        <v>2.84</v>
      </c>
      <c r="AK67">
        <v>13.2</v>
      </c>
      <c r="AL67">
        <v>1.5</v>
      </c>
      <c r="AM67">
        <v>26</v>
      </c>
      <c r="AN67">
        <v>48</v>
      </c>
      <c r="AO67">
        <v>30</v>
      </c>
      <c r="AP67">
        <v>12</v>
      </c>
      <c r="AQ67" t="s">
        <v>2330</v>
      </c>
      <c r="AR67">
        <v>99</v>
      </c>
      <c r="AS67" t="s">
        <v>35</v>
      </c>
      <c r="AT67" t="s">
        <v>36</v>
      </c>
      <c r="AU67" s="4">
        <f>HYPERLINK("http://mlb.mlb.com/team/player.jsp?player_id=571704",571704)</f>
        <v>571704</v>
      </c>
      <c r="AV67">
        <v>251</v>
      </c>
      <c r="AW67">
        <v>1251</v>
      </c>
      <c r="AX67">
        <v>62.7</v>
      </c>
    </row>
    <row r="68" spans="1:50" x14ac:dyDescent="0.3">
      <c r="A68" s="4">
        <f>HYPERLINK("http://legacy.baseballprospectus.com/p/70620",70620)</f>
        <v>70620</v>
      </c>
      <c r="B68" t="s">
        <v>1306</v>
      </c>
      <c r="C68" t="s">
        <v>202</v>
      </c>
      <c r="D68" s="10">
        <v>33568</v>
      </c>
      <c r="E68" t="s">
        <v>33</v>
      </c>
      <c r="F68" t="s">
        <v>33</v>
      </c>
      <c r="G68">
        <v>76</v>
      </c>
      <c r="H68">
        <v>220</v>
      </c>
      <c r="I68">
        <v>2018</v>
      </c>
      <c r="J68" s="4" t="str">
        <f>HYPERLINK("http://legacy.baseballprospectus.com/fantasy/dc/index.php?tm=MIL","MIL")</f>
        <v>MIL</v>
      </c>
      <c r="K68" t="s">
        <v>100</v>
      </c>
      <c r="L68" t="s">
        <v>34</v>
      </c>
      <c r="M68">
        <v>26</v>
      </c>
      <c r="N68">
        <v>3.4</v>
      </c>
      <c r="O68">
        <v>2.5</v>
      </c>
      <c r="P68">
        <v>0</v>
      </c>
      <c r="Q68">
        <v>0</v>
      </c>
      <c r="R68">
        <v>37</v>
      </c>
      <c r="S68">
        <v>4</v>
      </c>
      <c r="T68">
        <v>59</v>
      </c>
      <c r="U68">
        <v>0</v>
      </c>
      <c r="V68" s="9">
        <v>62.333300000000001</v>
      </c>
      <c r="W68">
        <v>256</v>
      </c>
      <c r="X68">
        <v>44</v>
      </c>
      <c r="Y68">
        <v>6</v>
      </c>
      <c r="Z68">
        <v>27</v>
      </c>
      <c r="AA68">
        <v>3</v>
      </c>
      <c r="AB68">
        <v>2</v>
      </c>
      <c r="AC68">
        <v>93</v>
      </c>
      <c r="AD68">
        <v>3.9</v>
      </c>
      <c r="AE68">
        <v>13.4</v>
      </c>
      <c r="AF68" s="5">
        <v>0.436</v>
      </c>
      <c r="AG68">
        <v>0.29699999999999999</v>
      </c>
      <c r="AH68">
        <v>1.1399999999999999</v>
      </c>
      <c r="AI68">
        <v>2.5299999999999998</v>
      </c>
      <c r="AJ68">
        <v>2.92</v>
      </c>
      <c r="AK68">
        <v>13.4</v>
      </c>
      <c r="AL68">
        <v>1.5</v>
      </c>
      <c r="AM68">
        <v>32</v>
      </c>
      <c r="AN68">
        <v>54</v>
      </c>
      <c r="AO68">
        <v>25</v>
      </c>
      <c r="AP68">
        <v>9</v>
      </c>
      <c r="AQ68" t="s">
        <v>2376</v>
      </c>
      <c r="AR68">
        <v>92</v>
      </c>
      <c r="AS68" t="s">
        <v>35</v>
      </c>
      <c r="AT68" t="s">
        <v>36</v>
      </c>
      <c r="AU68" s="4">
        <f>HYPERLINK("http://mlb.mlb.com/team/player.jsp?player_id=608349",608349)</f>
        <v>608349</v>
      </c>
      <c r="AV68">
        <v>1239</v>
      </c>
      <c r="AW68">
        <v>239</v>
      </c>
      <c r="AX68">
        <v>76</v>
      </c>
    </row>
    <row r="69" spans="1:50" x14ac:dyDescent="0.3">
      <c r="A69" s="4">
        <f>HYPERLINK("http://legacy.baseballprospectus.com/p/70795",70795)</f>
        <v>70795</v>
      </c>
      <c r="B69" t="s">
        <v>1302</v>
      </c>
      <c r="C69" t="s">
        <v>258</v>
      </c>
      <c r="D69" s="10">
        <v>34204</v>
      </c>
      <c r="E69" t="s">
        <v>9</v>
      </c>
      <c r="F69" t="s">
        <v>33</v>
      </c>
      <c r="G69">
        <v>80</v>
      </c>
      <c r="H69">
        <v>220</v>
      </c>
      <c r="I69">
        <v>2018</v>
      </c>
      <c r="J69" s="4" t="str">
        <f>HYPERLINK("http://legacy.baseballprospectus.com/fantasy/dc/index.php?tm=PIT","PIT")</f>
        <v>PIT</v>
      </c>
      <c r="K69" t="s">
        <v>100</v>
      </c>
      <c r="L69" t="s">
        <v>34</v>
      </c>
      <c r="M69">
        <v>24</v>
      </c>
      <c r="N69">
        <v>4.8</v>
      </c>
      <c r="O69">
        <v>4.4000000000000004</v>
      </c>
      <c r="P69">
        <v>5</v>
      </c>
      <c r="Q69">
        <v>0</v>
      </c>
      <c r="R69">
        <v>0</v>
      </c>
      <c r="S69">
        <v>0</v>
      </c>
      <c r="T69">
        <v>49</v>
      </c>
      <c r="U69">
        <v>8</v>
      </c>
      <c r="V69" s="9">
        <v>85.666700000000006</v>
      </c>
      <c r="W69">
        <v>358</v>
      </c>
      <c r="X69">
        <v>68</v>
      </c>
      <c r="Y69">
        <v>8</v>
      </c>
      <c r="Z69">
        <v>38</v>
      </c>
      <c r="AA69">
        <v>2</v>
      </c>
      <c r="AB69">
        <v>2</v>
      </c>
      <c r="AC69">
        <v>106</v>
      </c>
      <c r="AD69">
        <v>4</v>
      </c>
      <c r="AE69">
        <v>11.1</v>
      </c>
      <c r="AF69" s="5">
        <v>0.436</v>
      </c>
      <c r="AG69">
        <v>0.28999999999999998</v>
      </c>
      <c r="AH69">
        <v>1.22</v>
      </c>
      <c r="AI69">
        <v>3.21</v>
      </c>
      <c r="AJ69">
        <v>3.59</v>
      </c>
      <c r="AK69">
        <v>13.7</v>
      </c>
      <c r="AL69">
        <v>1.5</v>
      </c>
      <c r="AM69">
        <v>30</v>
      </c>
      <c r="AN69">
        <v>66</v>
      </c>
      <c r="AO69">
        <v>14</v>
      </c>
      <c r="AP69">
        <v>15</v>
      </c>
      <c r="AQ69" t="s">
        <v>2332</v>
      </c>
      <c r="AR69">
        <v>90</v>
      </c>
      <c r="AS69" t="s">
        <v>35</v>
      </c>
      <c r="AT69" t="s">
        <v>36</v>
      </c>
      <c r="AU69" s="4">
        <f>HYPERLINK("http://mlb.mlb.com/team/player.jsp?player_id=607192",607192)</f>
        <v>607192</v>
      </c>
      <c r="AV69">
        <v>1077</v>
      </c>
      <c r="AW69">
        <v>77</v>
      </c>
      <c r="AX69">
        <v>62</v>
      </c>
    </row>
    <row r="70" spans="1:50" x14ac:dyDescent="0.3">
      <c r="A70" s="4">
        <f>HYPERLINK("http://legacy.baseballprospectus.com/p/31361",31361)</f>
        <v>31361</v>
      </c>
      <c r="B70" t="s">
        <v>974</v>
      </c>
      <c r="C70" t="s">
        <v>313</v>
      </c>
      <c r="D70" s="10">
        <v>29828</v>
      </c>
      <c r="E70" t="s">
        <v>33</v>
      </c>
      <c r="F70" t="s">
        <v>33</v>
      </c>
      <c r="G70">
        <v>79</v>
      </c>
      <c r="H70">
        <v>235</v>
      </c>
      <c r="I70">
        <v>2018</v>
      </c>
      <c r="J70" s="4" t="str">
        <f>HYPERLINK("http://legacy.baseballprospectus.com/fantasy/dc/index.php?tm=SLN","SLN")</f>
        <v>SLN</v>
      </c>
      <c r="K70" t="s">
        <v>100</v>
      </c>
      <c r="L70" t="s">
        <v>34</v>
      </c>
      <c r="M70">
        <v>36</v>
      </c>
      <c r="N70">
        <v>8.6999999999999993</v>
      </c>
      <c r="O70">
        <v>7.8</v>
      </c>
      <c r="P70">
        <v>12</v>
      </c>
      <c r="Q70">
        <v>1</v>
      </c>
      <c r="R70">
        <v>0</v>
      </c>
      <c r="S70">
        <v>0</v>
      </c>
      <c r="T70">
        <v>23</v>
      </c>
      <c r="U70">
        <v>23</v>
      </c>
      <c r="V70" s="9">
        <v>138</v>
      </c>
      <c r="W70">
        <v>594</v>
      </c>
      <c r="X70">
        <v>138</v>
      </c>
      <c r="Y70">
        <v>14</v>
      </c>
      <c r="Z70">
        <v>50</v>
      </c>
      <c r="AA70">
        <v>3</v>
      </c>
      <c r="AB70">
        <v>7</v>
      </c>
      <c r="AC70">
        <v>106</v>
      </c>
      <c r="AD70">
        <v>3.3</v>
      </c>
      <c r="AE70">
        <v>6.9</v>
      </c>
      <c r="AF70" s="5">
        <v>0.47199999999999998</v>
      </c>
      <c r="AG70">
        <v>0.29799999999999999</v>
      </c>
      <c r="AH70">
        <v>1.37</v>
      </c>
      <c r="AI70">
        <v>4.0999999999999996</v>
      </c>
      <c r="AJ70">
        <v>4.3600000000000003</v>
      </c>
      <c r="AK70">
        <v>12.9</v>
      </c>
      <c r="AL70">
        <v>1.4</v>
      </c>
      <c r="AM70">
        <v>10</v>
      </c>
      <c r="AN70">
        <v>38</v>
      </c>
      <c r="AO70">
        <v>20</v>
      </c>
      <c r="AP70">
        <v>11</v>
      </c>
      <c r="AQ70" t="s">
        <v>2316</v>
      </c>
      <c r="AR70">
        <v>87</v>
      </c>
      <c r="AS70" t="s">
        <v>35</v>
      </c>
      <c r="AT70" t="s">
        <v>36</v>
      </c>
      <c r="AU70" s="4">
        <f>HYPERLINK("http://mlb.mlb.com/team/player.jsp?player_id=425794",425794)</f>
        <v>425794</v>
      </c>
      <c r="AV70">
        <v>1046</v>
      </c>
      <c r="AW70">
        <v>46</v>
      </c>
      <c r="AX70">
        <v>123.3</v>
      </c>
    </row>
    <row r="71" spans="1:50" x14ac:dyDescent="0.3">
      <c r="A71" s="4">
        <f>HYPERLINK("http://legacy.baseballprospectus.com/p/56426",56426)</f>
        <v>56426</v>
      </c>
      <c r="B71" t="s">
        <v>833</v>
      </c>
      <c r="C71" t="s">
        <v>834</v>
      </c>
      <c r="D71" s="10">
        <v>32549</v>
      </c>
      <c r="E71" t="s">
        <v>33</v>
      </c>
      <c r="F71" t="s">
        <v>33</v>
      </c>
      <c r="G71">
        <v>72</v>
      </c>
      <c r="H71">
        <v>200</v>
      </c>
      <c r="I71">
        <v>2018</v>
      </c>
      <c r="J71" s="4" t="str">
        <f>HYPERLINK("http://legacy.baseballprospectus.com/fantasy/dc/index.php?tm=OAK","OAK")</f>
        <v>OAK</v>
      </c>
      <c r="K71" t="s">
        <v>95</v>
      </c>
      <c r="L71" t="s">
        <v>34</v>
      </c>
      <c r="M71">
        <v>29</v>
      </c>
      <c r="N71">
        <v>3.1</v>
      </c>
      <c r="O71">
        <v>3</v>
      </c>
      <c r="P71">
        <v>0</v>
      </c>
      <c r="Q71">
        <v>0</v>
      </c>
      <c r="R71">
        <v>2</v>
      </c>
      <c r="S71">
        <v>4</v>
      </c>
      <c r="T71">
        <v>62</v>
      </c>
      <c r="U71">
        <v>0</v>
      </c>
      <c r="V71" s="9">
        <v>65.666700000000006</v>
      </c>
      <c r="W71">
        <v>275</v>
      </c>
      <c r="X71">
        <v>57</v>
      </c>
      <c r="Y71">
        <v>6</v>
      </c>
      <c r="Z71">
        <v>23</v>
      </c>
      <c r="AA71">
        <v>2</v>
      </c>
      <c r="AB71">
        <v>2</v>
      </c>
      <c r="AC71">
        <v>75</v>
      </c>
      <c r="AD71">
        <v>3.2</v>
      </c>
      <c r="AE71">
        <v>10.3</v>
      </c>
      <c r="AF71" s="5">
        <v>0.437</v>
      </c>
      <c r="AG71">
        <v>0.30099999999999999</v>
      </c>
      <c r="AH71">
        <v>1.23</v>
      </c>
      <c r="AI71">
        <v>3.01</v>
      </c>
      <c r="AJ71">
        <v>3.39</v>
      </c>
      <c r="AK71">
        <v>12.6</v>
      </c>
      <c r="AL71">
        <v>1.4</v>
      </c>
      <c r="AM71">
        <v>32</v>
      </c>
      <c r="AN71">
        <v>62</v>
      </c>
      <c r="AO71">
        <v>13</v>
      </c>
      <c r="AP71">
        <v>12</v>
      </c>
      <c r="AQ71" t="s">
        <v>2320</v>
      </c>
      <c r="AR71">
        <v>97</v>
      </c>
      <c r="AS71" t="s">
        <v>35</v>
      </c>
      <c r="AT71" t="s">
        <v>36</v>
      </c>
      <c r="AU71" s="4">
        <f>HYPERLINK("http://mlb.mlb.com/team/player.jsp?player_id=521230",521230)</f>
        <v>521230</v>
      </c>
      <c r="AV71">
        <v>246</v>
      </c>
      <c r="AW71">
        <v>1246</v>
      </c>
      <c r="AX71">
        <v>64</v>
      </c>
    </row>
    <row r="72" spans="1:50" x14ac:dyDescent="0.3">
      <c r="A72" s="4">
        <f>HYPERLINK("http://legacy.baseballprospectus.com/p/57000",57000)</f>
        <v>57000</v>
      </c>
      <c r="B72" t="s">
        <v>890</v>
      </c>
      <c r="C72" t="s">
        <v>314</v>
      </c>
      <c r="D72" s="10">
        <v>31655</v>
      </c>
      <c r="E72" t="s">
        <v>33</v>
      </c>
      <c r="F72" t="s">
        <v>33</v>
      </c>
      <c r="G72">
        <v>76</v>
      </c>
      <c r="H72">
        <v>252</v>
      </c>
      <c r="I72">
        <v>2018</v>
      </c>
      <c r="J72" s="4" t="str">
        <f>HYPERLINK("http://legacy.baseballprospectus.com/fantasy/dc/index.php?tm=SEA","SEA")</f>
        <v>SEA</v>
      </c>
      <c r="K72" t="s">
        <v>95</v>
      </c>
      <c r="L72" t="s">
        <v>34</v>
      </c>
      <c r="M72">
        <v>31</v>
      </c>
      <c r="N72">
        <v>5.6</v>
      </c>
      <c r="O72">
        <v>4.8</v>
      </c>
      <c r="P72">
        <v>4</v>
      </c>
      <c r="Q72">
        <v>0</v>
      </c>
      <c r="R72">
        <v>0</v>
      </c>
      <c r="S72">
        <v>0</v>
      </c>
      <c r="T72">
        <v>58</v>
      </c>
      <c r="U72">
        <v>8</v>
      </c>
      <c r="V72" s="9">
        <v>98.333299999999994</v>
      </c>
      <c r="W72">
        <v>425</v>
      </c>
      <c r="X72">
        <v>90</v>
      </c>
      <c r="Y72">
        <v>10</v>
      </c>
      <c r="Z72">
        <v>42</v>
      </c>
      <c r="AA72">
        <v>4</v>
      </c>
      <c r="AB72">
        <v>5</v>
      </c>
      <c r="AC72">
        <v>99</v>
      </c>
      <c r="AD72">
        <v>3.8</v>
      </c>
      <c r="AE72">
        <v>9</v>
      </c>
      <c r="AF72" s="5">
        <v>0.45300000000000001</v>
      </c>
      <c r="AG72">
        <v>0.29899999999999999</v>
      </c>
      <c r="AH72">
        <v>1.35</v>
      </c>
      <c r="AI72">
        <v>3.73</v>
      </c>
      <c r="AJ72">
        <v>4.0999999999999996</v>
      </c>
      <c r="AK72">
        <v>13</v>
      </c>
      <c r="AL72">
        <v>1.4</v>
      </c>
      <c r="AM72">
        <v>28</v>
      </c>
      <c r="AN72">
        <v>62</v>
      </c>
      <c r="AO72">
        <v>20</v>
      </c>
      <c r="AP72">
        <v>18</v>
      </c>
      <c r="AQ72" t="s">
        <v>2415</v>
      </c>
      <c r="AR72">
        <v>93</v>
      </c>
      <c r="AS72" t="s">
        <v>35</v>
      </c>
      <c r="AT72" t="s">
        <v>36</v>
      </c>
      <c r="AU72" s="4">
        <f>HYPERLINK("http://mlb.mlb.com/team/player.jsp?player_id=504379",504379)</f>
        <v>504379</v>
      </c>
      <c r="AV72">
        <v>232</v>
      </c>
      <c r="AW72">
        <v>1232</v>
      </c>
      <c r="AX72">
        <v>72.3</v>
      </c>
    </row>
    <row r="73" spans="1:50" x14ac:dyDescent="0.3">
      <c r="A73" s="4">
        <f>HYPERLINK("http://legacy.baseballprospectus.com/p/57235",57235)</f>
        <v>57235</v>
      </c>
      <c r="B73" t="s">
        <v>919</v>
      </c>
      <c r="C73" t="s">
        <v>103</v>
      </c>
      <c r="D73" s="10">
        <v>31146</v>
      </c>
      <c r="E73" t="s">
        <v>33</v>
      </c>
      <c r="F73" t="s">
        <v>33</v>
      </c>
      <c r="G73">
        <v>71</v>
      </c>
      <c r="H73">
        <v>195</v>
      </c>
      <c r="I73">
        <v>2018</v>
      </c>
      <c r="J73" s="4" t="str">
        <f>HYPERLINK("http://legacy.baseballprospectus.com/fantasy/dc/index.php?tm=NYA","NYA")</f>
        <v>NYA</v>
      </c>
      <c r="K73" t="s">
        <v>95</v>
      </c>
      <c r="L73" t="s">
        <v>34</v>
      </c>
      <c r="M73">
        <v>33</v>
      </c>
      <c r="N73">
        <v>3.2</v>
      </c>
      <c r="O73">
        <v>2.4</v>
      </c>
      <c r="P73">
        <v>0</v>
      </c>
      <c r="Q73">
        <v>0</v>
      </c>
      <c r="R73">
        <v>5</v>
      </c>
      <c r="S73">
        <v>4</v>
      </c>
      <c r="T73">
        <v>56</v>
      </c>
      <c r="U73">
        <v>0</v>
      </c>
      <c r="V73" s="9">
        <v>59.333300000000001</v>
      </c>
      <c r="W73">
        <v>244</v>
      </c>
      <c r="X73">
        <v>44</v>
      </c>
      <c r="Y73">
        <v>6</v>
      </c>
      <c r="Z73">
        <v>24</v>
      </c>
      <c r="AA73">
        <v>3</v>
      </c>
      <c r="AB73">
        <v>2</v>
      </c>
      <c r="AC73">
        <v>80</v>
      </c>
      <c r="AD73">
        <v>3.7</v>
      </c>
      <c r="AE73">
        <v>12.2</v>
      </c>
      <c r="AF73" s="5">
        <v>0.45200000000000001</v>
      </c>
      <c r="AG73">
        <v>0.28799999999999998</v>
      </c>
      <c r="AH73">
        <v>1.1399999999999999</v>
      </c>
      <c r="AI73">
        <v>2.76</v>
      </c>
      <c r="AJ73">
        <v>3.17</v>
      </c>
      <c r="AK73">
        <v>12.7</v>
      </c>
      <c r="AL73">
        <v>1.4</v>
      </c>
      <c r="AM73">
        <v>19</v>
      </c>
      <c r="AN73">
        <v>44</v>
      </c>
      <c r="AO73">
        <v>37</v>
      </c>
      <c r="AP73">
        <v>8</v>
      </c>
      <c r="AQ73" t="s">
        <v>2342</v>
      </c>
      <c r="AR73">
        <v>96</v>
      </c>
      <c r="AS73" t="s">
        <v>35</v>
      </c>
      <c r="AT73" t="s">
        <v>36</v>
      </c>
      <c r="AU73" s="4">
        <f>HYPERLINK("http://mlb.mlb.com/team/player.jsp?player_id=502085",502085)</f>
        <v>502085</v>
      </c>
      <c r="AV73">
        <v>236</v>
      </c>
      <c r="AW73">
        <v>1236</v>
      </c>
      <c r="AX73">
        <v>68.3</v>
      </c>
    </row>
    <row r="74" spans="1:50" x14ac:dyDescent="0.3">
      <c r="A74" s="4">
        <f>HYPERLINK("http://legacy.baseballprospectus.com/p/57938",57938)</f>
        <v>57938</v>
      </c>
      <c r="B74" t="s">
        <v>823</v>
      </c>
      <c r="C74" t="s">
        <v>285</v>
      </c>
      <c r="D74" s="10">
        <v>32952</v>
      </c>
      <c r="E74" t="s">
        <v>9</v>
      </c>
      <c r="F74" t="s">
        <v>9</v>
      </c>
      <c r="G74">
        <v>75</v>
      </c>
      <c r="H74">
        <v>228</v>
      </c>
      <c r="I74">
        <v>2018</v>
      </c>
      <c r="J74" s="4" t="str">
        <f>HYPERLINK("http://legacy.baseballprospectus.com/fantasy/dc/index.php?tm=SDN","SDN")</f>
        <v>SDN</v>
      </c>
      <c r="K74" t="s">
        <v>100</v>
      </c>
      <c r="L74" t="s">
        <v>34</v>
      </c>
      <c r="M74">
        <v>28</v>
      </c>
      <c r="N74">
        <v>3.7</v>
      </c>
      <c r="O74">
        <v>2.8</v>
      </c>
      <c r="P74">
        <v>0</v>
      </c>
      <c r="Q74">
        <v>0</v>
      </c>
      <c r="R74">
        <v>20</v>
      </c>
      <c r="S74">
        <v>4</v>
      </c>
      <c r="T74">
        <v>64</v>
      </c>
      <c r="U74">
        <v>0</v>
      </c>
      <c r="V74" s="9">
        <v>68</v>
      </c>
      <c r="W74">
        <v>276</v>
      </c>
      <c r="X74">
        <v>51</v>
      </c>
      <c r="Y74">
        <v>6</v>
      </c>
      <c r="Z74">
        <v>25</v>
      </c>
      <c r="AA74">
        <v>2</v>
      </c>
      <c r="AB74">
        <v>4</v>
      </c>
      <c r="AC74">
        <v>83</v>
      </c>
      <c r="AD74">
        <v>3.3</v>
      </c>
      <c r="AE74">
        <v>10.9</v>
      </c>
      <c r="AF74" s="5">
        <v>0.46</v>
      </c>
      <c r="AG74">
        <v>0.28199999999999997</v>
      </c>
      <c r="AH74">
        <v>1.1000000000000001</v>
      </c>
      <c r="AI74">
        <v>2.65</v>
      </c>
      <c r="AJ74">
        <v>3.24</v>
      </c>
      <c r="AK74">
        <v>12.3</v>
      </c>
      <c r="AL74">
        <v>1.4</v>
      </c>
      <c r="AM74">
        <v>17</v>
      </c>
      <c r="AN74">
        <v>42</v>
      </c>
      <c r="AO74">
        <v>30</v>
      </c>
      <c r="AP74">
        <v>12</v>
      </c>
      <c r="AQ74" t="s">
        <v>2343</v>
      </c>
      <c r="AR74">
        <v>93</v>
      </c>
      <c r="AS74" t="s">
        <v>35</v>
      </c>
      <c r="AT74" t="s">
        <v>36</v>
      </c>
      <c r="AU74" s="4">
        <f>HYPERLINK("http://mlb.mlb.com/team/player.jsp?player_id=543272",543272)</f>
        <v>543272</v>
      </c>
      <c r="AV74">
        <v>1235</v>
      </c>
      <c r="AW74">
        <v>235</v>
      </c>
      <c r="AX74">
        <v>79.3</v>
      </c>
    </row>
    <row r="75" spans="1:50" x14ac:dyDescent="0.3">
      <c r="A75" s="4">
        <f>HYPERLINK("http://legacy.baseballprospectus.com/p/61051",61051)</f>
        <v>61051</v>
      </c>
      <c r="B75" t="s">
        <v>858</v>
      </c>
      <c r="C75" t="s">
        <v>142</v>
      </c>
      <c r="D75" s="10">
        <v>32093</v>
      </c>
      <c r="E75" t="s">
        <v>33</v>
      </c>
      <c r="F75" t="s">
        <v>33</v>
      </c>
      <c r="G75">
        <v>70</v>
      </c>
      <c r="H75">
        <v>170</v>
      </c>
      <c r="I75">
        <v>2018</v>
      </c>
      <c r="J75" s="4" t="str">
        <f>HYPERLINK("http://legacy.baseballprospectus.com/fantasy/dc/index.php?tm=SEA","SEA")</f>
        <v>SEA</v>
      </c>
      <c r="K75" t="s">
        <v>95</v>
      </c>
      <c r="L75" t="s">
        <v>34</v>
      </c>
      <c r="M75">
        <v>30</v>
      </c>
      <c r="N75">
        <v>9.5</v>
      </c>
      <c r="O75">
        <v>8.9</v>
      </c>
      <c r="P75">
        <v>13</v>
      </c>
      <c r="Q75">
        <v>0</v>
      </c>
      <c r="R75">
        <v>0</v>
      </c>
      <c r="S75">
        <v>0</v>
      </c>
      <c r="T75">
        <v>28</v>
      </c>
      <c r="U75">
        <v>28</v>
      </c>
      <c r="V75" s="9">
        <v>148.33330000000001</v>
      </c>
      <c r="W75">
        <v>637</v>
      </c>
      <c r="X75">
        <v>155</v>
      </c>
      <c r="Y75">
        <v>19</v>
      </c>
      <c r="Z75">
        <v>45</v>
      </c>
      <c r="AA75">
        <v>3</v>
      </c>
      <c r="AB75">
        <v>7</v>
      </c>
      <c r="AC75">
        <v>107</v>
      </c>
      <c r="AD75">
        <v>2.7</v>
      </c>
      <c r="AE75">
        <v>6.5</v>
      </c>
      <c r="AF75" s="5">
        <v>0.51600000000000001</v>
      </c>
      <c r="AG75">
        <v>0.29499999999999998</v>
      </c>
      <c r="AH75">
        <v>1.35</v>
      </c>
      <c r="AI75">
        <v>4.3</v>
      </c>
      <c r="AJ75">
        <v>4.7</v>
      </c>
      <c r="AK75">
        <v>12.7</v>
      </c>
      <c r="AL75">
        <v>1.4</v>
      </c>
      <c r="AM75">
        <v>10</v>
      </c>
      <c r="AN75">
        <v>45</v>
      </c>
      <c r="AO75">
        <v>29</v>
      </c>
      <c r="AP75">
        <v>9</v>
      </c>
      <c r="AQ75" t="s">
        <v>2296</v>
      </c>
      <c r="AR75">
        <v>95</v>
      </c>
      <c r="AS75" t="s">
        <v>35</v>
      </c>
      <c r="AT75" t="s">
        <v>36</v>
      </c>
      <c r="AU75" s="4">
        <f>HYPERLINK("http://mlb.mlb.com/team/player.jsp?player_id=502190",502190)</f>
        <v>502190</v>
      </c>
      <c r="AV75">
        <v>12</v>
      </c>
      <c r="AW75">
        <v>1012</v>
      </c>
      <c r="AX75">
        <v>186</v>
      </c>
    </row>
    <row r="76" spans="1:50" x14ac:dyDescent="0.3">
      <c r="A76" s="4">
        <f>HYPERLINK("http://legacy.baseballprospectus.com/p/50704",50704)</f>
        <v>50704</v>
      </c>
      <c r="B76" t="s">
        <v>909</v>
      </c>
      <c r="C76" t="s">
        <v>181</v>
      </c>
      <c r="D76" s="10">
        <v>32526</v>
      </c>
      <c r="E76" t="s">
        <v>33</v>
      </c>
      <c r="F76" t="s">
        <v>33</v>
      </c>
      <c r="G76">
        <v>79</v>
      </c>
      <c r="H76">
        <v>260</v>
      </c>
      <c r="I76">
        <v>2018</v>
      </c>
      <c r="J76" s="4" t="str">
        <f>HYPERLINK("http://legacy.baseballprospectus.com/fantasy/dc/index.php?tm=MIN","MIN")</f>
        <v>MIN</v>
      </c>
      <c r="K76" t="s">
        <v>95</v>
      </c>
      <c r="L76" t="s">
        <v>34</v>
      </c>
      <c r="M76">
        <v>29</v>
      </c>
      <c r="N76">
        <v>5.9</v>
      </c>
      <c r="O76">
        <v>5.4</v>
      </c>
      <c r="P76">
        <v>8</v>
      </c>
      <c r="Q76">
        <v>0</v>
      </c>
      <c r="R76">
        <v>0</v>
      </c>
      <c r="S76">
        <v>0</v>
      </c>
      <c r="T76">
        <v>16.600000000000001</v>
      </c>
      <c r="U76">
        <v>16.600000000000001</v>
      </c>
      <c r="V76" s="9">
        <v>93.333299999999994</v>
      </c>
      <c r="W76">
        <v>406</v>
      </c>
      <c r="X76">
        <v>99</v>
      </c>
      <c r="Y76">
        <v>14</v>
      </c>
      <c r="Z76">
        <v>30</v>
      </c>
      <c r="AA76" t="s">
        <v>1680</v>
      </c>
      <c r="AB76">
        <v>4</v>
      </c>
      <c r="AC76">
        <v>91</v>
      </c>
      <c r="AD76">
        <v>2.9</v>
      </c>
      <c r="AE76">
        <v>8.6999999999999993</v>
      </c>
      <c r="AF76" s="5">
        <v>0.48127073049545199</v>
      </c>
      <c r="AG76">
        <v>0.316</v>
      </c>
      <c r="AH76">
        <v>1.38</v>
      </c>
      <c r="AI76">
        <v>4.3600000000000003</v>
      </c>
      <c r="AJ76">
        <v>4.3899999999999997</v>
      </c>
      <c r="AK76">
        <v>12.7</v>
      </c>
      <c r="AL76">
        <v>1.4</v>
      </c>
      <c r="AM76">
        <v>22</v>
      </c>
      <c r="AN76">
        <v>45</v>
      </c>
      <c r="AO76">
        <v>23</v>
      </c>
      <c r="AP76">
        <v>4</v>
      </c>
      <c r="AQ76" t="s">
        <v>2304</v>
      </c>
      <c r="AR76">
        <v>93</v>
      </c>
      <c r="AS76" t="s">
        <v>36</v>
      </c>
      <c r="AT76" t="s">
        <v>36</v>
      </c>
      <c r="AU76" s="4">
        <f>HYPERLINK("http://mlb.mlb.com/team/player.jsp?player_id=501381",501381)</f>
        <v>501381</v>
      </c>
      <c r="AV76">
        <v>683</v>
      </c>
      <c r="AW76">
        <v>1683</v>
      </c>
      <c r="AX76">
        <v>96.3</v>
      </c>
    </row>
    <row r="77" spans="1:50" x14ac:dyDescent="0.3">
      <c r="A77" s="4">
        <f>HYPERLINK("http://legacy.baseballprospectus.com/p/68494",68494)</f>
        <v>68494</v>
      </c>
      <c r="B77" t="s">
        <v>112</v>
      </c>
      <c r="C77" t="s">
        <v>584</v>
      </c>
      <c r="D77" s="10">
        <v>32467</v>
      </c>
      <c r="E77" t="s">
        <v>33</v>
      </c>
      <c r="F77" t="s">
        <v>33</v>
      </c>
      <c r="G77">
        <v>73</v>
      </c>
      <c r="H77">
        <v>210</v>
      </c>
      <c r="I77">
        <v>2018</v>
      </c>
      <c r="J77" s="4" t="str">
        <f>HYPERLINK("http://legacy.baseballprospectus.com/fantasy/dc/index.php?tm=CLE","CLE")</f>
        <v>CLE</v>
      </c>
      <c r="K77" t="s">
        <v>95</v>
      </c>
      <c r="L77" t="s">
        <v>34</v>
      </c>
      <c r="M77">
        <v>29</v>
      </c>
      <c r="N77">
        <v>3.5</v>
      </c>
      <c r="O77">
        <v>2.5</v>
      </c>
      <c r="P77">
        <v>0</v>
      </c>
      <c r="Q77">
        <v>0</v>
      </c>
      <c r="R77">
        <v>30</v>
      </c>
      <c r="S77">
        <v>4</v>
      </c>
      <c r="T77">
        <v>60</v>
      </c>
      <c r="U77">
        <v>0</v>
      </c>
      <c r="V77" s="9">
        <v>63.666699999999999</v>
      </c>
      <c r="W77">
        <v>263</v>
      </c>
      <c r="X77">
        <v>50</v>
      </c>
      <c r="Y77">
        <v>7</v>
      </c>
      <c r="Z77">
        <v>25</v>
      </c>
      <c r="AA77">
        <v>2</v>
      </c>
      <c r="AB77">
        <v>2</v>
      </c>
      <c r="AC77">
        <v>83</v>
      </c>
      <c r="AD77">
        <v>3.6</v>
      </c>
      <c r="AE77">
        <v>11.8</v>
      </c>
      <c r="AF77" s="5">
        <v>0.40200000000000002</v>
      </c>
      <c r="AG77">
        <v>0.29599999999999999</v>
      </c>
      <c r="AH77">
        <v>1.19</v>
      </c>
      <c r="AI77">
        <v>2.76</v>
      </c>
      <c r="AJ77">
        <v>3.37</v>
      </c>
      <c r="AK77">
        <v>12.3</v>
      </c>
      <c r="AL77">
        <v>1.4</v>
      </c>
      <c r="AM77">
        <v>17</v>
      </c>
      <c r="AN77">
        <v>43</v>
      </c>
      <c r="AO77">
        <v>34</v>
      </c>
      <c r="AP77">
        <v>5</v>
      </c>
      <c r="AQ77" t="s">
        <v>2427</v>
      </c>
      <c r="AR77">
        <v>97</v>
      </c>
      <c r="AS77" t="s">
        <v>35</v>
      </c>
      <c r="AT77" t="s">
        <v>36</v>
      </c>
      <c r="AU77" s="4">
        <f>HYPERLINK("http://mlb.mlb.com/team/player.jsp?player_id=592102",592102)</f>
        <v>592102</v>
      </c>
      <c r="AV77">
        <v>239</v>
      </c>
      <c r="AW77">
        <v>1239</v>
      </c>
      <c r="AX77">
        <v>67.3</v>
      </c>
    </row>
    <row r="78" spans="1:50" x14ac:dyDescent="0.3">
      <c r="A78" s="4">
        <f>HYPERLINK("http://legacy.baseballprospectus.com/p/68557",68557)</f>
        <v>68557</v>
      </c>
      <c r="B78" t="s">
        <v>1163</v>
      </c>
      <c r="C78" t="s">
        <v>459</v>
      </c>
      <c r="D78" s="10">
        <v>33244</v>
      </c>
      <c r="E78" t="s">
        <v>9</v>
      </c>
      <c r="F78" t="s">
        <v>33</v>
      </c>
      <c r="G78">
        <v>75</v>
      </c>
      <c r="H78">
        <v>190</v>
      </c>
      <c r="I78">
        <v>2018</v>
      </c>
      <c r="J78" s="4" t="str">
        <f>HYPERLINK("http://legacy.baseballprospectus.com/fantasy/dc/index.php?tm=BAL","BAL")</f>
        <v>BAL</v>
      </c>
      <c r="K78" t="s">
        <v>95</v>
      </c>
      <c r="L78" t="s">
        <v>34</v>
      </c>
      <c r="M78">
        <v>27</v>
      </c>
      <c r="N78">
        <v>9.3000000000000007</v>
      </c>
      <c r="O78">
        <v>10.6</v>
      </c>
      <c r="P78">
        <v>13</v>
      </c>
      <c r="Q78">
        <v>0</v>
      </c>
      <c r="R78">
        <v>0</v>
      </c>
      <c r="S78">
        <v>0</v>
      </c>
      <c r="T78">
        <v>29</v>
      </c>
      <c r="U78">
        <v>29</v>
      </c>
      <c r="V78" s="9">
        <v>165.33330000000001</v>
      </c>
      <c r="W78">
        <v>723</v>
      </c>
      <c r="X78">
        <v>173</v>
      </c>
      <c r="Y78">
        <v>27</v>
      </c>
      <c r="Z78">
        <v>61</v>
      </c>
      <c r="AA78">
        <v>2</v>
      </c>
      <c r="AB78">
        <v>5</v>
      </c>
      <c r="AC78">
        <v>154</v>
      </c>
      <c r="AD78">
        <v>3.3</v>
      </c>
      <c r="AE78">
        <v>8.4</v>
      </c>
      <c r="AF78" s="5">
        <v>0.44900000000000001</v>
      </c>
      <c r="AG78">
        <v>0.30499999999999999</v>
      </c>
      <c r="AH78">
        <v>1.43</v>
      </c>
      <c r="AI78">
        <v>4.58</v>
      </c>
      <c r="AJ78">
        <v>4.7699999999999996</v>
      </c>
      <c r="AK78">
        <v>13</v>
      </c>
      <c r="AL78">
        <v>1.4</v>
      </c>
      <c r="AM78">
        <v>28</v>
      </c>
      <c r="AN78">
        <v>60</v>
      </c>
      <c r="AO78">
        <v>21</v>
      </c>
      <c r="AP78">
        <v>10</v>
      </c>
      <c r="AQ78" t="s">
        <v>2290</v>
      </c>
      <c r="AR78">
        <v>96</v>
      </c>
      <c r="AS78" t="s">
        <v>35</v>
      </c>
      <c r="AT78" t="s">
        <v>36</v>
      </c>
      <c r="AU78" s="4">
        <f>HYPERLINK("http://mlb.mlb.com/team/player.jsp?player_id=592332",592332)</f>
        <v>592332</v>
      </c>
      <c r="AV78">
        <v>11</v>
      </c>
      <c r="AW78">
        <v>1011</v>
      </c>
      <c r="AX78">
        <v>186.7</v>
      </c>
    </row>
    <row r="79" spans="1:50" x14ac:dyDescent="0.3">
      <c r="A79" s="4">
        <f>HYPERLINK("http://legacy.baseballprospectus.com/p/104863",104863)</f>
        <v>104863</v>
      </c>
      <c r="B79" t="s">
        <v>1495</v>
      </c>
      <c r="C79" t="s">
        <v>208</v>
      </c>
      <c r="D79" s="10">
        <v>34132</v>
      </c>
      <c r="E79" t="s">
        <v>9</v>
      </c>
      <c r="F79" t="s">
        <v>9</v>
      </c>
      <c r="G79">
        <v>77</v>
      </c>
      <c r="H79">
        <v>255</v>
      </c>
      <c r="I79">
        <v>2018</v>
      </c>
      <c r="J79" s="4" t="str">
        <f>HYPERLINK("http://legacy.baseballprospectus.com/fantasy/dc/index.php?tm=ATL","ATL")</f>
        <v>ATL</v>
      </c>
      <c r="K79" t="s">
        <v>100</v>
      </c>
      <c r="L79" t="s">
        <v>34</v>
      </c>
      <c r="M79">
        <v>25</v>
      </c>
      <c r="N79">
        <v>7.5</v>
      </c>
      <c r="O79">
        <v>8.1</v>
      </c>
      <c r="P79">
        <v>12</v>
      </c>
      <c r="Q79">
        <v>0</v>
      </c>
      <c r="R79">
        <v>0</v>
      </c>
      <c r="S79">
        <v>0</v>
      </c>
      <c r="T79">
        <v>24</v>
      </c>
      <c r="U79">
        <v>24</v>
      </c>
      <c r="V79" s="9">
        <v>127.33329999999999</v>
      </c>
      <c r="W79">
        <v>552</v>
      </c>
      <c r="X79">
        <v>113</v>
      </c>
      <c r="Y79">
        <v>16</v>
      </c>
      <c r="Z79">
        <v>60</v>
      </c>
      <c r="AA79">
        <v>4</v>
      </c>
      <c r="AB79">
        <v>5</v>
      </c>
      <c r="AC79">
        <v>146</v>
      </c>
      <c r="AD79">
        <v>4.2</v>
      </c>
      <c r="AE79">
        <v>10.3</v>
      </c>
      <c r="AF79" s="5">
        <v>0.44500000000000001</v>
      </c>
      <c r="AG79">
        <v>0.29899999999999999</v>
      </c>
      <c r="AH79">
        <v>1.36</v>
      </c>
      <c r="AI79">
        <v>3.85</v>
      </c>
      <c r="AJ79">
        <v>4.32</v>
      </c>
      <c r="AK79">
        <v>12.4</v>
      </c>
      <c r="AL79">
        <v>1.4</v>
      </c>
      <c r="AM79">
        <v>40</v>
      </c>
      <c r="AN79">
        <v>69</v>
      </c>
      <c r="AO79">
        <v>17</v>
      </c>
      <c r="AP79">
        <v>29</v>
      </c>
      <c r="AQ79" t="s">
        <v>2305</v>
      </c>
      <c r="AR79">
        <v>94</v>
      </c>
      <c r="AS79" t="s">
        <v>35</v>
      </c>
      <c r="AT79" t="s">
        <v>36</v>
      </c>
      <c r="AU79" s="4">
        <f>HYPERLINK("http://mlb.mlb.com/team/player.jsp?player_id=656794",656794)</f>
        <v>656794</v>
      </c>
      <c r="AV79">
        <v>1055</v>
      </c>
      <c r="AW79">
        <v>55</v>
      </c>
      <c r="AX79">
        <v>100</v>
      </c>
    </row>
    <row r="80" spans="1:50" x14ac:dyDescent="0.3">
      <c r="A80" s="4">
        <f>HYPERLINK("http://legacy.baseballprospectus.com/p/109027",109027)</f>
        <v>109027</v>
      </c>
      <c r="B80" t="s">
        <v>2078</v>
      </c>
      <c r="C80" t="s">
        <v>319</v>
      </c>
      <c r="D80" s="10">
        <v>34814</v>
      </c>
      <c r="E80" t="s">
        <v>9</v>
      </c>
      <c r="F80" t="s">
        <v>9</v>
      </c>
      <c r="G80">
        <v>79</v>
      </c>
      <c r="H80">
        <v>220</v>
      </c>
      <c r="I80">
        <v>2018</v>
      </c>
      <c r="J80" s="4" t="str">
        <f>HYPERLINK("http://legacy.baseballprospectus.com/fantasy/dc/index.php?tm=OAK","OAK")</f>
        <v>OAK</v>
      </c>
      <c r="K80" t="s">
        <v>95</v>
      </c>
      <c r="L80" t="s">
        <v>34</v>
      </c>
      <c r="M80">
        <v>23</v>
      </c>
      <c r="N80">
        <v>6.2</v>
      </c>
      <c r="O80">
        <v>6</v>
      </c>
      <c r="P80">
        <v>10.7</v>
      </c>
      <c r="Q80">
        <v>0</v>
      </c>
      <c r="R80">
        <v>0</v>
      </c>
      <c r="S80">
        <v>0</v>
      </c>
      <c r="T80">
        <v>21.2</v>
      </c>
      <c r="U80">
        <v>21.2</v>
      </c>
      <c r="V80" s="9">
        <v>93.666700000000006</v>
      </c>
      <c r="W80">
        <v>399</v>
      </c>
      <c r="X80">
        <v>84</v>
      </c>
      <c r="Y80">
        <v>15</v>
      </c>
      <c r="Z80">
        <v>39</v>
      </c>
      <c r="AA80" t="s">
        <v>1680</v>
      </c>
      <c r="AB80">
        <v>3</v>
      </c>
      <c r="AC80">
        <v>118</v>
      </c>
      <c r="AD80">
        <v>3.8</v>
      </c>
      <c r="AE80">
        <v>11.3</v>
      </c>
      <c r="AF80" s="5">
        <v>0.42062017321586598</v>
      </c>
      <c r="AG80">
        <v>0.309</v>
      </c>
      <c r="AH80">
        <v>1.32</v>
      </c>
      <c r="AI80">
        <v>4.17</v>
      </c>
      <c r="AJ80">
        <v>4.32</v>
      </c>
      <c r="AK80">
        <v>13.4</v>
      </c>
      <c r="AL80">
        <v>1.4</v>
      </c>
      <c r="AM80">
        <v>26</v>
      </c>
      <c r="AN80">
        <v>45</v>
      </c>
      <c r="AO80">
        <v>6</v>
      </c>
      <c r="AP80">
        <v>19</v>
      </c>
      <c r="AQ80" t="s">
        <v>2392</v>
      </c>
      <c r="AR80">
        <v>60</v>
      </c>
      <c r="AS80" t="s">
        <v>36</v>
      </c>
      <c r="AT80" t="s">
        <v>35</v>
      </c>
      <c r="AU80" s="4">
        <f>HYPERLINK("http://mlb.mlb.com/team/player.jsp?player_id=640462",640462)</f>
        <v>640462</v>
      </c>
      <c r="AV80">
        <v>0</v>
      </c>
      <c r="AW80">
        <v>0</v>
      </c>
      <c r="AX80">
        <v>0</v>
      </c>
    </row>
    <row r="81" spans="1:50" x14ac:dyDescent="0.3">
      <c r="A81" s="4">
        <f>HYPERLINK("http://legacy.baseballprospectus.com/p/45534",45534)</f>
        <v>45534</v>
      </c>
      <c r="B81" t="s">
        <v>821</v>
      </c>
      <c r="C81" t="s">
        <v>362</v>
      </c>
      <c r="D81" s="10">
        <v>30677</v>
      </c>
      <c r="E81" t="s">
        <v>9</v>
      </c>
      <c r="F81" t="s">
        <v>9</v>
      </c>
      <c r="G81">
        <v>76</v>
      </c>
      <c r="H81">
        <v>205</v>
      </c>
      <c r="I81">
        <v>2018</v>
      </c>
      <c r="J81" s="4" t="str">
        <f>HYPERLINK("http://legacy.baseballprospectus.com/fantasy/dc/index.php?tm=TEX","TEX")</f>
        <v>TEX</v>
      </c>
      <c r="K81" t="s">
        <v>95</v>
      </c>
      <c r="L81" t="s">
        <v>34</v>
      </c>
      <c r="M81">
        <v>34</v>
      </c>
      <c r="N81">
        <v>11</v>
      </c>
      <c r="O81">
        <v>10.7</v>
      </c>
      <c r="P81">
        <v>13</v>
      </c>
      <c r="Q81">
        <v>1</v>
      </c>
      <c r="R81">
        <v>0</v>
      </c>
      <c r="S81">
        <v>0</v>
      </c>
      <c r="T81">
        <v>28</v>
      </c>
      <c r="U81">
        <v>28</v>
      </c>
      <c r="V81" s="9">
        <v>187.66669999999999</v>
      </c>
      <c r="W81">
        <v>829</v>
      </c>
      <c r="X81">
        <v>193</v>
      </c>
      <c r="Y81">
        <v>26</v>
      </c>
      <c r="Z81">
        <v>79</v>
      </c>
      <c r="AA81">
        <v>4</v>
      </c>
      <c r="AB81">
        <v>12</v>
      </c>
      <c r="AC81">
        <v>147</v>
      </c>
      <c r="AD81">
        <v>3.8</v>
      </c>
      <c r="AE81">
        <v>7</v>
      </c>
      <c r="AF81" s="5">
        <v>0.47499999999999998</v>
      </c>
      <c r="AG81">
        <v>0.29499999999999998</v>
      </c>
      <c r="AH81">
        <v>1.45</v>
      </c>
      <c r="AI81">
        <v>4.88</v>
      </c>
      <c r="AJ81">
        <v>4.91</v>
      </c>
      <c r="AK81">
        <v>12.1</v>
      </c>
      <c r="AL81">
        <v>1.3</v>
      </c>
      <c r="AM81">
        <v>16</v>
      </c>
      <c r="AN81">
        <v>49</v>
      </c>
      <c r="AO81">
        <v>21</v>
      </c>
      <c r="AP81">
        <v>11</v>
      </c>
      <c r="AQ81" t="s">
        <v>2301</v>
      </c>
      <c r="AR81">
        <v>96</v>
      </c>
      <c r="AS81" t="s">
        <v>35</v>
      </c>
      <c r="AT81" t="s">
        <v>36</v>
      </c>
      <c r="AU81" s="4">
        <f>HYPERLINK("http://mlb.mlb.com/team/player.jsp?player_id=430935",430935)</f>
        <v>430935</v>
      </c>
      <c r="AV81">
        <v>31</v>
      </c>
      <c r="AW81">
        <v>1031</v>
      </c>
      <c r="AX81">
        <v>148</v>
      </c>
    </row>
    <row r="82" spans="1:50" x14ac:dyDescent="0.3">
      <c r="A82" s="4">
        <f>HYPERLINK("http://legacy.baseballprospectus.com/p/56197",56197)</f>
        <v>56197</v>
      </c>
      <c r="B82" t="s">
        <v>785</v>
      </c>
      <c r="C82" t="s">
        <v>329</v>
      </c>
      <c r="D82" s="10">
        <v>32498</v>
      </c>
      <c r="E82" t="s">
        <v>9</v>
      </c>
      <c r="F82" t="s">
        <v>9</v>
      </c>
      <c r="G82">
        <v>75</v>
      </c>
      <c r="H82">
        <v>205</v>
      </c>
      <c r="I82">
        <v>2018</v>
      </c>
      <c r="J82" s="4" t="str">
        <f>HYPERLINK("http://legacy.baseballprospectus.com/fantasy/dc/index.php?tm=KCA","KCA")</f>
        <v>KCA</v>
      </c>
      <c r="K82" t="s">
        <v>95</v>
      </c>
      <c r="L82" t="s">
        <v>34</v>
      </c>
      <c r="M82">
        <v>29</v>
      </c>
      <c r="N82">
        <v>7</v>
      </c>
      <c r="O82">
        <v>9.6</v>
      </c>
      <c r="P82">
        <v>11</v>
      </c>
      <c r="Q82">
        <v>0</v>
      </c>
      <c r="R82">
        <v>0</v>
      </c>
      <c r="S82">
        <v>0</v>
      </c>
      <c r="T82">
        <v>24</v>
      </c>
      <c r="U82">
        <v>24</v>
      </c>
      <c r="V82" s="9">
        <v>136.66669999999999</v>
      </c>
      <c r="W82">
        <v>587</v>
      </c>
      <c r="X82">
        <v>136</v>
      </c>
      <c r="Y82">
        <v>19</v>
      </c>
      <c r="Z82">
        <v>46</v>
      </c>
      <c r="AA82">
        <v>1</v>
      </c>
      <c r="AB82">
        <v>5</v>
      </c>
      <c r="AC82">
        <v>116</v>
      </c>
      <c r="AD82">
        <v>3</v>
      </c>
      <c r="AE82">
        <v>7.7</v>
      </c>
      <c r="AF82" s="5">
        <v>0.40899999999999997</v>
      </c>
      <c r="AG82">
        <v>0.29299999999999998</v>
      </c>
      <c r="AH82">
        <v>1.33</v>
      </c>
      <c r="AI82">
        <v>4.45</v>
      </c>
      <c r="AJ82">
        <v>4.6900000000000004</v>
      </c>
      <c r="AK82">
        <v>11.8</v>
      </c>
      <c r="AL82">
        <v>1.3</v>
      </c>
      <c r="AM82">
        <v>12</v>
      </c>
      <c r="AN82">
        <v>36</v>
      </c>
      <c r="AO82">
        <v>23</v>
      </c>
      <c r="AP82">
        <v>6</v>
      </c>
      <c r="AQ82" t="s">
        <v>2303</v>
      </c>
      <c r="AR82">
        <v>96</v>
      </c>
      <c r="AS82" t="s">
        <v>35</v>
      </c>
      <c r="AT82" t="s">
        <v>36</v>
      </c>
      <c r="AU82" s="4">
        <f>HYPERLINK("http://mlb.mlb.com/team/player.jsp?player_id=518633",518633)</f>
        <v>518633</v>
      </c>
      <c r="AV82">
        <v>34</v>
      </c>
      <c r="AW82">
        <v>1034</v>
      </c>
      <c r="AX82">
        <v>146.30000000000001</v>
      </c>
    </row>
    <row r="83" spans="1:50" x14ac:dyDescent="0.3">
      <c r="A83" s="4">
        <f>HYPERLINK("http://legacy.baseballprospectus.com/p/57086",57086)</f>
        <v>57086</v>
      </c>
      <c r="B83" t="s">
        <v>902</v>
      </c>
      <c r="C83" t="s">
        <v>285</v>
      </c>
      <c r="D83" s="10">
        <v>32175</v>
      </c>
      <c r="E83" t="s">
        <v>33</v>
      </c>
      <c r="F83" t="s">
        <v>33</v>
      </c>
      <c r="G83">
        <v>73</v>
      </c>
      <c r="H83">
        <v>210</v>
      </c>
      <c r="I83">
        <v>2018</v>
      </c>
      <c r="J83" s="4" t="str">
        <f>HYPERLINK("http://legacy.baseballprospectus.com/fantasy/dc/index.php?tm=HOU","HOU")</f>
        <v>HOU</v>
      </c>
      <c r="K83" t="s">
        <v>95</v>
      </c>
      <c r="L83" t="s">
        <v>34</v>
      </c>
      <c r="M83">
        <v>30</v>
      </c>
      <c r="N83">
        <v>6.4</v>
      </c>
      <c r="O83">
        <v>4.2</v>
      </c>
      <c r="P83">
        <v>5</v>
      </c>
      <c r="Q83">
        <v>0</v>
      </c>
      <c r="R83">
        <v>0</v>
      </c>
      <c r="S83">
        <v>0</v>
      </c>
      <c r="T83">
        <v>46</v>
      </c>
      <c r="U83">
        <v>10</v>
      </c>
      <c r="V83" s="9">
        <v>95.666700000000006</v>
      </c>
      <c r="W83">
        <v>407</v>
      </c>
      <c r="X83">
        <v>84</v>
      </c>
      <c r="Y83">
        <v>10</v>
      </c>
      <c r="Z83">
        <v>41</v>
      </c>
      <c r="AA83">
        <v>3</v>
      </c>
      <c r="AB83">
        <v>4</v>
      </c>
      <c r="AC83">
        <v>96</v>
      </c>
      <c r="AD83">
        <v>3.9</v>
      </c>
      <c r="AE83">
        <v>9.1</v>
      </c>
      <c r="AF83" s="5">
        <v>0.42899999999999999</v>
      </c>
      <c r="AG83">
        <v>0.28799999999999998</v>
      </c>
      <c r="AH83">
        <v>1.3</v>
      </c>
      <c r="AI83">
        <v>3.85</v>
      </c>
      <c r="AJ83">
        <v>4.22</v>
      </c>
      <c r="AK83">
        <v>11.8</v>
      </c>
      <c r="AL83">
        <v>1.3</v>
      </c>
      <c r="AM83">
        <v>19</v>
      </c>
      <c r="AN83">
        <v>46</v>
      </c>
      <c r="AO83">
        <v>20</v>
      </c>
      <c r="AP83">
        <v>15</v>
      </c>
      <c r="AQ83" t="s">
        <v>2396</v>
      </c>
      <c r="AR83">
        <v>87</v>
      </c>
      <c r="AS83" t="s">
        <v>35</v>
      </c>
      <c r="AT83" t="s">
        <v>36</v>
      </c>
      <c r="AU83" s="4">
        <f>HYPERLINK("http://mlb.mlb.com/team/player.jsp?player_id=502748",502748)</f>
        <v>502748</v>
      </c>
      <c r="AV83">
        <v>43</v>
      </c>
      <c r="AW83">
        <v>1043</v>
      </c>
      <c r="AX83">
        <v>132</v>
      </c>
    </row>
    <row r="84" spans="1:50" x14ac:dyDescent="0.3">
      <c r="A84" s="4">
        <f>HYPERLINK("http://legacy.baseballprospectus.com/p/57820",57820)</f>
        <v>57820</v>
      </c>
      <c r="B84" t="s">
        <v>787</v>
      </c>
      <c r="C84" t="s">
        <v>694</v>
      </c>
      <c r="D84" s="10">
        <v>32917</v>
      </c>
      <c r="E84" t="s">
        <v>33</v>
      </c>
      <c r="F84" t="s">
        <v>33</v>
      </c>
      <c r="G84">
        <v>74</v>
      </c>
      <c r="H84">
        <v>225</v>
      </c>
      <c r="I84">
        <v>2018</v>
      </c>
      <c r="J84" s="4" t="str">
        <f>HYPERLINK("http://legacy.baseballprospectus.com/fantasy/dc/index.php?tm=TBA","TBA")</f>
        <v>TBA</v>
      </c>
      <c r="K84" t="s">
        <v>95</v>
      </c>
      <c r="L84" t="s">
        <v>34</v>
      </c>
      <c r="M84">
        <v>28</v>
      </c>
      <c r="N84">
        <v>7.5</v>
      </c>
      <c r="O84">
        <v>7.6</v>
      </c>
      <c r="P84">
        <v>11</v>
      </c>
      <c r="Q84">
        <v>0</v>
      </c>
      <c r="R84">
        <v>0</v>
      </c>
      <c r="S84">
        <v>0</v>
      </c>
      <c r="T84">
        <v>23</v>
      </c>
      <c r="U84">
        <v>23</v>
      </c>
      <c r="V84" s="9">
        <v>122</v>
      </c>
      <c r="W84">
        <v>530</v>
      </c>
      <c r="X84">
        <v>123</v>
      </c>
      <c r="Y84">
        <v>14</v>
      </c>
      <c r="Z84">
        <v>45</v>
      </c>
      <c r="AA84">
        <v>3</v>
      </c>
      <c r="AB84">
        <v>3</v>
      </c>
      <c r="AC84">
        <v>105</v>
      </c>
      <c r="AD84">
        <v>3.3</v>
      </c>
      <c r="AE84">
        <v>7.8</v>
      </c>
      <c r="AF84" s="5">
        <v>0.49299999999999999</v>
      </c>
      <c r="AG84">
        <v>0.30099999999999999</v>
      </c>
      <c r="AH84">
        <v>1.4</v>
      </c>
      <c r="AI84">
        <v>3.98</v>
      </c>
      <c r="AJ84">
        <v>4.5999999999999996</v>
      </c>
      <c r="AK84">
        <v>11.7</v>
      </c>
      <c r="AL84">
        <v>1.3</v>
      </c>
      <c r="AM84">
        <v>19</v>
      </c>
      <c r="AN84">
        <v>45</v>
      </c>
      <c r="AO84">
        <v>28</v>
      </c>
      <c r="AP84">
        <v>10</v>
      </c>
      <c r="AQ84" t="s">
        <v>2453</v>
      </c>
      <c r="AR84">
        <v>94</v>
      </c>
      <c r="AS84" t="s">
        <v>35</v>
      </c>
      <c r="AT84" t="s">
        <v>36</v>
      </c>
      <c r="AU84" s="4">
        <f>HYPERLINK("http://mlb.mlb.com/team/player.jsp?player_id=543135",543135)</f>
        <v>543135</v>
      </c>
      <c r="AV84">
        <v>131</v>
      </c>
      <c r="AW84">
        <v>1131</v>
      </c>
      <c r="AX84">
        <v>0</v>
      </c>
    </row>
    <row r="85" spans="1:50" x14ac:dyDescent="0.3">
      <c r="A85" s="4">
        <f>HYPERLINK("http://legacy.baseballprospectus.com/p/58921",58921)</f>
        <v>58921</v>
      </c>
      <c r="B85" t="s">
        <v>1168</v>
      </c>
      <c r="C85" t="s">
        <v>739</v>
      </c>
      <c r="D85" s="10">
        <v>31690</v>
      </c>
      <c r="E85" t="s">
        <v>33</v>
      </c>
      <c r="F85" t="s">
        <v>33</v>
      </c>
      <c r="G85">
        <v>74</v>
      </c>
      <c r="H85">
        <v>235</v>
      </c>
      <c r="I85">
        <v>2018</v>
      </c>
      <c r="J85" s="4" t="str">
        <f>HYPERLINK("http://legacy.baseballprospectus.com/fantasy/dc/index.php?tm=WAS","WAS")</f>
        <v>WAS</v>
      </c>
      <c r="K85" t="s">
        <v>100</v>
      </c>
      <c r="L85" t="s">
        <v>34</v>
      </c>
      <c r="M85">
        <v>31</v>
      </c>
      <c r="N85">
        <v>10.8</v>
      </c>
      <c r="O85">
        <v>9.1999999999999993</v>
      </c>
      <c r="P85">
        <v>14</v>
      </c>
      <c r="Q85">
        <v>0</v>
      </c>
      <c r="R85">
        <v>0</v>
      </c>
      <c r="S85">
        <v>0</v>
      </c>
      <c r="T85">
        <v>33</v>
      </c>
      <c r="U85">
        <v>28</v>
      </c>
      <c r="V85" s="9">
        <v>164.66669999999999</v>
      </c>
      <c r="W85">
        <v>700</v>
      </c>
      <c r="X85">
        <v>158</v>
      </c>
      <c r="Y85">
        <v>22</v>
      </c>
      <c r="Z85">
        <v>58</v>
      </c>
      <c r="AA85">
        <v>3</v>
      </c>
      <c r="AB85">
        <v>7</v>
      </c>
      <c r="AC85">
        <v>140</v>
      </c>
      <c r="AD85">
        <v>3.2</v>
      </c>
      <c r="AE85">
        <v>7.7</v>
      </c>
      <c r="AF85" s="5">
        <v>0.48099999999999998</v>
      </c>
      <c r="AG85">
        <v>0.28899999999999998</v>
      </c>
      <c r="AH85">
        <v>1.3</v>
      </c>
      <c r="AI85">
        <v>4.24</v>
      </c>
      <c r="AJ85">
        <v>4.57</v>
      </c>
      <c r="AK85">
        <v>11.8</v>
      </c>
      <c r="AL85">
        <v>1.3</v>
      </c>
      <c r="AM85">
        <v>11</v>
      </c>
      <c r="AN85">
        <v>30</v>
      </c>
      <c r="AO85">
        <v>33</v>
      </c>
      <c r="AP85">
        <v>6</v>
      </c>
      <c r="AQ85" t="s">
        <v>2288</v>
      </c>
      <c r="AR85">
        <v>89</v>
      </c>
      <c r="AS85" t="s">
        <v>35</v>
      </c>
      <c r="AT85" t="s">
        <v>36</v>
      </c>
      <c r="AU85" s="4">
        <f>HYPERLINK("http://mlb.mlb.com/team/player.jsp?player_id=543699",543699)</f>
        <v>543699</v>
      </c>
      <c r="AV85">
        <v>1014</v>
      </c>
      <c r="AW85">
        <v>14</v>
      </c>
      <c r="AX85">
        <v>181.3</v>
      </c>
    </row>
    <row r="86" spans="1:50" x14ac:dyDescent="0.3">
      <c r="A86" s="4">
        <f>HYPERLINK("http://legacy.baseballprospectus.com/p/65947",65947)</f>
        <v>65947</v>
      </c>
      <c r="B86" t="s">
        <v>124</v>
      </c>
      <c r="C86" t="s">
        <v>258</v>
      </c>
      <c r="D86" s="10">
        <v>32872</v>
      </c>
      <c r="E86" t="s">
        <v>9</v>
      </c>
      <c r="F86" t="s">
        <v>9</v>
      </c>
      <c r="G86">
        <v>76</v>
      </c>
      <c r="H86">
        <v>210</v>
      </c>
      <c r="I86">
        <v>2018</v>
      </c>
      <c r="J86" s="4" t="str">
        <f>HYPERLINK("http://legacy.baseballprospectus.com/fantasy/dc/index.php?tm=COL","COL")</f>
        <v>COL</v>
      </c>
      <c r="K86" t="s">
        <v>100</v>
      </c>
      <c r="L86" t="s">
        <v>34</v>
      </c>
      <c r="M86">
        <v>28</v>
      </c>
      <c r="N86">
        <v>8.1999999999999993</v>
      </c>
      <c r="O86">
        <v>8.1999999999999993</v>
      </c>
      <c r="P86">
        <v>12</v>
      </c>
      <c r="Q86">
        <v>1</v>
      </c>
      <c r="R86">
        <v>0</v>
      </c>
      <c r="S86">
        <v>0</v>
      </c>
      <c r="T86">
        <v>23</v>
      </c>
      <c r="U86">
        <v>23</v>
      </c>
      <c r="V86" s="9">
        <v>138</v>
      </c>
      <c r="W86">
        <v>590</v>
      </c>
      <c r="X86">
        <v>135</v>
      </c>
      <c r="Y86">
        <v>20</v>
      </c>
      <c r="Z86">
        <v>48</v>
      </c>
      <c r="AA86">
        <v>2</v>
      </c>
      <c r="AB86">
        <v>4</v>
      </c>
      <c r="AC86">
        <v>129</v>
      </c>
      <c r="AD86">
        <v>3.2</v>
      </c>
      <c r="AE86">
        <v>8.4</v>
      </c>
      <c r="AF86" s="5">
        <v>0.46899999999999997</v>
      </c>
      <c r="AG86">
        <v>0.29799999999999999</v>
      </c>
      <c r="AH86">
        <v>1.34</v>
      </c>
      <c r="AI86">
        <v>4.24</v>
      </c>
      <c r="AJ86">
        <v>4.41</v>
      </c>
      <c r="AK86">
        <v>12.2</v>
      </c>
      <c r="AL86">
        <v>1.3</v>
      </c>
      <c r="AM86">
        <v>21</v>
      </c>
      <c r="AN86">
        <v>52</v>
      </c>
      <c r="AO86">
        <v>20</v>
      </c>
      <c r="AP86">
        <v>23</v>
      </c>
      <c r="AQ86" t="s">
        <v>2297</v>
      </c>
      <c r="AR86">
        <v>93</v>
      </c>
      <c r="AS86" t="s">
        <v>35</v>
      </c>
      <c r="AT86" t="s">
        <v>36</v>
      </c>
      <c r="AU86" s="4">
        <f>HYPERLINK("http://mlb.mlb.com/team/player.jsp?player_id=542881",542881)</f>
        <v>542881</v>
      </c>
      <c r="AV86">
        <v>1065</v>
      </c>
      <c r="AW86">
        <v>65</v>
      </c>
      <c r="AX86">
        <v>86</v>
      </c>
    </row>
    <row r="87" spans="1:50" x14ac:dyDescent="0.3">
      <c r="A87" s="4">
        <f>HYPERLINK("http://legacy.baseballprospectus.com/p/66064",66064)</f>
        <v>66064</v>
      </c>
      <c r="B87" t="s">
        <v>604</v>
      </c>
      <c r="C87" t="s">
        <v>483</v>
      </c>
      <c r="D87" s="10">
        <v>33424</v>
      </c>
      <c r="E87" t="s">
        <v>9</v>
      </c>
      <c r="F87" t="s">
        <v>9</v>
      </c>
      <c r="G87">
        <v>74</v>
      </c>
      <c r="H87">
        <v>210</v>
      </c>
      <c r="I87">
        <v>2018</v>
      </c>
      <c r="J87" s="4" t="str">
        <f>HYPERLINK("http://legacy.baseballprospectus.com/fantasy/dc/index.php?tm=PIT","PIT")</f>
        <v>PIT</v>
      </c>
      <c r="K87" t="s">
        <v>100</v>
      </c>
      <c r="L87" t="s">
        <v>34</v>
      </c>
      <c r="M87">
        <v>26</v>
      </c>
      <c r="N87">
        <v>3.3</v>
      </c>
      <c r="O87">
        <v>2.8</v>
      </c>
      <c r="P87">
        <v>0</v>
      </c>
      <c r="Q87">
        <v>0</v>
      </c>
      <c r="R87">
        <v>26</v>
      </c>
      <c r="S87">
        <v>4</v>
      </c>
      <c r="T87">
        <v>61</v>
      </c>
      <c r="U87">
        <v>0</v>
      </c>
      <c r="V87" s="9">
        <v>64.666700000000006</v>
      </c>
      <c r="W87">
        <v>268</v>
      </c>
      <c r="X87">
        <v>52</v>
      </c>
      <c r="Y87">
        <v>4</v>
      </c>
      <c r="Z87">
        <v>23</v>
      </c>
      <c r="AA87">
        <v>2</v>
      </c>
      <c r="AB87">
        <v>3</v>
      </c>
      <c r="AC87">
        <v>72</v>
      </c>
      <c r="AD87">
        <v>3.3</v>
      </c>
      <c r="AE87">
        <v>10</v>
      </c>
      <c r="AF87" s="5">
        <v>0.48299999999999998</v>
      </c>
      <c r="AG87">
        <v>0.28999999999999998</v>
      </c>
      <c r="AH87">
        <v>1.1599999999999999</v>
      </c>
      <c r="AI87">
        <v>2.71</v>
      </c>
      <c r="AJ87">
        <v>3.18</v>
      </c>
      <c r="AK87">
        <v>12.1</v>
      </c>
      <c r="AL87">
        <v>1.3</v>
      </c>
      <c r="AM87">
        <v>35</v>
      </c>
      <c r="AN87">
        <v>57</v>
      </c>
      <c r="AO87">
        <v>27</v>
      </c>
      <c r="AP87">
        <v>9</v>
      </c>
      <c r="AQ87" t="s">
        <v>2328</v>
      </c>
      <c r="AR87">
        <v>87</v>
      </c>
      <c r="AS87" t="s">
        <v>35</v>
      </c>
      <c r="AT87" t="s">
        <v>36</v>
      </c>
      <c r="AU87" s="4">
        <f>HYPERLINK("http://mlb.mlb.com/team/player.jsp?player_id=553878",553878)</f>
        <v>553878</v>
      </c>
      <c r="AV87">
        <v>1240</v>
      </c>
      <c r="AW87">
        <v>240</v>
      </c>
      <c r="AX87">
        <v>75.3</v>
      </c>
    </row>
    <row r="88" spans="1:50" x14ac:dyDescent="0.3">
      <c r="A88" s="4">
        <f>HYPERLINK("http://legacy.baseballprospectus.com/p/71343",71343)</f>
        <v>71343</v>
      </c>
      <c r="B88" t="s">
        <v>2430</v>
      </c>
      <c r="C88" t="s">
        <v>269</v>
      </c>
      <c r="D88" s="10">
        <v>33484</v>
      </c>
      <c r="E88" t="s">
        <v>33</v>
      </c>
      <c r="F88" t="s">
        <v>33</v>
      </c>
      <c r="G88">
        <v>75</v>
      </c>
      <c r="H88">
        <v>170</v>
      </c>
      <c r="I88">
        <v>2018</v>
      </c>
      <c r="J88" s="4" t="str">
        <f>HYPERLINK("http://legacy.baseballprospectus.com/fantasy/dc/index.php?tm=CHN","CHN")</f>
        <v>CHN</v>
      </c>
      <c r="K88" t="s">
        <v>100</v>
      </c>
      <c r="L88" t="s">
        <v>34</v>
      </c>
      <c r="M88">
        <v>26</v>
      </c>
      <c r="N88">
        <v>3</v>
      </c>
      <c r="O88">
        <v>2.2999999999999998</v>
      </c>
      <c r="P88">
        <v>0</v>
      </c>
      <c r="Q88">
        <v>0</v>
      </c>
      <c r="R88">
        <v>5</v>
      </c>
      <c r="S88">
        <v>4</v>
      </c>
      <c r="T88">
        <v>53</v>
      </c>
      <c r="U88">
        <v>0</v>
      </c>
      <c r="V88" s="9">
        <v>56.333300000000001</v>
      </c>
      <c r="W88">
        <v>231</v>
      </c>
      <c r="X88">
        <v>37</v>
      </c>
      <c r="Y88">
        <v>5</v>
      </c>
      <c r="Z88">
        <v>28</v>
      </c>
      <c r="AA88">
        <v>2</v>
      </c>
      <c r="AB88">
        <v>3</v>
      </c>
      <c r="AC88">
        <v>80</v>
      </c>
      <c r="AD88">
        <v>4.4000000000000004</v>
      </c>
      <c r="AE88">
        <v>12.8</v>
      </c>
      <c r="AF88" s="5">
        <v>0.46200000000000002</v>
      </c>
      <c r="AG88">
        <v>0.27700000000000002</v>
      </c>
      <c r="AH88">
        <v>1.1299999999999999</v>
      </c>
      <c r="AI88">
        <v>2.73</v>
      </c>
      <c r="AJ88">
        <v>3.03</v>
      </c>
      <c r="AK88">
        <v>11.5</v>
      </c>
      <c r="AL88">
        <v>1.3</v>
      </c>
      <c r="AM88">
        <v>39</v>
      </c>
      <c r="AN88">
        <v>55</v>
      </c>
      <c r="AO88">
        <v>28</v>
      </c>
      <c r="AP88">
        <v>15</v>
      </c>
      <c r="AQ88" t="s">
        <v>2431</v>
      </c>
      <c r="AR88">
        <v>91</v>
      </c>
      <c r="AS88" t="s">
        <v>35</v>
      </c>
      <c r="AT88" t="s">
        <v>36</v>
      </c>
      <c r="AU88" s="4">
        <f>HYPERLINK("http://mlb.mlb.com/team/player.jsp?player_id=605218",605218)</f>
        <v>605218</v>
      </c>
      <c r="AV88">
        <v>1253</v>
      </c>
      <c r="AW88">
        <v>253</v>
      </c>
      <c r="AX88">
        <v>66.3</v>
      </c>
    </row>
    <row r="89" spans="1:50" x14ac:dyDescent="0.3">
      <c r="A89" s="4">
        <f>HYPERLINK("http://legacy.baseballprospectus.com/p/100261",100261)</f>
        <v>100261</v>
      </c>
      <c r="B89" t="s">
        <v>1317</v>
      </c>
      <c r="C89" t="s">
        <v>311</v>
      </c>
      <c r="D89" s="10">
        <v>34529</v>
      </c>
      <c r="E89" t="s">
        <v>33</v>
      </c>
      <c r="F89" t="s">
        <v>33</v>
      </c>
      <c r="G89">
        <v>78</v>
      </c>
      <c r="H89">
        <v>255</v>
      </c>
      <c r="I89">
        <v>2018</v>
      </c>
      <c r="J89" s="4" t="str">
        <f>HYPERLINK("http://legacy.baseballprospectus.com/fantasy/dc/index.php?tm=CHA","CHA")</f>
        <v>CHA</v>
      </c>
      <c r="K89" t="s">
        <v>95</v>
      </c>
      <c r="L89" t="s">
        <v>34</v>
      </c>
      <c r="M89">
        <v>23</v>
      </c>
      <c r="N89">
        <v>8.5</v>
      </c>
      <c r="O89">
        <v>10.1</v>
      </c>
      <c r="P89">
        <v>12</v>
      </c>
      <c r="Q89">
        <v>0</v>
      </c>
      <c r="R89">
        <v>0</v>
      </c>
      <c r="S89">
        <v>0</v>
      </c>
      <c r="T89">
        <v>27</v>
      </c>
      <c r="U89">
        <v>27</v>
      </c>
      <c r="V89" s="9">
        <v>154</v>
      </c>
      <c r="W89">
        <v>670</v>
      </c>
      <c r="X89">
        <v>148</v>
      </c>
      <c r="Y89">
        <v>25</v>
      </c>
      <c r="Z89">
        <v>65</v>
      </c>
      <c r="AA89">
        <v>3</v>
      </c>
      <c r="AB89">
        <v>7</v>
      </c>
      <c r="AC89">
        <v>157</v>
      </c>
      <c r="AD89">
        <v>3.8</v>
      </c>
      <c r="AE89">
        <v>9.1999999999999993</v>
      </c>
      <c r="AF89" s="5">
        <v>0.46500000000000002</v>
      </c>
      <c r="AG89">
        <v>0.29399999999999998</v>
      </c>
      <c r="AH89">
        <v>1.38</v>
      </c>
      <c r="AI89">
        <v>4.5</v>
      </c>
      <c r="AJ89">
        <v>4.79</v>
      </c>
      <c r="AK89">
        <v>11.8</v>
      </c>
      <c r="AL89">
        <v>1.3</v>
      </c>
      <c r="AM89">
        <v>27</v>
      </c>
      <c r="AN89">
        <v>47</v>
      </c>
      <c r="AO89">
        <v>10</v>
      </c>
      <c r="AP89">
        <v>26</v>
      </c>
      <c r="AQ89" t="s">
        <v>2379</v>
      </c>
      <c r="AR89">
        <v>69</v>
      </c>
      <c r="AS89" t="s">
        <v>35</v>
      </c>
      <c r="AT89" t="s">
        <v>36</v>
      </c>
      <c r="AU89" s="4">
        <f>HYPERLINK("http://mlb.mlb.com/team/player.jsp?player_id=608337",608337)</f>
        <v>608337</v>
      </c>
      <c r="AV89">
        <v>86</v>
      </c>
      <c r="AW89">
        <v>1086</v>
      </c>
      <c r="AX89">
        <v>45.3</v>
      </c>
    </row>
    <row r="90" spans="1:50" x14ac:dyDescent="0.3">
      <c r="A90" s="4">
        <f>HYPERLINK("http://legacy.baseballprospectus.com/p/100572",100572)</f>
        <v>100572</v>
      </c>
      <c r="B90" t="s">
        <v>298</v>
      </c>
      <c r="C90" t="s">
        <v>323</v>
      </c>
      <c r="D90" s="10">
        <v>34415</v>
      </c>
      <c r="E90" t="s">
        <v>33</v>
      </c>
      <c r="F90" t="s">
        <v>33</v>
      </c>
      <c r="G90">
        <v>75</v>
      </c>
      <c r="H90">
        <v>165</v>
      </c>
      <c r="I90">
        <v>2018</v>
      </c>
      <c r="J90" s="4" t="str">
        <f>HYPERLINK("http://legacy.baseballprospectus.com/fantasy/dc/index.php?tm=SEA","SEA")</f>
        <v>SEA</v>
      </c>
      <c r="K90" t="s">
        <v>95</v>
      </c>
      <c r="L90" t="s">
        <v>34</v>
      </c>
      <c r="M90">
        <v>24</v>
      </c>
      <c r="N90">
        <v>2.7</v>
      </c>
      <c r="O90">
        <v>2.2999999999999998</v>
      </c>
      <c r="P90">
        <v>0</v>
      </c>
      <c r="Q90">
        <v>0</v>
      </c>
      <c r="R90">
        <v>28</v>
      </c>
      <c r="S90">
        <v>3</v>
      </c>
      <c r="T90">
        <v>50</v>
      </c>
      <c r="U90">
        <v>0</v>
      </c>
      <c r="V90" s="9">
        <v>52.666699999999999</v>
      </c>
      <c r="W90">
        <v>216</v>
      </c>
      <c r="X90">
        <v>39</v>
      </c>
      <c r="Y90">
        <v>6</v>
      </c>
      <c r="Z90">
        <v>20</v>
      </c>
      <c r="AA90">
        <v>2</v>
      </c>
      <c r="AB90">
        <v>2</v>
      </c>
      <c r="AC90">
        <v>74</v>
      </c>
      <c r="AD90">
        <v>3.4</v>
      </c>
      <c r="AE90">
        <v>12.6</v>
      </c>
      <c r="AF90" s="5">
        <v>0.44</v>
      </c>
      <c r="AG90">
        <v>0.29199999999999998</v>
      </c>
      <c r="AH90">
        <v>1.1200000000000001</v>
      </c>
      <c r="AI90">
        <v>2.63</v>
      </c>
      <c r="AJ90">
        <v>3.12</v>
      </c>
      <c r="AK90">
        <v>11.6</v>
      </c>
      <c r="AL90">
        <v>1.3</v>
      </c>
      <c r="AM90">
        <v>27</v>
      </c>
      <c r="AN90">
        <v>67</v>
      </c>
      <c r="AO90">
        <v>11</v>
      </c>
      <c r="AP90">
        <v>13</v>
      </c>
      <c r="AQ90" t="s">
        <v>2354</v>
      </c>
      <c r="AR90">
        <v>93</v>
      </c>
      <c r="AS90" t="s">
        <v>35</v>
      </c>
      <c r="AT90" t="s">
        <v>36</v>
      </c>
      <c r="AU90" s="4">
        <f>HYPERLINK("http://mlb.mlb.com/team/player.jsp?player_id=621242",621242)</f>
        <v>621242</v>
      </c>
      <c r="AV90">
        <v>242</v>
      </c>
      <c r="AW90">
        <v>1242</v>
      </c>
      <c r="AX90">
        <v>66</v>
      </c>
    </row>
    <row r="91" spans="1:50" x14ac:dyDescent="0.3">
      <c r="A91" s="4">
        <f>HYPERLINK("http://legacy.baseballprospectus.com/p/102254",102254)</f>
        <v>102254</v>
      </c>
      <c r="B91" t="s">
        <v>1792</v>
      </c>
      <c r="C91" t="s">
        <v>1793</v>
      </c>
      <c r="D91" s="10">
        <v>32244</v>
      </c>
      <c r="E91" t="s">
        <v>33</v>
      </c>
      <c r="F91" t="s">
        <v>33</v>
      </c>
      <c r="G91">
        <v>73</v>
      </c>
      <c r="H91">
        <v>175</v>
      </c>
      <c r="I91">
        <v>2018</v>
      </c>
      <c r="J91" s="4" t="str">
        <f>HYPERLINK("http://legacy.baseballprospectus.com/fantasy/dc/index.php?tm=LAN","LAN")</f>
        <v>LAN</v>
      </c>
      <c r="K91" t="s">
        <v>100</v>
      </c>
      <c r="L91" t="s">
        <v>34</v>
      </c>
      <c r="M91">
        <v>30</v>
      </c>
      <c r="N91">
        <v>9.1999999999999993</v>
      </c>
      <c r="O91">
        <v>6.5</v>
      </c>
      <c r="P91">
        <v>12</v>
      </c>
      <c r="Q91">
        <v>0</v>
      </c>
      <c r="R91">
        <v>0</v>
      </c>
      <c r="S91">
        <v>0</v>
      </c>
      <c r="T91">
        <v>24</v>
      </c>
      <c r="U91">
        <v>24</v>
      </c>
      <c r="V91" s="9">
        <v>127.33329999999999</v>
      </c>
      <c r="W91">
        <v>532</v>
      </c>
      <c r="X91">
        <v>115</v>
      </c>
      <c r="Y91">
        <v>18</v>
      </c>
      <c r="Z91">
        <v>41</v>
      </c>
      <c r="AA91">
        <v>3</v>
      </c>
      <c r="AB91">
        <v>5</v>
      </c>
      <c r="AC91">
        <v>129</v>
      </c>
      <c r="AD91">
        <v>2.9</v>
      </c>
      <c r="AE91">
        <v>9.1999999999999993</v>
      </c>
      <c r="AF91" s="5">
        <v>0.42499999999999999</v>
      </c>
      <c r="AG91">
        <v>0.28699999999999998</v>
      </c>
      <c r="AH91">
        <v>1.21</v>
      </c>
      <c r="AI91">
        <v>3.85</v>
      </c>
      <c r="AJ91">
        <v>4.37</v>
      </c>
      <c r="AK91">
        <v>11.8</v>
      </c>
      <c r="AL91">
        <v>1.3</v>
      </c>
      <c r="AM91">
        <v>9</v>
      </c>
      <c r="AN91">
        <v>37</v>
      </c>
      <c r="AO91">
        <v>31</v>
      </c>
      <c r="AP91">
        <v>10</v>
      </c>
      <c r="AQ91" t="s">
        <v>2314</v>
      </c>
      <c r="AR91">
        <v>96</v>
      </c>
      <c r="AS91" t="s">
        <v>35</v>
      </c>
      <c r="AT91" t="s">
        <v>36</v>
      </c>
      <c r="AU91" s="4">
        <f>HYPERLINK("http://mlb.mlb.com/team/player.jsp?player_id=628317",628317)</f>
        <v>628317</v>
      </c>
      <c r="AV91">
        <v>1039</v>
      </c>
      <c r="AW91">
        <v>39</v>
      </c>
      <c r="AX91">
        <v>134.30000000000001</v>
      </c>
    </row>
    <row r="92" spans="1:50" x14ac:dyDescent="0.3">
      <c r="A92" s="4">
        <f>HYPERLINK("http://legacy.baseballprospectus.com/p/47360",47360)</f>
        <v>47360</v>
      </c>
      <c r="B92" t="s">
        <v>284</v>
      </c>
      <c r="C92" t="s">
        <v>363</v>
      </c>
      <c r="D92" s="10">
        <v>31297</v>
      </c>
      <c r="E92" t="s">
        <v>33</v>
      </c>
      <c r="F92" t="s">
        <v>33</v>
      </c>
      <c r="G92">
        <v>77</v>
      </c>
      <c r="H92">
        <v>225</v>
      </c>
      <c r="I92">
        <v>2018</v>
      </c>
      <c r="J92" s="4" t="str">
        <f>HYPERLINK("http://legacy.baseballprospectus.com/fantasy/dc/index.php?tm=COL","COL")</f>
        <v>COL</v>
      </c>
      <c r="K92" t="s">
        <v>100</v>
      </c>
      <c r="L92" t="s">
        <v>34</v>
      </c>
      <c r="M92">
        <v>32</v>
      </c>
      <c r="N92">
        <v>3.1</v>
      </c>
      <c r="O92">
        <v>2.7</v>
      </c>
      <c r="P92">
        <v>0</v>
      </c>
      <c r="Q92">
        <v>0</v>
      </c>
      <c r="R92">
        <v>35</v>
      </c>
      <c r="S92">
        <v>4</v>
      </c>
      <c r="T92">
        <v>57</v>
      </c>
      <c r="U92">
        <v>0</v>
      </c>
      <c r="V92" s="9">
        <v>60.666699999999999</v>
      </c>
      <c r="W92">
        <v>258</v>
      </c>
      <c r="X92">
        <v>51</v>
      </c>
      <c r="Y92">
        <v>5</v>
      </c>
      <c r="Z92">
        <v>26</v>
      </c>
      <c r="AA92">
        <v>2</v>
      </c>
      <c r="AB92">
        <v>3</v>
      </c>
      <c r="AC92">
        <v>72</v>
      </c>
      <c r="AD92">
        <v>3.9</v>
      </c>
      <c r="AE92">
        <v>10.7</v>
      </c>
      <c r="AF92" s="5">
        <v>0.434</v>
      </c>
      <c r="AG92">
        <v>0.30299999999999999</v>
      </c>
      <c r="AH92">
        <v>1.28</v>
      </c>
      <c r="AI92">
        <v>2.98</v>
      </c>
      <c r="AJ92">
        <v>3.31</v>
      </c>
      <c r="AK92">
        <v>10.6</v>
      </c>
      <c r="AL92">
        <v>1.2</v>
      </c>
      <c r="AM92">
        <v>17</v>
      </c>
      <c r="AN92">
        <v>34</v>
      </c>
      <c r="AO92">
        <v>24</v>
      </c>
      <c r="AP92">
        <v>7</v>
      </c>
      <c r="AQ92" t="s">
        <v>2393</v>
      </c>
      <c r="AR92">
        <v>92</v>
      </c>
      <c r="AS92" t="s">
        <v>35</v>
      </c>
      <c r="AT92" t="s">
        <v>36</v>
      </c>
      <c r="AU92" s="4">
        <f>HYPERLINK("http://mlb.mlb.com/team/player.jsp?player_id=451584",451584)</f>
        <v>451584</v>
      </c>
      <c r="AV92">
        <v>1269</v>
      </c>
      <c r="AW92">
        <v>269</v>
      </c>
      <c r="AX92">
        <v>58.7</v>
      </c>
    </row>
    <row r="93" spans="1:50" x14ac:dyDescent="0.3">
      <c r="A93" s="4">
        <f>HYPERLINK("http://legacy.baseballprospectus.com/p/48674",48674)</f>
        <v>48674</v>
      </c>
      <c r="B93" t="s">
        <v>917</v>
      </c>
      <c r="C93" t="s">
        <v>726</v>
      </c>
      <c r="D93" s="10">
        <v>30571</v>
      </c>
      <c r="E93" t="s">
        <v>9</v>
      </c>
      <c r="F93" t="s">
        <v>9</v>
      </c>
      <c r="G93">
        <v>77</v>
      </c>
      <c r="H93">
        <v>240</v>
      </c>
      <c r="I93">
        <v>2018</v>
      </c>
      <c r="J93" s="4" t="str">
        <f>HYPERLINK("http://legacy.baseballprospectus.com/fantasy/dc/index.php?tm=SDN","SDN")</f>
        <v>SDN</v>
      </c>
      <c r="K93" t="s">
        <v>100</v>
      </c>
      <c r="L93" t="s">
        <v>34</v>
      </c>
      <c r="M93">
        <v>34</v>
      </c>
      <c r="N93">
        <v>7.9</v>
      </c>
      <c r="O93">
        <v>9.9</v>
      </c>
      <c r="P93">
        <v>13</v>
      </c>
      <c r="Q93">
        <v>0</v>
      </c>
      <c r="R93">
        <v>0</v>
      </c>
      <c r="S93">
        <v>0</v>
      </c>
      <c r="T93">
        <v>26</v>
      </c>
      <c r="U93">
        <v>26</v>
      </c>
      <c r="V93" s="9">
        <v>148.33330000000001</v>
      </c>
      <c r="W93">
        <v>640</v>
      </c>
      <c r="X93">
        <v>151</v>
      </c>
      <c r="Y93">
        <v>15</v>
      </c>
      <c r="Z93">
        <v>54</v>
      </c>
      <c r="AA93">
        <v>3</v>
      </c>
      <c r="AB93">
        <v>6</v>
      </c>
      <c r="AC93">
        <v>114</v>
      </c>
      <c r="AD93">
        <v>3.3</v>
      </c>
      <c r="AE93">
        <v>6.9</v>
      </c>
      <c r="AF93" s="5">
        <v>0.56299999999999994</v>
      </c>
      <c r="AG93">
        <v>0.30199999999999999</v>
      </c>
      <c r="AH93">
        <v>1.4</v>
      </c>
      <c r="AI93">
        <v>4.0599999999999996</v>
      </c>
      <c r="AJ93">
        <v>4.5599999999999996</v>
      </c>
      <c r="AK93">
        <v>10.8</v>
      </c>
      <c r="AL93">
        <v>1.2</v>
      </c>
      <c r="AM93">
        <v>8</v>
      </c>
      <c r="AN93">
        <v>36</v>
      </c>
      <c r="AO93">
        <v>23</v>
      </c>
      <c r="AP93">
        <v>16</v>
      </c>
      <c r="AQ93" t="s">
        <v>2318</v>
      </c>
      <c r="AR93">
        <v>77</v>
      </c>
      <c r="AS93" t="s">
        <v>35</v>
      </c>
      <c r="AT93" t="s">
        <v>36</v>
      </c>
      <c r="AU93" s="4">
        <f>HYPERLINK("http://mlb.mlb.com/team/player.jsp?player_id=453385",453385)</f>
        <v>453385</v>
      </c>
      <c r="AV93">
        <v>1007</v>
      </c>
      <c r="AW93">
        <v>7</v>
      </c>
      <c r="AX93">
        <v>197.3</v>
      </c>
    </row>
    <row r="94" spans="1:50" x14ac:dyDescent="0.3">
      <c r="A94" s="4">
        <f>HYPERLINK("http://legacy.baseballprospectus.com/p/52254",52254)</f>
        <v>52254</v>
      </c>
      <c r="B94" t="s">
        <v>359</v>
      </c>
      <c r="C94" t="s">
        <v>803</v>
      </c>
      <c r="D94" s="10">
        <v>31601</v>
      </c>
      <c r="E94" t="s">
        <v>9</v>
      </c>
      <c r="F94" t="s">
        <v>9</v>
      </c>
      <c r="G94">
        <v>74</v>
      </c>
      <c r="H94">
        <v>215</v>
      </c>
      <c r="I94">
        <v>2018</v>
      </c>
      <c r="J94" s="4" t="str">
        <f>HYPERLINK("http://legacy.baseballprospectus.com/fantasy/dc/index.php?tm=TOR","TOR")</f>
        <v>TOR</v>
      </c>
      <c r="K94" t="s">
        <v>95</v>
      </c>
      <c r="L94" t="s">
        <v>34</v>
      </c>
      <c r="M94">
        <v>31</v>
      </c>
      <c r="N94">
        <v>6.7</v>
      </c>
      <c r="O94">
        <v>6.3</v>
      </c>
      <c r="P94">
        <v>10</v>
      </c>
      <c r="Q94">
        <v>0</v>
      </c>
      <c r="R94">
        <v>0</v>
      </c>
      <c r="S94">
        <v>0</v>
      </c>
      <c r="T94">
        <v>20</v>
      </c>
      <c r="U94">
        <v>20</v>
      </c>
      <c r="V94" s="9">
        <v>106</v>
      </c>
      <c r="W94">
        <v>456</v>
      </c>
      <c r="X94">
        <v>104</v>
      </c>
      <c r="Y94">
        <v>12</v>
      </c>
      <c r="Z94">
        <v>41</v>
      </c>
      <c r="AA94">
        <v>2</v>
      </c>
      <c r="AB94">
        <v>4</v>
      </c>
      <c r="AC94">
        <v>84</v>
      </c>
      <c r="AD94">
        <v>3.4</v>
      </c>
      <c r="AE94">
        <v>7.2</v>
      </c>
      <c r="AF94" s="5">
        <v>0.54300000000000004</v>
      </c>
      <c r="AG94">
        <v>0.29499999999999998</v>
      </c>
      <c r="AH94">
        <v>1.38</v>
      </c>
      <c r="AI94">
        <v>4.1399999999999997</v>
      </c>
      <c r="AJ94">
        <v>4.51</v>
      </c>
      <c r="AK94">
        <v>11.2</v>
      </c>
      <c r="AL94">
        <v>1.2</v>
      </c>
      <c r="AM94">
        <v>15</v>
      </c>
      <c r="AN94">
        <v>55</v>
      </c>
      <c r="AO94">
        <v>20</v>
      </c>
      <c r="AP94">
        <v>12</v>
      </c>
      <c r="AQ94" t="s">
        <v>2298</v>
      </c>
      <c r="AR94">
        <v>94</v>
      </c>
      <c r="AS94" t="s">
        <v>35</v>
      </c>
      <c r="AT94" t="s">
        <v>36</v>
      </c>
      <c r="AU94" s="4">
        <f>HYPERLINK("http://mlb.mlb.com/team/player.jsp?player_id=448802",448802)</f>
        <v>448802</v>
      </c>
      <c r="AV94">
        <v>0</v>
      </c>
      <c r="AW94">
        <v>0</v>
      </c>
      <c r="AX94">
        <v>157</v>
      </c>
    </row>
    <row r="95" spans="1:50" x14ac:dyDescent="0.3">
      <c r="A95" s="4">
        <f>HYPERLINK("http://legacy.baseballprospectus.com/p/57745",57745)</f>
        <v>57745</v>
      </c>
      <c r="B95" t="s">
        <v>911</v>
      </c>
      <c r="C95" t="s">
        <v>130</v>
      </c>
      <c r="D95" s="10">
        <v>32504</v>
      </c>
      <c r="E95" t="s">
        <v>33</v>
      </c>
      <c r="F95" t="s">
        <v>33</v>
      </c>
      <c r="G95">
        <v>77</v>
      </c>
      <c r="H95">
        <v>205</v>
      </c>
      <c r="I95">
        <v>2018</v>
      </c>
      <c r="J95" s="4" t="str">
        <f>HYPERLINK("http://legacy.baseballprospectus.com/fantasy/dc/index.php?tm=BOS","BOS")</f>
        <v>BOS</v>
      </c>
      <c r="K95" t="s">
        <v>95</v>
      </c>
      <c r="L95" t="s">
        <v>34</v>
      </c>
      <c r="M95">
        <v>29</v>
      </c>
      <c r="N95">
        <v>11.6</v>
      </c>
      <c r="O95">
        <v>10.199999999999999</v>
      </c>
      <c r="P95">
        <v>13</v>
      </c>
      <c r="Q95">
        <v>0</v>
      </c>
      <c r="R95">
        <v>0</v>
      </c>
      <c r="S95">
        <v>0</v>
      </c>
      <c r="T95">
        <v>30</v>
      </c>
      <c r="U95">
        <v>30</v>
      </c>
      <c r="V95" s="9">
        <v>180</v>
      </c>
      <c r="W95">
        <v>771</v>
      </c>
      <c r="X95">
        <v>188</v>
      </c>
      <c r="Y95">
        <v>27</v>
      </c>
      <c r="Z95">
        <v>53</v>
      </c>
      <c r="AA95">
        <v>3</v>
      </c>
      <c r="AB95">
        <v>7</v>
      </c>
      <c r="AC95">
        <v>150</v>
      </c>
      <c r="AD95">
        <v>2.6</v>
      </c>
      <c r="AE95">
        <v>7.5</v>
      </c>
      <c r="AF95" s="5">
        <v>0.432</v>
      </c>
      <c r="AG95">
        <v>0.30199999999999999</v>
      </c>
      <c r="AH95">
        <v>1.36</v>
      </c>
      <c r="AI95">
        <v>4.3</v>
      </c>
      <c r="AJ95">
        <v>4.9400000000000004</v>
      </c>
      <c r="AK95">
        <v>11</v>
      </c>
      <c r="AL95">
        <v>1.2</v>
      </c>
      <c r="AM95">
        <v>10</v>
      </c>
      <c r="AN95">
        <v>37</v>
      </c>
      <c r="AO95">
        <v>22</v>
      </c>
      <c r="AP95">
        <v>6</v>
      </c>
      <c r="AQ95" t="s">
        <v>2286</v>
      </c>
      <c r="AR95">
        <v>97</v>
      </c>
      <c r="AS95" t="s">
        <v>35</v>
      </c>
      <c r="AT95" t="s">
        <v>36</v>
      </c>
      <c r="AU95" s="4">
        <f>HYPERLINK("http://mlb.mlb.com/team/player.jsp?player_id=519144",519144)</f>
        <v>519144</v>
      </c>
      <c r="AV95">
        <v>5</v>
      </c>
      <c r="AW95">
        <v>1005</v>
      </c>
      <c r="AX95">
        <v>203.3</v>
      </c>
    </row>
    <row r="96" spans="1:50" x14ac:dyDescent="0.3">
      <c r="A96" s="4">
        <f>HYPERLINK("http://legacy.baseballprospectus.com/p/59266",59266)</f>
        <v>59266</v>
      </c>
      <c r="B96" t="s">
        <v>884</v>
      </c>
      <c r="C96" t="s">
        <v>142</v>
      </c>
      <c r="D96" s="10">
        <v>32137</v>
      </c>
      <c r="E96" t="s">
        <v>33</v>
      </c>
      <c r="F96" t="s">
        <v>9</v>
      </c>
      <c r="G96">
        <v>76</v>
      </c>
      <c r="H96">
        <v>210</v>
      </c>
      <c r="I96">
        <v>2018</v>
      </c>
      <c r="J96" s="4" t="str">
        <f>HYPERLINK("http://legacy.baseballprospectus.com/fantasy/dc/index.php?tm=TEX","TEX")</f>
        <v>TEX</v>
      </c>
      <c r="K96" t="s">
        <v>95</v>
      </c>
      <c r="L96" t="s">
        <v>34</v>
      </c>
      <c r="M96">
        <v>30</v>
      </c>
      <c r="N96">
        <v>6.4</v>
      </c>
      <c r="O96">
        <v>6.9</v>
      </c>
      <c r="P96">
        <v>9</v>
      </c>
      <c r="Q96">
        <v>0</v>
      </c>
      <c r="R96">
        <v>0</v>
      </c>
      <c r="S96">
        <v>0</v>
      </c>
      <c r="T96">
        <v>38</v>
      </c>
      <c r="U96">
        <v>18</v>
      </c>
      <c r="V96" s="9">
        <v>111</v>
      </c>
      <c r="W96">
        <v>482</v>
      </c>
      <c r="X96">
        <v>107</v>
      </c>
      <c r="Y96">
        <v>17</v>
      </c>
      <c r="Z96">
        <v>47</v>
      </c>
      <c r="AA96">
        <v>2</v>
      </c>
      <c r="AB96">
        <v>4</v>
      </c>
      <c r="AC96">
        <v>112</v>
      </c>
      <c r="AD96">
        <v>3.8</v>
      </c>
      <c r="AE96">
        <v>9.1</v>
      </c>
      <c r="AF96" s="5">
        <v>0.41499999999999998</v>
      </c>
      <c r="AG96">
        <v>0.29599999999999999</v>
      </c>
      <c r="AH96">
        <v>1.39</v>
      </c>
      <c r="AI96">
        <v>4.58</v>
      </c>
      <c r="AJ96">
        <v>4.5599999999999996</v>
      </c>
      <c r="AK96">
        <v>10.6</v>
      </c>
      <c r="AL96">
        <v>1.2</v>
      </c>
      <c r="AM96">
        <v>13</v>
      </c>
      <c r="AN96">
        <v>42</v>
      </c>
      <c r="AO96">
        <v>22</v>
      </c>
      <c r="AP96">
        <v>7</v>
      </c>
      <c r="AQ96" t="s">
        <v>2366</v>
      </c>
      <c r="AR96">
        <v>93</v>
      </c>
      <c r="AS96" t="s">
        <v>35</v>
      </c>
      <c r="AT96" t="s">
        <v>36</v>
      </c>
      <c r="AU96" s="4">
        <f>HYPERLINK("http://mlb.mlb.com/team/player.jsp?player_id=501985",501985)</f>
        <v>501985</v>
      </c>
      <c r="AV96">
        <v>65</v>
      </c>
      <c r="AW96">
        <v>1065</v>
      </c>
      <c r="AX96">
        <v>77.7</v>
      </c>
    </row>
    <row r="97" spans="1:50" x14ac:dyDescent="0.3">
      <c r="A97" s="4">
        <f>HYPERLINK("http://legacy.baseballprospectus.com/p/59304",59304)</f>
        <v>59304</v>
      </c>
      <c r="B97" t="s">
        <v>124</v>
      </c>
      <c r="C97" t="s">
        <v>138</v>
      </c>
      <c r="D97" s="10">
        <v>32111</v>
      </c>
      <c r="E97" t="s">
        <v>33</v>
      </c>
      <c r="F97" t="s">
        <v>33</v>
      </c>
      <c r="G97">
        <v>73</v>
      </c>
      <c r="H97">
        <v>200</v>
      </c>
      <c r="I97">
        <v>2018</v>
      </c>
      <c r="J97" s="4" t="str">
        <f>HYPERLINK("http://legacy.baseballprospectus.com/fantasy/dc/index.php?tm=MIL","MIL")</f>
        <v>MIL</v>
      </c>
      <c r="K97" t="s">
        <v>100</v>
      </c>
      <c r="L97" t="s">
        <v>34</v>
      </c>
      <c r="M97">
        <v>30</v>
      </c>
      <c r="N97">
        <v>10.1</v>
      </c>
      <c r="O97">
        <v>9.4</v>
      </c>
      <c r="P97">
        <v>13</v>
      </c>
      <c r="Q97">
        <v>1</v>
      </c>
      <c r="R97">
        <v>0</v>
      </c>
      <c r="S97">
        <v>0</v>
      </c>
      <c r="T97">
        <v>27</v>
      </c>
      <c r="U97">
        <v>27</v>
      </c>
      <c r="V97" s="9">
        <v>162</v>
      </c>
      <c r="W97">
        <v>689</v>
      </c>
      <c r="X97">
        <v>156</v>
      </c>
      <c r="Y97">
        <v>23</v>
      </c>
      <c r="Z97">
        <v>55</v>
      </c>
      <c r="AA97">
        <v>2</v>
      </c>
      <c r="AB97">
        <v>7</v>
      </c>
      <c r="AC97">
        <v>146</v>
      </c>
      <c r="AD97">
        <v>3.1</v>
      </c>
      <c r="AE97">
        <v>8.1</v>
      </c>
      <c r="AF97" s="5">
        <v>0.41799999999999998</v>
      </c>
      <c r="AG97">
        <v>0.28999999999999998</v>
      </c>
      <c r="AH97">
        <v>1.29</v>
      </c>
      <c r="AI97">
        <v>4.29</v>
      </c>
      <c r="AJ97">
        <v>4.59</v>
      </c>
      <c r="AK97">
        <v>11.2</v>
      </c>
      <c r="AL97">
        <v>1.2</v>
      </c>
      <c r="AM97">
        <v>12</v>
      </c>
      <c r="AN97">
        <v>36</v>
      </c>
      <c r="AO97">
        <v>26</v>
      </c>
      <c r="AP97">
        <v>12</v>
      </c>
      <c r="AQ97" t="s">
        <v>2323</v>
      </c>
      <c r="AR97">
        <v>85</v>
      </c>
      <c r="AS97" t="s">
        <v>35</v>
      </c>
      <c r="AT97" t="s">
        <v>36</v>
      </c>
      <c r="AU97" s="4">
        <f>HYPERLINK("http://mlb.mlb.com/team/player.jsp?player_id=502624",502624)</f>
        <v>502624</v>
      </c>
      <c r="AV97">
        <v>1035</v>
      </c>
      <c r="AW97">
        <v>35</v>
      </c>
      <c r="AX97">
        <v>141.30000000000001</v>
      </c>
    </row>
    <row r="98" spans="1:50" x14ac:dyDescent="0.3">
      <c r="A98" s="4">
        <f>HYPERLINK("http://legacy.baseballprospectus.com/p/66991",66991)</f>
        <v>66991</v>
      </c>
      <c r="B98" t="s">
        <v>799</v>
      </c>
      <c r="C98" t="s">
        <v>142</v>
      </c>
      <c r="D98" s="10">
        <v>33518</v>
      </c>
      <c r="E98" t="s">
        <v>33</v>
      </c>
      <c r="F98" t="s">
        <v>33</v>
      </c>
      <c r="G98">
        <v>76</v>
      </c>
      <c r="H98">
        <v>220</v>
      </c>
      <c r="I98">
        <v>2018</v>
      </c>
      <c r="J98" s="4" t="str">
        <f>HYPERLINK("http://legacy.baseballprospectus.com/fantasy/dc/index.php?tm=ATL","ATL")</f>
        <v>ATL</v>
      </c>
      <c r="K98" t="s">
        <v>100</v>
      </c>
      <c r="L98" t="s">
        <v>34</v>
      </c>
      <c r="M98">
        <v>26</v>
      </c>
      <c r="N98">
        <v>9.8000000000000007</v>
      </c>
      <c r="O98">
        <v>11</v>
      </c>
      <c r="P98">
        <v>14</v>
      </c>
      <c r="Q98">
        <v>1</v>
      </c>
      <c r="R98">
        <v>0</v>
      </c>
      <c r="S98">
        <v>0</v>
      </c>
      <c r="T98">
        <v>30</v>
      </c>
      <c r="U98">
        <v>30</v>
      </c>
      <c r="V98" s="9">
        <v>171</v>
      </c>
      <c r="W98">
        <v>743</v>
      </c>
      <c r="X98">
        <v>170</v>
      </c>
      <c r="Y98">
        <v>25</v>
      </c>
      <c r="Z98">
        <v>62</v>
      </c>
      <c r="AA98">
        <v>2</v>
      </c>
      <c r="AB98">
        <v>8</v>
      </c>
      <c r="AC98">
        <v>166</v>
      </c>
      <c r="AD98">
        <v>3.2</v>
      </c>
      <c r="AE98">
        <v>8.8000000000000007</v>
      </c>
      <c r="AF98" s="5">
        <v>0.42099999999999999</v>
      </c>
      <c r="AG98">
        <v>0.3</v>
      </c>
      <c r="AH98">
        <v>1.36</v>
      </c>
      <c r="AI98">
        <v>4.1399999999999997</v>
      </c>
      <c r="AJ98">
        <v>4.63</v>
      </c>
      <c r="AK98">
        <v>11.1</v>
      </c>
      <c r="AL98">
        <v>1.2</v>
      </c>
      <c r="AM98">
        <v>37</v>
      </c>
      <c r="AN98">
        <v>70</v>
      </c>
      <c r="AO98">
        <v>13</v>
      </c>
      <c r="AP98">
        <v>11</v>
      </c>
      <c r="AQ98" t="s">
        <v>2289</v>
      </c>
      <c r="AR98">
        <v>97</v>
      </c>
      <c r="AS98" t="s">
        <v>35</v>
      </c>
      <c r="AT98" t="s">
        <v>36</v>
      </c>
      <c r="AU98" s="4">
        <f>HYPERLINK("http://mlb.mlb.com/team/player.jsp?player_id=592314",592314)</f>
        <v>592314</v>
      </c>
      <c r="AV98">
        <v>1030</v>
      </c>
      <c r="AW98">
        <v>30</v>
      </c>
      <c r="AX98">
        <v>154</v>
      </c>
    </row>
    <row r="99" spans="1:50" x14ac:dyDescent="0.3">
      <c r="A99" s="4">
        <f>HYPERLINK("http://legacy.baseballprospectus.com/p/67588",67588)</f>
        <v>67588</v>
      </c>
      <c r="B99" t="s">
        <v>607</v>
      </c>
      <c r="C99" t="s">
        <v>327</v>
      </c>
      <c r="D99" s="10">
        <v>34066</v>
      </c>
      <c r="E99" t="s">
        <v>9</v>
      </c>
      <c r="F99" t="s">
        <v>9</v>
      </c>
      <c r="G99">
        <v>74</v>
      </c>
      <c r="H99">
        <v>220</v>
      </c>
      <c r="I99">
        <v>2018</v>
      </c>
      <c r="J99" s="4" t="str">
        <f>HYPERLINK("http://legacy.baseballprospectus.com/fantasy/dc/index.php?tm=BOS","BOS")</f>
        <v>BOS</v>
      </c>
      <c r="K99" t="s">
        <v>95</v>
      </c>
      <c r="L99" t="s">
        <v>34</v>
      </c>
      <c r="M99">
        <v>25</v>
      </c>
      <c r="N99">
        <v>5.8</v>
      </c>
      <c r="O99">
        <v>4.5</v>
      </c>
      <c r="P99">
        <v>8</v>
      </c>
      <c r="Q99">
        <v>0</v>
      </c>
      <c r="R99">
        <v>0</v>
      </c>
      <c r="S99">
        <v>0</v>
      </c>
      <c r="T99">
        <v>15</v>
      </c>
      <c r="U99">
        <v>15</v>
      </c>
      <c r="V99" s="9">
        <v>85.666700000000006</v>
      </c>
      <c r="W99">
        <v>365</v>
      </c>
      <c r="X99">
        <v>81</v>
      </c>
      <c r="Y99">
        <v>11</v>
      </c>
      <c r="Z99">
        <v>31</v>
      </c>
      <c r="AA99">
        <v>2</v>
      </c>
      <c r="AB99">
        <v>3</v>
      </c>
      <c r="AC99">
        <v>88</v>
      </c>
      <c r="AD99">
        <v>3.2</v>
      </c>
      <c r="AE99">
        <v>9.3000000000000007</v>
      </c>
      <c r="AF99" s="5">
        <v>0.39900000000000002</v>
      </c>
      <c r="AG99">
        <v>0.29799999999999999</v>
      </c>
      <c r="AH99">
        <v>1.31</v>
      </c>
      <c r="AI99">
        <v>3.75</v>
      </c>
      <c r="AJ99">
        <v>4.33</v>
      </c>
      <c r="AK99">
        <v>10.6</v>
      </c>
      <c r="AL99">
        <v>1.2</v>
      </c>
      <c r="AM99">
        <v>27</v>
      </c>
      <c r="AN99">
        <v>59</v>
      </c>
      <c r="AO99">
        <v>18</v>
      </c>
      <c r="AP99">
        <v>16</v>
      </c>
      <c r="AQ99" t="s">
        <v>2348</v>
      </c>
      <c r="AR99">
        <v>98</v>
      </c>
      <c r="AS99" t="s">
        <v>35</v>
      </c>
      <c r="AT99" t="s">
        <v>36</v>
      </c>
      <c r="AU99" s="4">
        <f>HYPERLINK("http://mlb.mlb.com/team/player.jsp?player_id=593958",593958)</f>
        <v>593958</v>
      </c>
      <c r="AV99">
        <v>40</v>
      </c>
      <c r="AW99">
        <v>1040</v>
      </c>
      <c r="AX99">
        <v>137.30000000000001</v>
      </c>
    </row>
    <row r="100" spans="1:50" x14ac:dyDescent="0.3">
      <c r="A100" s="4">
        <f>HYPERLINK("http://legacy.baseballprospectus.com/p/70753",70753)</f>
        <v>70753</v>
      </c>
      <c r="B100" t="s">
        <v>737</v>
      </c>
      <c r="C100" t="s">
        <v>704</v>
      </c>
      <c r="D100" s="10">
        <v>33923</v>
      </c>
      <c r="E100" t="s">
        <v>37</v>
      </c>
      <c r="F100" t="s">
        <v>33</v>
      </c>
      <c r="G100">
        <v>73</v>
      </c>
      <c r="H100">
        <v>200</v>
      </c>
      <c r="I100">
        <v>2018</v>
      </c>
      <c r="J100" s="4" t="str">
        <f>HYPERLINK("http://legacy.baseballprospectus.com/fantasy/dc/index.php?tm=BAL","BAL")</f>
        <v>BAL</v>
      </c>
      <c r="K100" t="s">
        <v>95</v>
      </c>
      <c r="L100" t="s">
        <v>34</v>
      </c>
      <c r="M100">
        <v>25</v>
      </c>
      <c r="N100">
        <v>9.1999999999999993</v>
      </c>
      <c r="O100">
        <v>10.7</v>
      </c>
      <c r="P100">
        <v>13</v>
      </c>
      <c r="Q100">
        <v>0</v>
      </c>
      <c r="R100">
        <v>0</v>
      </c>
      <c r="S100">
        <v>0</v>
      </c>
      <c r="T100">
        <v>29</v>
      </c>
      <c r="U100">
        <v>29</v>
      </c>
      <c r="V100" s="9">
        <v>165.33330000000001</v>
      </c>
      <c r="W100">
        <v>711</v>
      </c>
      <c r="X100">
        <v>164</v>
      </c>
      <c r="Y100">
        <v>29</v>
      </c>
      <c r="Z100">
        <v>61</v>
      </c>
      <c r="AA100">
        <v>3</v>
      </c>
      <c r="AB100">
        <v>6</v>
      </c>
      <c r="AC100">
        <v>161</v>
      </c>
      <c r="AD100">
        <v>3.3</v>
      </c>
      <c r="AE100">
        <v>8.6999999999999993</v>
      </c>
      <c r="AF100" s="5">
        <v>0.38100000000000001</v>
      </c>
      <c r="AG100">
        <v>0.29499999999999998</v>
      </c>
      <c r="AH100">
        <v>1.36</v>
      </c>
      <c r="AI100">
        <v>4.67</v>
      </c>
      <c r="AJ100">
        <v>4.88</v>
      </c>
      <c r="AK100">
        <v>11.1</v>
      </c>
      <c r="AL100">
        <v>1.2</v>
      </c>
      <c r="AM100">
        <v>20</v>
      </c>
      <c r="AN100">
        <v>58</v>
      </c>
      <c r="AO100">
        <v>20</v>
      </c>
      <c r="AP100">
        <v>7</v>
      </c>
      <c r="AQ100" t="s">
        <v>2313</v>
      </c>
      <c r="AR100">
        <v>100</v>
      </c>
      <c r="AS100" t="s">
        <v>35</v>
      </c>
      <c r="AT100" t="s">
        <v>36</v>
      </c>
      <c r="AU100" s="4">
        <f>HYPERLINK("http://mlb.mlb.com/team/player.jsp?player_id=605164",605164)</f>
        <v>605164</v>
      </c>
      <c r="AV100">
        <v>19</v>
      </c>
      <c r="AW100">
        <v>1019</v>
      </c>
      <c r="AX100">
        <v>169.7</v>
      </c>
    </row>
    <row r="101" spans="1:50" x14ac:dyDescent="0.3">
      <c r="A101" s="4">
        <f>HYPERLINK("http://legacy.baseballprospectus.com/p/71016",71016)</f>
        <v>71016</v>
      </c>
      <c r="B101" t="s">
        <v>1470</v>
      </c>
      <c r="C101" t="s">
        <v>1471</v>
      </c>
      <c r="D101" s="10">
        <v>34075</v>
      </c>
      <c r="E101" t="s">
        <v>33</v>
      </c>
      <c r="F101" t="s">
        <v>33</v>
      </c>
      <c r="G101">
        <v>73</v>
      </c>
      <c r="H101">
        <v>215</v>
      </c>
      <c r="I101">
        <v>2018</v>
      </c>
      <c r="J101" s="4" t="str">
        <f>HYPERLINK("http://legacy.baseballprospectus.com/fantasy/dc/index.php?tm=TEX","TEX")</f>
        <v>TEX</v>
      </c>
      <c r="K101" t="s">
        <v>95</v>
      </c>
      <c r="L101" t="s">
        <v>34</v>
      </c>
      <c r="M101">
        <v>25</v>
      </c>
      <c r="N101">
        <v>2.4</v>
      </c>
      <c r="O101">
        <v>2.5</v>
      </c>
      <c r="P101">
        <v>0</v>
      </c>
      <c r="Q101">
        <v>0</v>
      </c>
      <c r="R101">
        <v>4</v>
      </c>
      <c r="S101">
        <v>1</v>
      </c>
      <c r="T101">
        <v>50</v>
      </c>
      <c r="U101">
        <v>0</v>
      </c>
      <c r="V101" s="9">
        <v>52.333300000000001</v>
      </c>
      <c r="W101">
        <v>219</v>
      </c>
      <c r="X101">
        <v>41</v>
      </c>
      <c r="Y101">
        <v>6</v>
      </c>
      <c r="Z101">
        <v>22</v>
      </c>
      <c r="AA101">
        <v>1</v>
      </c>
      <c r="AB101">
        <v>2</v>
      </c>
      <c r="AC101">
        <v>70</v>
      </c>
      <c r="AD101">
        <v>3.7</v>
      </c>
      <c r="AE101">
        <v>12.1</v>
      </c>
      <c r="AF101" s="5">
        <v>0.42899999999999999</v>
      </c>
      <c r="AG101">
        <v>0.29699999999999999</v>
      </c>
      <c r="AH101">
        <v>1.2</v>
      </c>
      <c r="AI101">
        <v>3.06</v>
      </c>
      <c r="AJ101">
        <v>3.25</v>
      </c>
      <c r="AK101">
        <v>10.8</v>
      </c>
      <c r="AL101">
        <v>1.2</v>
      </c>
      <c r="AM101">
        <v>35</v>
      </c>
      <c r="AN101">
        <v>51</v>
      </c>
      <c r="AO101">
        <v>19</v>
      </c>
      <c r="AP101">
        <v>15</v>
      </c>
      <c r="AQ101" t="s">
        <v>2407</v>
      </c>
      <c r="AR101">
        <v>81</v>
      </c>
      <c r="AS101" t="s">
        <v>35</v>
      </c>
      <c r="AT101" t="s">
        <v>36</v>
      </c>
      <c r="AU101" s="4">
        <f>HYPERLINK("http://mlb.mlb.com/team/player.jsp?player_id=605309",605309)</f>
        <v>605309</v>
      </c>
      <c r="AV101">
        <v>301</v>
      </c>
      <c r="AW101">
        <v>1301</v>
      </c>
      <c r="AX101">
        <v>38.700000000000003</v>
      </c>
    </row>
    <row r="102" spans="1:50" x14ac:dyDescent="0.3">
      <c r="A102" s="4">
        <f>HYPERLINK("http://legacy.baseballprospectus.com/p/71272",71272)</f>
        <v>71272</v>
      </c>
      <c r="B102" t="s">
        <v>1463</v>
      </c>
      <c r="C102" t="s">
        <v>113</v>
      </c>
      <c r="D102" s="10">
        <v>34073</v>
      </c>
      <c r="E102" t="s">
        <v>9</v>
      </c>
      <c r="F102" t="s">
        <v>9</v>
      </c>
      <c r="G102">
        <v>71</v>
      </c>
      <c r="H102">
        <v>212</v>
      </c>
      <c r="I102">
        <v>2018</v>
      </c>
      <c r="J102" s="4" t="str">
        <f>HYPERLINK("http://legacy.baseballprospectus.com/fantasy/dc/index.php?tm=CIN","CIN")</f>
        <v>CIN</v>
      </c>
      <c r="K102" t="s">
        <v>100</v>
      </c>
      <c r="L102" t="s">
        <v>34</v>
      </c>
      <c r="M102">
        <v>25</v>
      </c>
      <c r="N102">
        <v>6.9</v>
      </c>
      <c r="O102">
        <v>8</v>
      </c>
      <c r="P102">
        <v>12</v>
      </c>
      <c r="Q102">
        <v>0</v>
      </c>
      <c r="R102">
        <v>0</v>
      </c>
      <c r="S102">
        <v>0</v>
      </c>
      <c r="T102">
        <v>24</v>
      </c>
      <c r="U102">
        <v>24</v>
      </c>
      <c r="V102" s="9">
        <v>120</v>
      </c>
      <c r="W102">
        <v>511</v>
      </c>
      <c r="X102">
        <v>106</v>
      </c>
      <c r="Y102">
        <v>16</v>
      </c>
      <c r="Z102">
        <v>54</v>
      </c>
      <c r="AA102">
        <v>2</v>
      </c>
      <c r="AB102">
        <v>3</v>
      </c>
      <c r="AC102">
        <v>120</v>
      </c>
      <c r="AD102">
        <v>4.0999999999999996</v>
      </c>
      <c r="AE102">
        <v>9</v>
      </c>
      <c r="AF102" s="5">
        <v>0.44800000000000001</v>
      </c>
      <c r="AG102">
        <v>0.28399999999999997</v>
      </c>
      <c r="AH102">
        <v>1.31</v>
      </c>
      <c r="AI102">
        <v>4.33</v>
      </c>
      <c r="AJ102">
        <v>4.37</v>
      </c>
      <c r="AK102">
        <v>11.1</v>
      </c>
      <c r="AL102">
        <v>1.2</v>
      </c>
      <c r="AM102">
        <v>28</v>
      </c>
      <c r="AN102">
        <v>55</v>
      </c>
      <c r="AO102">
        <v>16</v>
      </c>
      <c r="AP102">
        <v>11</v>
      </c>
      <c r="AQ102" t="s">
        <v>2378</v>
      </c>
      <c r="AR102">
        <v>96</v>
      </c>
      <c r="AS102" t="s">
        <v>35</v>
      </c>
      <c r="AT102" t="s">
        <v>36</v>
      </c>
      <c r="AU102" s="4">
        <f>HYPERLINK("http://mlb.mlb.com/team/player.jsp?player_id=605232",605232)</f>
        <v>605232</v>
      </c>
      <c r="AV102">
        <v>1120</v>
      </c>
      <c r="AW102">
        <v>120</v>
      </c>
      <c r="AX102">
        <v>13</v>
      </c>
    </row>
    <row r="103" spans="1:50" x14ac:dyDescent="0.3">
      <c r="A103" s="4">
        <f>HYPERLINK("http://legacy.baseballprospectus.com/p/70760",70760)</f>
        <v>70760</v>
      </c>
      <c r="B103" t="s">
        <v>1067</v>
      </c>
      <c r="C103" t="s">
        <v>141</v>
      </c>
      <c r="D103" s="10">
        <v>32876</v>
      </c>
      <c r="E103" t="s">
        <v>33</v>
      </c>
      <c r="F103" t="s">
        <v>33</v>
      </c>
      <c r="G103">
        <v>81</v>
      </c>
      <c r="H103">
        <v>225</v>
      </c>
      <c r="I103">
        <v>2018</v>
      </c>
      <c r="J103" s="4" t="str">
        <f>HYPERLINK("http://legacy.baseballprospectus.com/fantasy/dc/index.php?tm=ANA","ANA")</f>
        <v>ANA</v>
      </c>
      <c r="K103" t="s">
        <v>95</v>
      </c>
      <c r="L103" t="s">
        <v>34</v>
      </c>
      <c r="M103">
        <v>28</v>
      </c>
      <c r="N103">
        <v>4.3</v>
      </c>
      <c r="O103">
        <v>4.3</v>
      </c>
      <c r="P103">
        <v>6.6</v>
      </c>
      <c r="Q103">
        <v>0</v>
      </c>
      <c r="R103">
        <v>0.4</v>
      </c>
      <c r="S103">
        <v>0</v>
      </c>
      <c r="T103">
        <v>24.4</v>
      </c>
      <c r="U103">
        <v>13.1</v>
      </c>
      <c r="V103" s="9">
        <v>73.666700000000006</v>
      </c>
      <c r="W103">
        <v>319</v>
      </c>
      <c r="X103">
        <v>68</v>
      </c>
      <c r="Y103">
        <v>9</v>
      </c>
      <c r="Z103">
        <v>32</v>
      </c>
      <c r="AA103" t="s">
        <v>1680</v>
      </c>
      <c r="AB103">
        <v>3</v>
      </c>
      <c r="AC103">
        <v>79</v>
      </c>
      <c r="AD103">
        <v>3.9</v>
      </c>
      <c r="AE103">
        <v>9.6</v>
      </c>
      <c r="AF103" s="5">
        <v>0.45036005973815901</v>
      </c>
      <c r="AG103">
        <v>0.30299999999999999</v>
      </c>
      <c r="AH103">
        <v>1.36</v>
      </c>
      <c r="AI103">
        <v>4.18</v>
      </c>
      <c r="AJ103">
        <v>4.3</v>
      </c>
      <c r="AK103">
        <v>10.8</v>
      </c>
      <c r="AL103">
        <v>1.2</v>
      </c>
      <c r="AM103">
        <v>24</v>
      </c>
      <c r="AN103">
        <v>47</v>
      </c>
      <c r="AO103">
        <v>15</v>
      </c>
      <c r="AP103">
        <v>27</v>
      </c>
      <c r="AQ103" t="s">
        <v>2382</v>
      </c>
      <c r="AR103">
        <v>71</v>
      </c>
      <c r="AS103" t="s">
        <v>36</v>
      </c>
      <c r="AT103" t="s">
        <v>36</v>
      </c>
      <c r="AU103" s="4">
        <f>HYPERLINK("http://mlb.mlb.com/team/player.jsp?player_id=543542",543542)</f>
        <v>543542</v>
      </c>
      <c r="AV103">
        <v>684</v>
      </c>
      <c r="AW103">
        <v>1684</v>
      </c>
      <c r="AX103">
        <v>67.3</v>
      </c>
    </row>
    <row r="104" spans="1:50" x14ac:dyDescent="0.3">
      <c r="A104" s="4">
        <f>HYPERLINK("http://legacy.baseballprospectus.com/p/103721",103721)</f>
        <v>103721</v>
      </c>
      <c r="B104" t="s">
        <v>1473</v>
      </c>
      <c r="C104" t="s">
        <v>208</v>
      </c>
      <c r="D104" s="10">
        <v>33635</v>
      </c>
      <c r="E104" t="s">
        <v>33</v>
      </c>
      <c r="F104" t="s">
        <v>9</v>
      </c>
      <c r="G104">
        <v>77</v>
      </c>
      <c r="H104">
        <v>245</v>
      </c>
      <c r="I104">
        <v>2018</v>
      </c>
      <c r="J104" s="4" t="str">
        <f>HYPERLINK("http://legacy.baseballprospectus.com/fantasy/dc/index.php?tm=OAK","OAK")</f>
        <v>OAK</v>
      </c>
      <c r="K104" t="s">
        <v>95</v>
      </c>
      <c r="L104" t="s">
        <v>34</v>
      </c>
      <c r="M104">
        <v>26</v>
      </c>
      <c r="N104">
        <v>8.3000000000000007</v>
      </c>
      <c r="O104">
        <v>8.6</v>
      </c>
      <c r="P104">
        <v>12</v>
      </c>
      <c r="Q104">
        <v>0</v>
      </c>
      <c r="R104">
        <v>0</v>
      </c>
      <c r="S104">
        <v>0</v>
      </c>
      <c r="T104">
        <v>26</v>
      </c>
      <c r="U104">
        <v>26</v>
      </c>
      <c r="V104" s="9">
        <v>137.66669999999999</v>
      </c>
      <c r="W104">
        <v>600</v>
      </c>
      <c r="X104">
        <v>139</v>
      </c>
      <c r="Y104">
        <v>23</v>
      </c>
      <c r="Z104">
        <v>49</v>
      </c>
      <c r="AA104">
        <v>2</v>
      </c>
      <c r="AB104">
        <v>6</v>
      </c>
      <c r="AC104">
        <v>135</v>
      </c>
      <c r="AD104">
        <v>3.2</v>
      </c>
      <c r="AE104">
        <v>8.8000000000000007</v>
      </c>
      <c r="AF104" s="5">
        <v>0.438</v>
      </c>
      <c r="AG104">
        <v>0.3</v>
      </c>
      <c r="AH104">
        <v>1.38</v>
      </c>
      <c r="AI104">
        <v>4.51</v>
      </c>
      <c r="AJ104">
        <v>4.76</v>
      </c>
      <c r="AK104">
        <v>11</v>
      </c>
      <c r="AL104">
        <v>1.2</v>
      </c>
      <c r="AM104">
        <v>34</v>
      </c>
      <c r="AN104">
        <v>66</v>
      </c>
      <c r="AO104">
        <v>16</v>
      </c>
      <c r="AP104">
        <v>12</v>
      </c>
      <c r="AQ104" t="s">
        <v>2279</v>
      </c>
      <c r="AR104">
        <v>95</v>
      </c>
      <c r="AS104" t="s">
        <v>35</v>
      </c>
      <c r="AT104" t="s">
        <v>36</v>
      </c>
      <c r="AU104" s="4">
        <f>HYPERLINK("http://mlb.mlb.com/team/player.jsp?player_id=640455",640455)</f>
        <v>640455</v>
      </c>
      <c r="AV104">
        <v>24</v>
      </c>
      <c r="AW104">
        <v>1024</v>
      </c>
      <c r="AX104">
        <v>158.69999999999999</v>
      </c>
    </row>
    <row r="105" spans="1:50" x14ac:dyDescent="0.3">
      <c r="A105" s="4">
        <f>HYPERLINK("http://legacy.baseballprospectus.com/p/103893",103893)</f>
        <v>103893</v>
      </c>
      <c r="B105" t="s">
        <v>1508</v>
      </c>
      <c r="C105" t="s">
        <v>473</v>
      </c>
      <c r="D105" s="10">
        <v>34789</v>
      </c>
      <c r="E105" t="s">
        <v>33</v>
      </c>
      <c r="F105" t="s">
        <v>33</v>
      </c>
      <c r="G105">
        <v>74</v>
      </c>
      <c r="H105">
        <v>180</v>
      </c>
      <c r="I105">
        <v>2018</v>
      </c>
      <c r="J105" s="4" t="str">
        <f>HYPERLINK("http://legacy.baseballprospectus.com/fantasy/dc/index.php?tm=TBA","TBA")</f>
        <v>TBA</v>
      </c>
      <c r="K105" t="s">
        <v>95</v>
      </c>
      <c r="L105" t="s">
        <v>34</v>
      </c>
      <c r="M105">
        <v>23</v>
      </c>
      <c r="N105">
        <v>5.6</v>
      </c>
      <c r="O105">
        <v>6</v>
      </c>
      <c r="P105">
        <v>9.1999999999999993</v>
      </c>
      <c r="Q105">
        <v>0</v>
      </c>
      <c r="R105">
        <v>0</v>
      </c>
      <c r="S105">
        <v>0</v>
      </c>
      <c r="T105">
        <v>18</v>
      </c>
      <c r="U105">
        <v>18</v>
      </c>
      <c r="V105" s="9">
        <v>95.333299999999994</v>
      </c>
      <c r="W105">
        <v>401</v>
      </c>
      <c r="X105">
        <v>87</v>
      </c>
      <c r="Y105">
        <v>15</v>
      </c>
      <c r="Z105">
        <v>32</v>
      </c>
      <c r="AA105" t="s">
        <v>1680</v>
      </c>
      <c r="AB105">
        <v>2</v>
      </c>
      <c r="AC105">
        <v>110</v>
      </c>
      <c r="AD105">
        <v>3.1</v>
      </c>
      <c r="AE105">
        <v>10.4</v>
      </c>
      <c r="AF105" s="5">
        <v>0.38530358672142001</v>
      </c>
      <c r="AG105">
        <v>0.29899999999999999</v>
      </c>
      <c r="AH105">
        <v>1.25</v>
      </c>
      <c r="AI105">
        <v>4.08</v>
      </c>
      <c r="AJ105">
        <v>4.53</v>
      </c>
      <c r="AK105">
        <v>11.6</v>
      </c>
      <c r="AL105">
        <v>1.2</v>
      </c>
      <c r="AM105">
        <v>28</v>
      </c>
      <c r="AN105">
        <v>47</v>
      </c>
      <c r="AO105">
        <v>8</v>
      </c>
      <c r="AP105">
        <v>21</v>
      </c>
      <c r="AQ105" t="s">
        <v>2325</v>
      </c>
      <c r="AR105">
        <v>65</v>
      </c>
      <c r="AS105" t="s">
        <v>36</v>
      </c>
      <c r="AT105" t="s">
        <v>35</v>
      </c>
      <c r="AU105" s="4">
        <f>HYPERLINK("http://mlb.mlb.com/team/player.jsp?player_id=641703",641703)</f>
        <v>641703</v>
      </c>
      <c r="AV105">
        <v>218</v>
      </c>
      <c r="AW105">
        <v>1218</v>
      </c>
      <c r="AX105">
        <v>0</v>
      </c>
    </row>
    <row r="106" spans="1:50" x14ac:dyDescent="0.3">
      <c r="A106" s="4">
        <f>HYPERLINK("http://legacy.baseballprospectus.com/p/38551",38551)</f>
        <v>38551</v>
      </c>
      <c r="B106" t="s">
        <v>475</v>
      </c>
      <c r="C106" t="s">
        <v>244</v>
      </c>
      <c r="D106" s="10">
        <v>30615</v>
      </c>
      <c r="E106" t="s">
        <v>9</v>
      </c>
      <c r="F106" t="s">
        <v>9</v>
      </c>
      <c r="G106">
        <v>74</v>
      </c>
      <c r="H106">
        <v>225</v>
      </c>
      <c r="I106">
        <v>2018</v>
      </c>
      <c r="J106" s="4" t="str">
        <f>HYPERLINK("http://legacy.baseballprospectus.com/fantasy/dc/index.php?tm=DET","DET")</f>
        <v>DET</v>
      </c>
      <c r="K106" t="s">
        <v>95</v>
      </c>
      <c r="L106" t="s">
        <v>34</v>
      </c>
      <c r="M106">
        <v>34</v>
      </c>
      <c r="N106">
        <v>6.5</v>
      </c>
      <c r="O106">
        <v>8.4</v>
      </c>
      <c r="P106">
        <v>8</v>
      </c>
      <c r="Q106">
        <v>0</v>
      </c>
      <c r="R106">
        <v>0</v>
      </c>
      <c r="S106">
        <v>0</v>
      </c>
      <c r="T106">
        <v>44</v>
      </c>
      <c r="U106">
        <v>18</v>
      </c>
      <c r="V106" s="9">
        <v>130.33330000000001</v>
      </c>
      <c r="W106">
        <v>584</v>
      </c>
      <c r="X106">
        <v>133</v>
      </c>
      <c r="Y106">
        <v>16</v>
      </c>
      <c r="Z106">
        <v>61</v>
      </c>
      <c r="AA106">
        <v>2</v>
      </c>
      <c r="AB106">
        <v>7</v>
      </c>
      <c r="AC106">
        <v>113</v>
      </c>
      <c r="AD106">
        <v>4.2</v>
      </c>
      <c r="AE106">
        <v>7.8</v>
      </c>
      <c r="AF106" s="5">
        <v>0.48499999999999999</v>
      </c>
      <c r="AG106">
        <v>0.3</v>
      </c>
      <c r="AH106">
        <v>1.49</v>
      </c>
      <c r="AI106">
        <v>4.66</v>
      </c>
      <c r="AJ106">
        <v>4.75</v>
      </c>
      <c r="AK106">
        <v>9.6999999999999993</v>
      </c>
      <c r="AL106">
        <v>1.1000000000000001</v>
      </c>
      <c r="AM106">
        <v>14</v>
      </c>
      <c r="AN106">
        <v>48</v>
      </c>
      <c r="AO106">
        <v>23</v>
      </c>
      <c r="AP106">
        <v>11</v>
      </c>
      <c r="AQ106" t="s">
        <v>2464</v>
      </c>
      <c r="AR106">
        <v>95</v>
      </c>
      <c r="AS106" t="s">
        <v>35</v>
      </c>
      <c r="AT106" t="s">
        <v>36</v>
      </c>
      <c r="AU106" s="4">
        <f>HYPERLINK("http://mlb.mlb.com/team/player.jsp?player_id=434538",434538)</f>
        <v>434538</v>
      </c>
      <c r="AV106">
        <v>0</v>
      </c>
      <c r="AW106">
        <v>0</v>
      </c>
      <c r="AX106">
        <v>97</v>
      </c>
    </row>
    <row r="107" spans="1:50" x14ac:dyDescent="0.3">
      <c r="A107" s="4">
        <f>HYPERLINK("http://legacy.baseballprospectus.com/p/49925",49925)</f>
        <v>49925</v>
      </c>
      <c r="B107" t="s">
        <v>750</v>
      </c>
      <c r="C107" t="s">
        <v>751</v>
      </c>
      <c r="D107" s="10">
        <v>32149</v>
      </c>
      <c r="E107" t="s">
        <v>33</v>
      </c>
      <c r="F107" t="s">
        <v>33</v>
      </c>
      <c r="G107">
        <v>75</v>
      </c>
      <c r="H107">
        <v>215</v>
      </c>
      <c r="I107">
        <v>2018</v>
      </c>
      <c r="J107" s="4" t="str">
        <f>HYPERLINK("http://legacy.baseballprospectus.com/fantasy/dc/index.php?tm=MIL","MIL")</f>
        <v>MIL</v>
      </c>
      <c r="K107" t="s">
        <v>100</v>
      </c>
      <c r="L107" t="s">
        <v>34</v>
      </c>
      <c r="M107">
        <v>30</v>
      </c>
      <c r="N107">
        <v>8.3000000000000007</v>
      </c>
      <c r="O107">
        <v>7.7</v>
      </c>
      <c r="P107">
        <v>11</v>
      </c>
      <c r="Q107">
        <v>0</v>
      </c>
      <c r="R107">
        <v>0</v>
      </c>
      <c r="S107">
        <v>0</v>
      </c>
      <c r="T107">
        <v>23</v>
      </c>
      <c r="U107">
        <v>23</v>
      </c>
      <c r="V107" s="9">
        <v>131</v>
      </c>
      <c r="W107">
        <v>561</v>
      </c>
      <c r="X107">
        <v>123</v>
      </c>
      <c r="Y107">
        <v>15</v>
      </c>
      <c r="Z107">
        <v>51</v>
      </c>
      <c r="AA107">
        <v>3</v>
      </c>
      <c r="AB107">
        <v>7</v>
      </c>
      <c r="AC107">
        <v>113</v>
      </c>
      <c r="AD107">
        <v>3.5</v>
      </c>
      <c r="AE107">
        <v>7.7</v>
      </c>
      <c r="AF107" s="5">
        <v>0.48299999999999998</v>
      </c>
      <c r="AG107">
        <v>0.28799999999999998</v>
      </c>
      <c r="AH107">
        <v>1.31</v>
      </c>
      <c r="AI107">
        <v>4.2</v>
      </c>
      <c r="AJ107">
        <v>4.5</v>
      </c>
      <c r="AK107">
        <v>10.4</v>
      </c>
      <c r="AL107">
        <v>1.1000000000000001</v>
      </c>
      <c r="AM107">
        <v>9</v>
      </c>
      <c r="AN107">
        <v>42</v>
      </c>
      <c r="AO107">
        <v>31</v>
      </c>
      <c r="AP107">
        <v>13</v>
      </c>
      <c r="AQ107" t="s">
        <v>2319</v>
      </c>
      <c r="AR107">
        <v>89</v>
      </c>
      <c r="AS107" t="s">
        <v>35</v>
      </c>
      <c r="AT107" t="s">
        <v>36</v>
      </c>
      <c r="AU107" s="4">
        <f>HYPERLINK("http://mlb.mlb.com/team/player.jsp?player_id=468504",468504)</f>
        <v>468504</v>
      </c>
      <c r="AV107">
        <v>1016</v>
      </c>
      <c r="AW107">
        <v>16</v>
      </c>
      <c r="AX107">
        <v>180.3</v>
      </c>
    </row>
    <row r="108" spans="1:50" x14ac:dyDescent="0.3">
      <c r="A108" s="4">
        <f>HYPERLINK("http://legacy.baseballprospectus.com/p/50555",50555)</f>
        <v>50555</v>
      </c>
      <c r="B108" t="s">
        <v>895</v>
      </c>
      <c r="C108" t="s">
        <v>339</v>
      </c>
      <c r="D108" s="10">
        <v>30246</v>
      </c>
      <c r="E108" t="s">
        <v>33</v>
      </c>
      <c r="F108" t="s">
        <v>33</v>
      </c>
      <c r="G108">
        <v>76</v>
      </c>
      <c r="H108">
        <v>220</v>
      </c>
      <c r="I108">
        <v>2018</v>
      </c>
      <c r="J108" s="4" t="str">
        <f>HYPERLINK("http://legacy.baseballprospectus.com/fantasy/dc/index.php?tm=BAL","BAL")</f>
        <v>BAL</v>
      </c>
      <c r="K108" t="s">
        <v>95</v>
      </c>
      <c r="L108" t="s">
        <v>34</v>
      </c>
      <c r="M108">
        <v>35</v>
      </c>
      <c r="N108">
        <v>3.1</v>
      </c>
      <c r="O108">
        <v>3.5</v>
      </c>
      <c r="P108">
        <v>0</v>
      </c>
      <c r="Q108">
        <v>0</v>
      </c>
      <c r="R108">
        <v>2</v>
      </c>
      <c r="S108">
        <v>5</v>
      </c>
      <c r="T108">
        <v>67</v>
      </c>
      <c r="U108">
        <v>0</v>
      </c>
      <c r="V108" s="9">
        <v>71</v>
      </c>
      <c r="W108">
        <v>299</v>
      </c>
      <c r="X108">
        <v>59</v>
      </c>
      <c r="Y108">
        <v>8</v>
      </c>
      <c r="Z108">
        <v>31</v>
      </c>
      <c r="AA108">
        <v>3</v>
      </c>
      <c r="AB108">
        <v>3</v>
      </c>
      <c r="AC108">
        <v>80</v>
      </c>
      <c r="AD108">
        <v>3.9</v>
      </c>
      <c r="AE108">
        <v>10.199999999999999</v>
      </c>
      <c r="AF108" s="5">
        <v>0.42099999999999999</v>
      </c>
      <c r="AG108">
        <v>0.28399999999999997</v>
      </c>
      <c r="AH108">
        <v>1.25</v>
      </c>
      <c r="AI108">
        <v>3.7</v>
      </c>
      <c r="AJ108">
        <v>3.93</v>
      </c>
      <c r="AK108">
        <v>9.6999999999999993</v>
      </c>
      <c r="AL108">
        <v>1.1000000000000001</v>
      </c>
      <c r="AM108">
        <v>17</v>
      </c>
      <c r="AN108">
        <v>33</v>
      </c>
      <c r="AO108">
        <v>32</v>
      </c>
      <c r="AP108">
        <v>13</v>
      </c>
      <c r="AQ108" t="s">
        <v>2449</v>
      </c>
      <c r="AR108">
        <v>88</v>
      </c>
      <c r="AS108" t="s">
        <v>35</v>
      </c>
      <c r="AT108" t="s">
        <v>36</v>
      </c>
      <c r="AU108" s="4">
        <f>HYPERLINK("http://mlb.mlb.com/team/player.jsp?player_id=503285",503285)</f>
        <v>503285</v>
      </c>
      <c r="AV108">
        <v>257</v>
      </c>
      <c r="AW108">
        <v>1257</v>
      </c>
      <c r="AX108">
        <v>60.3</v>
      </c>
    </row>
    <row r="109" spans="1:50" x14ac:dyDescent="0.3">
      <c r="A109" s="4">
        <f>HYPERLINK("http://legacy.baseballprospectus.com/p/58410",58410)</f>
        <v>58410</v>
      </c>
      <c r="B109" t="s">
        <v>864</v>
      </c>
      <c r="C109" t="s">
        <v>170</v>
      </c>
      <c r="D109" s="10">
        <v>31909</v>
      </c>
      <c r="E109" t="s">
        <v>37</v>
      </c>
      <c r="F109" t="s">
        <v>33</v>
      </c>
      <c r="G109">
        <v>77</v>
      </c>
      <c r="H109">
        <v>280</v>
      </c>
      <c r="I109">
        <v>2018</v>
      </c>
      <c r="J109" s="4" t="str">
        <f>HYPERLINK("http://legacy.baseballprospectus.com/fantasy/dc/index.php?tm=MIN","MIN")</f>
        <v>MIN</v>
      </c>
      <c r="K109" t="s">
        <v>95</v>
      </c>
      <c r="L109" t="s">
        <v>34</v>
      </c>
      <c r="M109">
        <v>31</v>
      </c>
      <c r="N109">
        <v>10.5</v>
      </c>
      <c r="O109">
        <v>10.4</v>
      </c>
      <c r="P109">
        <v>13</v>
      </c>
      <c r="Q109">
        <v>0</v>
      </c>
      <c r="R109">
        <v>0</v>
      </c>
      <c r="S109">
        <v>0</v>
      </c>
      <c r="T109">
        <v>30</v>
      </c>
      <c r="U109">
        <v>30</v>
      </c>
      <c r="V109" s="9">
        <v>171</v>
      </c>
      <c r="W109">
        <v>763</v>
      </c>
      <c r="X109">
        <v>177</v>
      </c>
      <c r="Y109">
        <v>25</v>
      </c>
      <c r="Z109">
        <v>73</v>
      </c>
      <c r="AA109">
        <v>4</v>
      </c>
      <c r="AB109">
        <v>12</v>
      </c>
      <c r="AC109">
        <v>142</v>
      </c>
      <c r="AD109">
        <v>3.8</v>
      </c>
      <c r="AE109">
        <v>7.5</v>
      </c>
      <c r="AF109" s="5">
        <v>0.45700000000000002</v>
      </c>
      <c r="AG109">
        <v>0.29599999999999999</v>
      </c>
      <c r="AH109">
        <v>1.46</v>
      </c>
      <c r="AI109">
        <v>4.6900000000000004</v>
      </c>
      <c r="AJ109">
        <v>4.9800000000000004</v>
      </c>
      <c r="AK109">
        <v>9.8000000000000007</v>
      </c>
      <c r="AL109">
        <v>1.1000000000000001</v>
      </c>
      <c r="AM109">
        <v>10</v>
      </c>
      <c r="AN109">
        <v>39</v>
      </c>
      <c r="AO109">
        <v>30</v>
      </c>
      <c r="AP109">
        <v>9</v>
      </c>
      <c r="AQ109" t="s">
        <v>2731</v>
      </c>
      <c r="AR109">
        <v>91</v>
      </c>
      <c r="AS109" t="s">
        <v>35</v>
      </c>
      <c r="AT109" t="s">
        <v>36</v>
      </c>
      <c r="AU109" s="4">
        <f>HYPERLINK("http://mlb.mlb.com/team/player.jsp?player_id=458681",458681)</f>
        <v>458681</v>
      </c>
      <c r="AV109">
        <v>1711</v>
      </c>
      <c r="AW109">
        <v>711</v>
      </c>
      <c r="AX109">
        <v>186.3</v>
      </c>
    </row>
    <row r="110" spans="1:50" x14ac:dyDescent="0.3">
      <c r="A110" s="4">
        <f>HYPERLINK("http://legacy.baseballprospectus.com/p/58731",58731)</f>
        <v>58731</v>
      </c>
      <c r="B110" t="s">
        <v>961</v>
      </c>
      <c r="C110" t="s">
        <v>190</v>
      </c>
      <c r="D110" s="10">
        <v>33265</v>
      </c>
      <c r="E110" t="s">
        <v>33</v>
      </c>
      <c r="F110" t="s">
        <v>33</v>
      </c>
      <c r="G110">
        <v>74</v>
      </c>
      <c r="H110">
        <v>205</v>
      </c>
      <c r="I110">
        <v>2018</v>
      </c>
      <c r="J110" s="4" t="str">
        <f>HYPERLINK("http://legacy.baseballprospectus.com/fantasy/dc/index.php?tm=ATL","ATL")</f>
        <v>ATL</v>
      </c>
      <c r="K110" t="s">
        <v>100</v>
      </c>
      <c r="L110" t="s">
        <v>34</v>
      </c>
      <c r="M110">
        <v>27</v>
      </c>
      <c r="N110">
        <v>10.199999999999999</v>
      </c>
      <c r="O110">
        <v>11.3</v>
      </c>
      <c r="P110">
        <v>14</v>
      </c>
      <c r="Q110">
        <v>1</v>
      </c>
      <c r="R110">
        <v>0</v>
      </c>
      <c r="S110">
        <v>0</v>
      </c>
      <c r="T110">
        <v>30</v>
      </c>
      <c r="U110">
        <v>30</v>
      </c>
      <c r="V110" s="9">
        <v>180</v>
      </c>
      <c r="W110">
        <v>767</v>
      </c>
      <c r="X110">
        <v>171</v>
      </c>
      <c r="Y110">
        <v>25</v>
      </c>
      <c r="Z110">
        <v>64</v>
      </c>
      <c r="AA110">
        <v>3</v>
      </c>
      <c r="AB110">
        <v>7</v>
      </c>
      <c r="AC110">
        <v>158</v>
      </c>
      <c r="AD110">
        <v>3.2</v>
      </c>
      <c r="AE110">
        <v>7.9</v>
      </c>
      <c r="AF110" s="5">
        <v>0.41799999999999998</v>
      </c>
      <c r="AG110">
        <v>0.28599999999999998</v>
      </c>
      <c r="AH110">
        <v>1.29</v>
      </c>
      <c r="AI110">
        <v>4.21</v>
      </c>
      <c r="AJ110">
        <v>4.7</v>
      </c>
      <c r="AK110">
        <v>10.4</v>
      </c>
      <c r="AL110">
        <v>1.1000000000000001</v>
      </c>
      <c r="AM110">
        <v>20</v>
      </c>
      <c r="AN110">
        <v>49</v>
      </c>
      <c r="AO110">
        <v>30</v>
      </c>
      <c r="AP110">
        <v>12</v>
      </c>
      <c r="AQ110" t="s">
        <v>2322</v>
      </c>
      <c r="AR110">
        <v>97</v>
      </c>
      <c r="AS110" t="s">
        <v>35</v>
      </c>
      <c r="AT110" t="s">
        <v>36</v>
      </c>
      <c r="AU110" s="4">
        <f>HYPERLINK("http://mlb.mlb.com/team/player.jsp?player_id=527054",527054)</f>
        <v>527054</v>
      </c>
      <c r="AV110">
        <v>1011</v>
      </c>
      <c r="AW110">
        <v>11</v>
      </c>
      <c r="AX110">
        <v>188.3</v>
      </c>
    </row>
    <row r="111" spans="1:50" x14ac:dyDescent="0.3">
      <c r="A111" s="4">
        <f>HYPERLINK("http://legacy.baseballprospectus.com/p/61000",61000)</f>
        <v>61000</v>
      </c>
      <c r="B111" t="s">
        <v>947</v>
      </c>
      <c r="C111" t="s">
        <v>258</v>
      </c>
      <c r="D111" s="10">
        <v>33432</v>
      </c>
      <c r="E111" t="s">
        <v>9</v>
      </c>
      <c r="F111" t="s">
        <v>9</v>
      </c>
      <c r="G111">
        <v>76</v>
      </c>
      <c r="H111">
        <v>215</v>
      </c>
      <c r="I111">
        <v>2018</v>
      </c>
      <c r="J111" s="4" t="str">
        <f>HYPERLINK("http://legacy.baseballprospectus.com/fantasy/dc/index.php?tm=ANA","ANA")</f>
        <v>ANA</v>
      </c>
      <c r="K111" t="s">
        <v>95</v>
      </c>
      <c r="L111" t="s">
        <v>34</v>
      </c>
      <c r="M111">
        <v>26</v>
      </c>
      <c r="N111">
        <v>7.5</v>
      </c>
      <c r="O111">
        <v>7.6</v>
      </c>
      <c r="P111">
        <v>11</v>
      </c>
      <c r="Q111">
        <v>0</v>
      </c>
      <c r="R111">
        <v>0</v>
      </c>
      <c r="S111">
        <v>0</v>
      </c>
      <c r="T111">
        <v>23</v>
      </c>
      <c r="U111">
        <v>23</v>
      </c>
      <c r="V111" s="9">
        <v>122</v>
      </c>
      <c r="W111">
        <v>532</v>
      </c>
      <c r="X111">
        <v>122</v>
      </c>
      <c r="Y111">
        <v>19</v>
      </c>
      <c r="Z111">
        <v>47</v>
      </c>
      <c r="AA111">
        <v>2</v>
      </c>
      <c r="AB111">
        <v>6</v>
      </c>
      <c r="AC111">
        <v>115</v>
      </c>
      <c r="AD111">
        <v>3.5</v>
      </c>
      <c r="AE111">
        <v>8.5</v>
      </c>
      <c r="AF111" s="5">
        <v>0.433</v>
      </c>
      <c r="AG111">
        <v>0.29799999999999999</v>
      </c>
      <c r="AH111">
        <v>1.39</v>
      </c>
      <c r="AI111">
        <v>4.42</v>
      </c>
      <c r="AJ111">
        <v>4.7699999999999996</v>
      </c>
      <c r="AK111">
        <v>9.6</v>
      </c>
      <c r="AL111">
        <v>1.1000000000000001</v>
      </c>
      <c r="AM111">
        <v>33</v>
      </c>
      <c r="AN111">
        <v>67</v>
      </c>
      <c r="AO111">
        <v>14</v>
      </c>
      <c r="AP111">
        <v>11</v>
      </c>
      <c r="AQ111" t="s">
        <v>2327</v>
      </c>
      <c r="AR111">
        <v>92</v>
      </c>
      <c r="AS111" t="s">
        <v>35</v>
      </c>
      <c r="AT111" t="s">
        <v>36</v>
      </c>
      <c r="AU111" s="4">
        <f>HYPERLINK("http://mlb.mlb.com/team/player.jsp?player_id=572140",572140)</f>
        <v>572140</v>
      </c>
      <c r="AV111">
        <v>63</v>
      </c>
      <c r="AW111">
        <v>1063</v>
      </c>
      <c r="AX111">
        <v>85</v>
      </c>
    </row>
    <row r="112" spans="1:50" x14ac:dyDescent="0.3">
      <c r="A112" s="4">
        <f>HYPERLINK("http://legacy.baseballprospectus.com/p/65801",65801)</f>
        <v>65801</v>
      </c>
      <c r="B112" t="s">
        <v>368</v>
      </c>
      <c r="C112" t="s">
        <v>182</v>
      </c>
      <c r="D112" s="10">
        <v>32073</v>
      </c>
      <c r="E112" t="s">
        <v>33</v>
      </c>
      <c r="F112" t="s">
        <v>33</v>
      </c>
      <c r="G112">
        <v>78</v>
      </c>
      <c r="H112">
        <v>215</v>
      </c>
      <c r="I112">
        <v>2018</v>
      </c>
      <c r="J112" s="4" t="str">
        <f>HYPERLINK("http://legacy.baseballprospectus.com/fantasy/dc/index.php?tm=MIN","MIN")</f>
        <v>MIN</v>
      </c>
      <c r="K112" t="s">
        <v>95</v>
      </c>
      <c r="L112" t="s">
        <v>34</v>
      </c>
      <c r="M112">
        <v>30</v>
      </c>
      <c r="N112">
        <v>9.3000000000000007</v>
      </c>
      <c r="O112">
        <v>9.1999999999999993</v>
      </c>
      <c r="P112">
        <v>13</v>
      </c>
      <c r="Q112">
        <v>0</v>
      </c>
      <c r="R112">
        <v>0</v>
      </c>
      <c r="S112">
        <v>0</v>
      </c>
      <c r="T112">
        <v>28</v>
      </c>
      <c r="U112">
        <v>28</v>
      </c>
      <c r="V112" s="9">
        <v>148.33330000000001</v>
      </c>
      <c r="W112">
        <v>657</v>
      </c>
      <c r="X112">
        <v>159</v>
      </c>
      <c r="Y112">
        <v>20</v>
      </c>
      <c r="Z112">
        <v>61</v>
      </c>
      <c r="AA112">
        <v>4</v>
      </c>
      <c r="AB112">
        <v>7</v>
      </c>
      <c r="AC112">
        <v>109</v>
      </c>
      <c r="AD112">
        <v>3.7</v>
      </c>
      <c r="AE112">
        <v>6.6</v>
      </c>
      <c r="AF112" s="5">
        <v>0.499</v>
      </c>
      <c r="AG112">
        <v>0.30199999999999999</v>
      </c>
      <c r="AH112">
        <v>1.5</v>
      </c>
      <c r="AI112">
        <v>4.58</v>
      </c>
      <c r="AJ112">
        <v>4.8600000000000003</v>
      </c>
      <c r="AK112">
        <v>10.3</v>
      </c>
      <c r="AL112">
        <v>1.1000000000000001</v>
      </c>
      <c r="AM112">
        <v>11</v>
      </c>
      <c r="AN112">
        <v>44</v>
      </c>
      <c r="AO112">
        <v>28</v>
      </c>
      <c r="AP112">
        <v>12</v>
      </c>
      <c r="AQ112" t="s">
        <v>2368</v>
      </c>
      <c r="AR112">
        <v>90</v>
      </c>
      <c r="AS112" t="s">
        <v>35</v>
      </c>
      <c r="AT112" t="s">
        <v>36</v>
      </c>
      <c r="AU112" s="4">
        <f>HYPERLINK("http://mlb.mlb.com/team/player.jsp?player_id=502043",502043)</f>
        <v>502043</v>
      </c>
      <c r="AV112">
        <v>25</v>
      </c>
      <c r="AW112">
        <v>1025</v>
      </c>
      <c r="AX112">
        <v>158</v>
      </c>
    </row>
    <row r="113" spans="1:50" x14ac:dyDescent="0.3">
      <c r="A113" s="4">
        <f>HYPERLINK("http://legacy.baseballprospectus.com/p/66543",66543)</f>
        <v>66543</v>
      </c>
      <c r="B113" t="s">
        <v>1576</v>
      </c>
      <c r="C113" t="s">
        <v>1577</v>
      </c>
      <c r="D113" s="10">
        <v>33006</v>
      </c>
      <c r="E113" t="s">
        <v>33</v>
      </c>
      <c r="F113" t="s">
        <v>33</v>
      </c>
      <c r="G113">
        <v>72</v>
      </c>
      <c r="H113">
        <v>210</v>
      </c>
      <c r="I113">
        <v>2018</v>
      </c>
      <c r="J113" s="4" t="str">
        <f>HYPERLINK("http://legacy.baseballprospectus.com/fantasy/dc/index.php?tm=BAL","BAL")</f>
        <v>BAL</v>
      </c>
      <c r="K113" t="s">
        <v>95</v>
      </c>
      <c r="L113" t="s">
        <v>34</v>
      </c>
      <c r="M113">
        <v>28</v>
      </c>
      <c r="N113">
        <v>2.9</v>
      </c>
      <c r="O113">
        <v>3.2</v>
      </c>
      <c r="P113">
        <v>0</v>
      </c>
      <c r="Q113">
        <v>0</v>
      </c>
      <c r="R113">
        <v>0</v>
      </c>
      <c r="S113">
        <v>1</v>
      </c>
      <c r="T113">
        <v>62</v>
      </c>
      <c r="U113">
        <v>0</v>
      </c>
      <c r="V113" s="9">
        <v>65.333299999999994</v>
      </c>
      <c r="W113">
        <v>274</v>
      </c>
      <c r="X113">
        <v>54</v>
      </c>
      <c r="Y113">
        <v>8</v>
      </c>
      <c r="Z113">
        <v>25</v>
      </c>
      <c r="AA113">
        <v>1</v>
      </c>
      <c r="AB113">
        <v>3</v>
      </c>
      <c r="AC113">
        <v>79</v>
      </c>
      <c r="AD113">
        <v>3.5</v>
      </c>
      <c r="AE113">
        <v>10.9</v>
      </c>
      <c r="AF113" s="5">
        <v>0.41799999999999998</v>
      </c>
      <c r="AG113">
        <v>0.29099999999999998</v>
      </c>
      <c r="AH113">
        <v>1.21</v>
      </c>
      <c r="AI113">
        <v>3.47</v>
      </c>
      <c r="AJ113">
        <v>3.73</v>
      </c>
      <c r="AK113">
        <v>10.3</v>
      </c>
      <c r="AL113">
        <v>1.1000000000000001</v>
      </c>
      <c r="AM113">
        <v>27</v>
      </c>
      <c r="AN113">
        <v>40</v>
      </c>
      <c r="AO113">
        <v>31</v>
      </c>
      <c r="AP113">
        <v>17</v>
      </c>
      <c r="AQ113" t="s">
        <v>2345</v>
      </c>
      <c r="AR113">
        <v>83</v>
      </c>
      <c r="AS113" t="s">
        <v>35</v>
      </c>
      <c r="AT113" t="s">
        <v>36</v>
      </c>
      <c r="AU113" s="4">
        <f>HYPERLINK("http://mlb.mlb.com/team/player.jsp?player_id=571710",571710)</f>
        <v>571710</v>
      </c>
      <c r="AV113">
        <v>227</v>
      </c>
      <c r="AW113">
        <v>1227</v>
      </c>
      <c r="AX113">
        <v>78.7</v>
      </c>
    </row>
    <row r="114" spans="1:50" x14ac:dyDescent="0.3">
      <c r="A114" s="4">
        <f>HYPERLINK("http://legacy.baseballprospectus.com/p/67028",67028)</f>
        <v>67028</v>
      </c>
      <c r="B114" t="s">
        <v>1468</v>
      </c>
      <c r="C114" t="s">
        <v>332</v>
      </c>
      <c r="D114" s="10">
        <v>32727</v>
      </c>
      <c r="E114" t="s">
        <v>33</v>
      </c>
      <c r="F114" t="s">
        <v>33</v>
      </c>
      <c r="G114">
        <v>73</v>
      </c>
      <c r="H114">
        <v>235</v>
      </c>
      <c r="I114">
        <v>2018</v>
      </c>
      <c r="J114" s="4" t="str">
        <f>HYPERLINK("http://legacy.baseballprospectus.com/fantasy/dc/index.php?tm=NYA","NYA")</f>
        <v>NYA</v>
      </c>
      <c r="K114" t="s">
        <v>95</v>
      </c>
      <c r="L114" t="s">
        <v>34</v>
      </c>
      <c r="M114">
        <v>28</v>
      </c>
      <c r="N114">
        <v>2.9</v>
      </c>
      <c r="O114">
        <v>2.2000000000000002</v>
      </c>
      <c r="P114">
        <v>0</v>
      </c>
      <c r="Q114">
        <v>0</v>
      </c>
      <c r="R114">
        <v>0</v>
      </c>
      <c r="S114">
        <v>1</v>
      </c>
      <c r="T114">
        <v>51</v>
      </c>
      <c r="U114">
        <v>0</v>
      </c>
      <c r="V114" s="9">
        <v>54.333300000000001</v>
      </c>
      <c r="W114">
        <v>224</v>
      </c>
      <c r="X114">
        <v>41</v>
      </c>
      <c r="Y114">
        <v>6</v>
      </c>
      <c r="Z114">
        <v>23</v>
      </c>
      <c r="AA114">
        <v>2</v>
      </c>
      <c r="AB114">
        <v>2</v>
      </c>
      <c r="AC114">
        <v>71</v>
      </c>
      <c r="AD114">
        <v>3.7</v>
      </c>
      <c r="AE114">
        <v>11.8</v>
      </c>
      <c r="AF114" s="5">
        <v>0.45400000000000001</v>
      </c>
      <c r="AG114">
        <v>0.28699999999999998</v>
      </c>
      <c r="AH114">
        <v>1.17</v>
      </c>
      <c r="AI114">
        <v>3.01</v>
      </c>
      <c r="AJ114">
        <v>3.41</v>
      </c>
      <c r="AK114">
        <v>10.3</v>
      </c>
      <c r="AL114">
        <v>1.1000000000000001</v>
      </c>
      <c r="AM114">
        <v>35</v>
      </c>
      <c r="AN114">
        <v>52</v>
      </c>
      <c r="AO114">
        <v>21</v>
      </c>
      <c r="AP114">
        <v>14</v>
      </c>
      <c r="AQ114" t="s">
        <v>2401</v>
      </c>
      <c r="AR114">
        <v>87</v>
      </c>
      <c r="AS114" t="s">
        <v>35</v>
      </c>
      <c r="AT114" t="s">
        <v>36</v>
      </c>
      <c r="AU114" s="4">
        <f>HYPERLINK("http://mlb.mlb.com/team/player.jsp?player_id=592454",592454)</f>
        <v>592454</v>
      </c>
      <c r="AV114">
        <v>252</v>
      </c>
      <c r="AW114">
        <v>1252</v>
      </c>
      <c r="AX114">
        <v>62.7</v>
      </c>
    </row>
    <row r="115" spans="1:50" x14ac:dyDescent="0.3">
      <c r="A115" s="4">
        <f>HYPERLINK("http://legacy.baseballprospectus.com/p/68565",68565)</f>
        <v>68565</v>
      </c>
      <c r="B115" t="s">
        <v>389</v>
      </c>
      <c r="C115" t="s">
        <v>713</v>
      </c>
      <c r="D115" s="10">
        <v>33382</v>
      </c>
      <c r="E115" t="s">
        <v>9</v>
      </c>
      <c r="F115" t="s">
        <v>33</v>
      </c>
      <c r="G115">
        <v>75</v>
      </c>
      <c r="H115">
        <v>210</v>
      </c>
      <c r="I115">
        <v>2018</v>
      </c>
      <c r="J115" s="4" t="str">
        <f>HYPERLINK("http://legacy.baseballprospectus.com/fantasy/dc/index.php?tm=NYA","NYA")</f>
        <v>NYA</v>
      </c>
      <c r="K115" t="s">
        <v>95</v>
      </c>
      <c r="L115" t="s">
        <v>34</v>
      </c>
      <c r="M115">
        <v>27</v>
      </c>
      <c r="N115">
        <v>2.9</v>
      </c>
      <c r="O115">
        <v>2.2000000000000002</v>
      </c>
      <c r="P115">
        <v>0</v>
      </c>
      <c r="Q115">
        <v>0</v>
      </c>
      <c r="R115">
        <v>0</v>
      </c>
      <c r="S115">
        <v>1</v>
      </c>
      <c r="T115">
        <v>51</v>
      </c>
      <c r="U115">
        <v>0</v>
      </c>
      <c r="V115" s="9">
        <v>54.333300000000001</v>
      </c>
      <c r="W115">
        <v>223</v>
      </c>
      <c r="X115">
        <v>44</v>
      </c>
      <c r="Y115">
        <v>7</v>
      </c>
      <c r="Z115">
        <v>19</v>
      </c>
      <c r="AA115">
        <v>2</v>
      </c>
      <c r="AB115">
        <v>2</v>
      </c>
      <c r="AC115">
        <v>69</v>
      </c>
      <c r="AD115">
        <v>3.1</v>
      </c>
      <c r="AE115">
        <v>11.4</v>
      </c>
      <c r="AF115" s="5">
        <v>0.42799999999999999</v>
      </c>
      <c r="AG115">
        <v>0.29299999999999998</v>
      </c>
      <c r="AH115">
        <v>1.1599999999999999</v>
      </c>
      <c r="AI115">
        <v>3.07</v>
      </c>
      <c r="AJ115">
        <v>3.46</v>
      </c>
      <c r="AK115">
        <v>10.1</v>
      </c>
      <c r="AL115">
        <v>1.1000000000000001</v>
      </c>
      <c r="AM115">
        <v>34</v>
      </c>
      <c r="AN115">
        <v>56</v>
      </c>
      <c r="AO115">
        <v>16</v>
      </c>
      <c r="AP115">
        <v>25</v>
      </c>
      <c r="AQ115" t="s">
        <v>2370</v>
      </c>
      <c r="AR115">
        <v>81</v>
      </c>
      <c r="AS115" t="s">
        <v>35</v>
      </c>
      <c r="AT115" t="s">
        <v>36</v>
      </c>
      <c r="AU115" s="4">
        <f>HYPERLINK("http://mlb.mlb.com/team/player.jsp?player_id=643338",643338)</f>
        <v>643338</v>
      </c>
      <c r="AV115">
        <v>72</v>
      </c>
      <c r="AW115">
        <v>1072</v>
      </c>
      <c r="AX115">
        <v>69</v>
      </c>
    </row>
    <row r="116" spans="1:50" x14ac:dyDescent="0.3">
      <c r="A116" s="4">
        <f>HYPERLINK("http://legacy.baseballprospectus.com/p/99821",99821)</f>
        <v>99821</v>
      </c>
      <c r="B116" t="s">
        <v>1314</v>
      </c>
      <c r="C116" t="s">
        <v>808</v>
      </c>
      <c r="D116" s="10">
        <v>33387</v>
      </c>
      <c r="E116" t="s">
        <v>33</v>
      </c>
      <c r="F116" t="s">
        <v>9</v>
      </c>
      <c r="G116">
        <v>74</v>
      </c>
      <c r="H116">
        <v>200</v>
      </c>
      <c r="I116">
        <v>2018</v>
      </c>
      <c r="J116" s="4" t="str">
        <f>HYPERLINK("http://legacy.baseballprospectus.com/fantasy/dc/index.php?tm=NYN","NYN")</f>
        <v>NYN</v>
      </c>
      <c r="K116" t="s">
        <v>100</v>
      </c>
      <c r="L116" t="s">
        <v>34</v>
      </c>
      <c r="M116">
        <v>27</v>
      </c>
      <c r="N116">
        <v>6.3</v>
      </c>
      <c r="O116">
        <v>6.8</v>
      </c>
      <c r="P116">
        <v>10</v>
      </c>
      <c r="Q116">
        <v>0</v>
      </c>
      <c r="R116">
        <v>0</v>
      </c>
      <c r="S116">
        <v>0</v>
      </c>
      <c r="T116">
        <v>19</v>
      </c>
      <c r="U116">
        <v>19</v>
      </c>
      <c r="V116" s="9">
        <v>108.33329999999999</v>
      </c>
      <c r="W116">
        <v>459</v>
      </c>
      <c r="X116">
        <v>104</v>
      </c>
      <c r="Y116">
        <v>15</v>
      </c>
      <c r="Z116">
        <v>36</v>
      </c>
      <c r="AA116">
        <v>2</v>
      </c>
      <c r="AB116">
        <v>4</v>
      </c>
      <c r="AC116">
        <v>104</v>
      </c>
      <c r="AD116">
        <v>3</v>
      </c>
      <c r="AE116">
        <v>8.6</v>
      </c>
      <c r="AF116" s="5">
        <v>0.48799999999999999</v>
      </c>
      <c r="AG116">
        <v>0.29599999999999999</v>
      </c>
      <c r="AH116">
        <v>1.3</v>
      </c>
      <c r="AI116">
        <v>4.0999999999999996</v>
      </c>
      <c r="AJ116">
        <v>4.4000000000000004</v>
      </c>
      <c r="AK116">
        <v>9.6999999999999993</v>
      </c>
      <c r="AL116">
        <v>1.1000000000000001</v>
      </c>
      <c r="AM116">
        <v>28</v>
      </c>
      <c r="AN116">
        <v>54</v>
      </c>
      <c r="AO116">
        <v>17</v>
      </c>
      <c r="AP116">
        <v>10</v>
      </c>
      <c r="AQ116" t="s">
        <v>2383</v>
      </c>
      <c r="AR116">
        <v>88</v>
      </c>
      <c r="AS116" t="s">
        <v>35</v>
      </c>
      <c r="AT116" t="s">
        <v>36</v>
      </c>
      <c r="AU116" s="4">
        <f>HYPERLINK("http://mlb.mlb.com/team/player.jsp?player_id=571927",571927)</f>
        <v>571927</v>
      </c>
      <c r="AV116">
        <v>1074</v>
      </c>
      <c r="AW116">
        <v>74</v>
      </c>
      <c r="AX116">
        <v>66.7</v>
      </c>
    </row>
    <row r="117" spans="1:50" x14ac:dyDescent="0.3">
      <c r="A117" s="4">
        <f>HYPERLINK("http://legacy.baseballprospectus.com/p/100945",100945)</f>
        <v>100945</v>
      </c>
      <c r="B117" t="s">
        <v>237</v>
      </c>
      <c r="C117" t="s">
        <v>304</v>
      </c>
      <c r="D117" s="10">
        <v>33950</v>
      </c>
      <c r="E117" t="s">
        <v>33</v>
      </c>
      <c r="F117" t="s">
        <v>33</v>
      </c>
      <c r="G117">
        <v>74</v>
      </c>
      <c r="H117">
        <v>190</v>
      </c>
      <c r="I117">
        <v>2018</v>
      </c>
      <c r="J117" s="4" t="str">
        <f>HYPERLINK("http://legacy.baseballprospectus.com/fantasy/dc/index.php?tm=CIN","CIN")</f>
        <v>CIN</v>
      </c>
      <c r="K117" t="s">
        <v>100</v>
      </c>
      <c r="L117" t="s">
        <v>34</v>
      </c>
      <c r="M117">
        <v>25</v>
      </c>
      <c r="N117">
        <v>7.2</v>
      </c>
      <c r="O117">
        <v>8.5</v>
      </c>
      <c r="P117">
        <v>12</v>
      </c>
      <c r="Q117">
        <v>0</v>
      </c>
      <c r="R117">
        <v>0</v>
      </c>
      <c r="S117">
        <v>0</v>
      </c>
      <c r="T117">
        <v>24</v>
      </c>
      <c r="U117">
        <v>24</v>
      </c>
      <c r="V117" s="9">
        <v>127.33329999999999</v>
      </c>
      <c r="W117">
        <v>542</v>
      </c>
      <c r="X117">
        <v>123</v>
      </c>
      <c r="Y117">
        <v>21</v>
      </c>
      <c r="Z117">
        <v>43</v>
      </c>
      <c r="AA117">
        <v>2</v>
      </c>
      <c r="AB117">
        <v>5</v>
      </c>
      <c r="AC117">
        <v>123</v>
      </c>
      <c r="AD117">
        <v>3.1</v>
      </c>
      <c r="AE117">
        <v>8.6999999999999993</v>
      </c>
      <c r="AF117" s="5">
        <v>0.46800000000000003</v>
      </c>
      <c r="AG117">
        <v>0.29299999999999998</v>
      </c>
      <c r="AH117">
        <v>1.3</v>
      </c>
      <c r="AI117">
        <v>4.49</v>
      </c>
      <c r="AJ117">
        <v>4.54</v>
      </c>
      <c r="AK117">
        <v>9.6</v>
      </c>
      <c r="AL117">
        <v>1.1000000000000001</v>
      </c>
      <c r="AM117">
        <v>26</v>
      </c>
      <c r="AN117">
        <v>62</v>
      </c>
      <c r="AO117">
        <v>16</v>
      </c>
      <c r="AP117">
        <v>21</v>
      </c>
      <c r="AQ117" t="s">
        <v>2324</v>
      </c>
      <c r="AR117">
        <v>86</v>
      </c>
      <c r="AS117" t="s">
        <v>35</v>
      </c>
      <c r="AT117" t="s">
        <v>36</v>
      </c>
      <c r="AU117" s="4">
        <f>HYPERLINK("http://mlb.mlb.com/team/player.jsp?player_id=622491",622491)</f>
        <v>622491</v>
      </c>
      <c r="AV117">
        <v>1061</v>
      </c>
      <c r="AW117">
        <v>61</v>
      </c>
      <c r="AX117">
        <v>89.3</v>
      </c>
    </row>
    <row r="118" spans="1:50" x14ac:dyDescent="0.3">
      <c r="A118" s="4">
        <f>HYPERLINK("http://legacy.baseballprospectus.com/p/102123",102123)</f>
        <v>102123</v>
      </c>
      <c r="B118" t="s">
        <v>598</v>
      </c>
      <c r="C118" t="s">
        <v>141</v>
      </c>
      <c r="D118" s="10">
        <v>34575</v>
      </c>
      <c r="E118" t="s">
        <v>33</v>
      </c>
      <c r="F118" t="s">
        <v>33</v>
      </c>
      <c r="G118">
        <v>75</v>
      </c>
      <c r="H118">
        <v>175</v>
      </c>
      <c r="I118">
        <v>2018</v>
      </c>
      <c r="J118" s="4" t="str">
        <f>HYPERLINK("http://legacy.baseballprospectus.com/fantasy/dc/index.php?tm=SLN","SLN")</f>
        <v>SLN</v>
      </c>
      <c r="K118" t="s">
        <v>100</v>
      </c>
      <c r="L118" t="s">
        <v>34</v>
      </c>
      <c r="M118">
        <v>23</v>
      </c>
      <c r="N118">
        <v>3.5</v>
      </c>
      <c r="O118">
        <v>2.6</v>
      </c>
      <c r="P118">
        <v>6</v>
      </c>
      <c r="Q118">
        <v>0</v>
      </c>
      <c r="R118">
        <v>0</v>
      </c>
      <c r="S118">
        <v>0</v>
      </c>
      <c r="T118">
        <v>10</v>
      </c>
      <c r="U118">
        <v>10</v>
      </c>
      <c r="V118" s="9">
        <v>50</v>
      </c>
      <c r="W118">
        <v>208</v>
      </c>
      <c r="X118">
        <v>38</v>
      </c>
      <c r="Y118">
        <v>5</v>
      </c>
      <c r="Z118">
        <v>21</v>
      </c>
      <c r="AA118">
        <v>1</v>
      </c>
      <c r="AB118">
        <v>2</v>
      </c>
      <c r="AC118">
        <v>69</v>
      </c>
      <c r="AD118">
        <v>3.7</v>
      </c>
      <c r="AE118">
        <v>12.4</v>
      </c>
      <c r="AF118" s="5">
        <v>0.42499999999999999</v>
      </c>
      <c r="AG118">
        <v>0.29899999999999999</v>
      </c>
      <c r="AH118">
        <v>1.2</v>
      </c>
      <c r="AI118">
        <v>3.11</v>
      </c>
      <c r="AJ118">
        <v>3.26</v>
      </c>
      <c r="AK118">
        <v>10.3</v>
      </c>
      <c r="AL118">
        <v>1.1000000000000001</v>
      </c>
      <c r="AM118">
        <v>28</v>
      </c>
      <c r="AN118">
        <v>57</v>
      </c>
      <c r="AO118">
        <v>14</v>
      </c>
      <c r="AP118">
        <v>19</v>
      </c>
      <c r="AQ118" t="s">
        <v>2358</v>
      </c>
      <c r="AR118">
        <v>84</v>
      </c>
      <c r="AS118" t="s">
        <v>35</v>
      </c>
      <c r="AT118" t="s">
        <v>35</v>
      </c>
      <c r="AU118" s="4">
        <f>HYPERLINK("http://mlb.mlb.com/team/player.jsp?player_id=621052",621052)</f>
        <v>621052</v>
      </c>
      <c r="AV118">
        <v>1147</v>
      </c>
      <c r="AW118">
        <v>147</v>
      </c>
      <c r="AX118">
        <v>0</v>
      </c>
    </row>
    <row r="119" spans="1:50" x14ac:dyDescent="0.3">
      <c r="A119" s="4">
        <f>HYPERLINK("http://legacy.baseballprospectus.com/p/102294",102294)</f>
        <v>102294</v>
      </c>
      <c r="B119" t="s">
        <v>437</v>
      </c>
      <c r="C119" t="s">
        <v>1565</v>
      </c>
      <c r="D119" s="10">
        <v>32877</v>
      </c>
      <c r="E119" t="s">
        <v>33</v>
      </c>
      <c r="F119" t="s">
        <v>33</v>
      </c>
      <c r="G119">
        <v>74</v>
      </c>
      <c r="H119">
        <v>188</v>
      </c>
      <c r="I119">
        <v>2018</v>
      </c>
      <c r="J119" s="4" t="str">
        <f>HYPERLINK("http://legacy.baseballprospectus.com/fantasy/dc/index.php?tm=CIN","CIN")</f>
        <v>CIN</v>
      </c>
      <c r="K119" t="s">
        <v>100</v>
      </c>
      <c r="L119" t="s">
        <v>34</v>
      </c>
      <c r="M119">
        <v>28</v>
      </c>
      <c r="N119">
        <v>3</v>
      </c>
      <c r="O119">
        <v>2.8</v>
      </c>
      <c r="P119">
        <v>0</v>
      </c>
      <c r="Q119">
        <v>0</v>
      </c>
      <c r="R119">
        <v>25</v>
      </c>
      <c r="S119">
        <v>4</v>
      </c>
      <c r="T119">
        <v>59</v>
      </c>
      <c r="U119">
        <v>0</v>
      </c>
      <c r="V119" s="9">
        <v>62.666699999999999</v>
      </c>
      <c r="W119">
        <v>258</v>
      </c>
      <c r="X119">
        <v>50</v>
      </c>
      <c r="Y119">
        <v>7</v>
      </c>
      <c r="Z119">
        <v>24</v>
      </c>
      <c r="AA119">
        <v>2</v>
      </c>
      <c r="AB119">
        <v>3</v>
      </c>
      <c r="AC119">
        <v>74</v>
      </c>
      <c r="AD119">
        <v>3.4</v>
      </c>
      <c r="AE119">
        <v>10.7</v>
      </c>
      <c r="AF119" s="5">
        <v>0.442</v>
      </c>
      <c r="AG119">
        <v>0.28599999999999998</v>
      </c>
      <c r="AH119">
        <v>1.17</v>
      </c>
      <c r="AI119">
        <v>3.18</v>
      </c>
      <c r="AJ119">
        <v>3.39</v>
      </c>
      <c r="AK119">
        <v>10.4</v>
      </c>
      <c r="AL119">
        <v>1.1000000000000001</v>
      </c>
      <c r="AM119">
        <v>17</v>
      </c>
      <c r="AN119">
        <v>35</v>
      </c>
      <c r="AO119">
        <v>34</v>
      </c>
      <c r="AP119">
        <v>11</v>
      </c>
      <c r="AQ119" t="s">
        <v>2336</v>
      </c>
      <c r="AR119">
        <v>93</v>
      </c>
      <c r="AS119" t="s">
        <v>35</v>
      </c>
      <c r="AT119" t="s">
        <v>36</v>
      </c>
      <c r="AU119" s="4">
        <f>HYPERLINK("http://mlb.mlb.com/team/player.jsp?player_id=628452",628452)</f>
        <v>628452</v>
      </c>
      <c r="AV119">
        <v>1238</v>
      </c>
      <c r="AW119">
        <v>238</v>
      </c>
      <c r="AX119">
        <v>76</v>
      </c>
    </row>
    <row r="120" spans="1:50" x14ac:dyDescent="0.3">
      <c r="A120" s="4">
        <f>HYPERLINK("http://legacy.baseballprospectus.com/p/50199",50199)</f>
        <v>50199</v>
      </c>
      <c r="B120" t="s">
        <v>740</v>
      </c>
      <c r="C120" t="s">
        <v>272</v>
      </c>
      <c r="D120" s="10">
        <v>32203</v>
      </c>
      <c r="E120" t="s">
        <v>33</v>
      </c>
      <c r="F120" t="s">
        <v>33</v>
      </c>
      <c r="G120">
        <v>76</v>
      </c>
      <c r="H120">
        <v>240</v>
      </c>
      <c r="I120">
        <v>2018</v>
      </c>
      <c r="J120" s="4" t="str">
        <f>HYPERLINK("http://legacy.baseballprospectus.com/fantasy/dc/index.php?tm=OAK","OAK")</f>
        <v>OAK</v>
      </c>
      <c r="K120" t="s">
        <v>95</v>
      </c>
      <c r="L120" t="s">
        <v>34</v>
      </c>
      <c r="M120">
        <v>30</v>
      </c>
      <c r="N120">
        <v>7.9</v>
      </c>
      <c r="O120">
        <v>8.1</v>
      </c>
      <c r="P120">
        <v>10</v>
      </c>
      <c r="Q120">
        <v>0</v>
      </c>
      <c r="R120">
        <v>0</v>
      </c>
      <c r="S120">
        <v>0</v>
      </c>
      <c r="T120">
        <v>23</v>
      </c>
      <c r="U120">
        <v>23</v>
      </c>
      <c r="V120" s="9">
        <v>131</v>
      </c>
      <c r="W120">
        <v>582</v>
      </c>
      <c r="X120">
        <v>133</v>
      </c>
      <c r="Y120">
        <v>17</v>
      </c>
      <c r="Z120">
        <v>60</v>
      </c>
      <c r="AA120">
        <v>2</v>
      </c>
      <c r="AB120">
        <v>6</v>
      </c>
      <c r="AC120">
        <v>113</v>
      </c>
      <c r="AD120">
        <v>4.0999999999999996</v>
      </c>
      <c r="AE120">
        <v>7.8</v>
      </c>
      <c r="AF120" s="5">
        <v>0.52500000000000002</v>
      </c>
      <c r="AG120">
        <v>0.30099999999999999</v>
      </c>
      <c r="AH120">
        <v>1.49</v>
      </c>
      <c r="AI120">
        <v>4.62</v>
      </c>
      <c r="AJ120">
        <v>4.8899999999999997</v>
      </c>
      <c r="AK120">
        <v>8.6999999999999993</v>
      </c>
      <c r="AL120">
        <v>1</v>
      </c>
      <c r="AM120">
        <v>16</v>
      </c>
      <c r="AN120">
        <v>46</v>
      </c>
      <c r="AO120">
        <v>15</v>
      </c>
      <c r="AP120">
        <v>9</v>
      </c>
      <c r="AQ120" t="s">
        <v>2509</v>
      </c>
      <c r="AR120">
        <v>83</v>
      </c>
      <c r="AS120" t="s">
        <v>35</v>
      </c>
      <c r="AT120" t="s">
        <v>36</v>
      </c>
      <c r="AU120" s="4">
        <f>HYPERLINK("http://mlb.mlb.com/team/player.jsp?player_id=502239",502239)</f>
        <v>502239</v>
      </c>
      <c r="AV120">
        <v>0</v>
      </c>
      <c r="AW120">
        <v>0</v>
      </c>
      <c r="AX120">
        <v>84</v>
      </c>
    </row>
    <row r="121" spans="1:50" x14ac:dyDescent="0.3">
      <c r="A121" s="4">
        <f>HYPERLINK("http://legacy.baseballprospectus.com/p/52353",52353)</f>
        <v>52353</v>
      </c>
      <c r="B121" t="s">
        <v>796</v>
      </c>
      <c r="C121" t="s">
        <v>772</v>
      </c>
      <c r="D121" s="10">
        <v>30716</v>
      </c>
      <c r="E121" t="s">
        <v>9</v>
      </c>
      <c r="F121" t="s">
        <v>33</v>
      </c>
      <c r="G121">
        <v>80</v>
      </c>
      <c r="H121">
        <v>210</v>
      </c>
      <c r="I121">
        <v>2018</v>
      </c>
      <c r="J121" s="4" t="str">
        <f>HYPERLINK("http://legacy.baseballprospectus.com/fantasy/dc/index.php?tm=TEX","TEX")</f>
        <v>TEX</v>
      </c>
      <c r="K121" t="s">
        <v>95</v>
      </c>
      <c r="L121" t="s">
        <v>34</v>
      </c>
      <c r="M121">
        <v>34</v>
      </c>
      <c r="N121">
        <v>8</v>
      </c>
      <c r="O121">
        <v>8.5</v>
      </c>
      <c r="P121">
        <v>11</v>
      </c>
      <c r="Q121">
        <v>0</v>
      </c>
      <c r="R121">
        <v>0</v>
      </c>
      <c r="S121">
        <v>0</v>
      </c>
      <c r="T121">
        <v>24</v>
      </c>
      <c r="U121">
        <v>24</v>
      </c>
      <c r="V121" s="9">
        <v>136.66669999999999</v>
      </c>
      <c r="W121">
        <v>611</v>
      </c>
      <c r="X121">
        <v>147</v>
      </c>
      <c r="Y121">
        <v>18</v>
      </c>
      <c r="Z121">
        <v>57</v>
      </c>
      <c r="AA121">
        <v>2</v>
      </c>
      <c r="AB121">
        <v>8</v>
      </c>
      <c r="AC121">
        <v>98</v>
      </c>
      <c r="AD121">
        <v>3.7</v>
      </c>
      <c r="AE121">
        <v>6.4</v>
      </c>
      <c r="AF121" s="5">
        <v>0.47799999999999998</v>
      </c>
      <c r="AG121">
        <v>0.3</v>
      </c>
      <c r="AH121">
        <v>1.51</v>
      </c>
      <c r="AI121">
        <v>4.88</v>
      </c>
      <c r="AJ121">
        <v>4.91</v>
      </c>
      <c r="AK121">
        <v>8.8000000000000007</v>
      </c>
      <c r="AL121">
        <v>1</v>
      </c>
      <c r="AM121">
        <v>15</v>
      </c>
      <c r="AN121">
        <v>46</v>
      </c>
      <c r="AO121">
        <v>16</v>
      </c>
      <c r="AP121">
        <v>11</v>
      </c>
      <c r="AQ121" t="s">
        <v>2341</v>
      </c>
      <c r="AR121">
        <v>93</v>
      </c>
      <c r="AS121" t="s">
        <v>35</v>
      </c>
      <c r="AT121" t="s">
        <v>36</v>
      </c>
      <c r="AU121" s="4">
        <f>HYPERLINK("http://mlb.mlb.com/team/player.jsp?player_id=450729",450729)</f>
        <v>450729</v>
      </c>
      <c r="AV121">
        <v>59</v>
      </c>
      <c r="AW121">
        <v>1059</v>
      </c>
      <c r="AX121">
        <v>90.3</v>
      </c>
    </row>
    <row r="122" spans="1:50" x14ac:dyDescent="0.3">
      <c r="A122" s="4">
        <f>HYPERLINK("http://legacy.baseballprospectus.com/p/55735",55735)</f>
        <v>55735</v>
      </c>
      <c r="B122" t="s">
        <v>763</v>
      </c>
      <c r="C122" t="s">
        <v>141</v>
      </c>
      <c r="D122" s="10">
        <v>32508</v>
      </c>
      <c r="E122" t="s">
        <v>33</v>
      </c>
      <c r="F122" t="s">
        <v>33</v>
      </c>
      <c r="G122">
        <v>73</v>
      </c>
      <c r="H122">
        <v>220</v>
      </c>
      <c r="I122">
        <v>2018</v>
      </c>
      <c r="J122" s="4" t="str">
        <f>HYPERLINK("http://legacy.baseballprospectus.com/fantasy/dc/index.php?tm=TBA","TBA")</f>
        <v>TBA</v>
      </c>
      <c r="K122" t="s">
        <v>95</v>
      </c>
      <c r="L122" t="s">
        <v>34</v>
      </c>
      <c r="M122">
        <v>29</v>
      </c>
      <c r="N122">
        <v>3.6</v>
      </c>
      <c r="O122">
        <v>2.9</v>
      </c>
      <c r="P122">
        <v>0</v>
      </c>
      <c r="Q122">
        <v>0</v>
      </c>
      <c r="R122">
        <v>31</v>
      </c>
      <c r="S122">
        <v>5</v>
      </c>
      <c r="T122">
        <v>64</v>
      </c>
      <c r="U122">
        <v>0</v>
      </c>
      <c r="V122" s="9">
        <v>68</v>
      </c>
      <c r="W122">
        <v>289</v>
      </c>
      <c r="X122">
        <v>59</v>
      </c>
      <c r="Y122">
        <v>6</v>
      </c>
      <c r="Z122">
        <v>28</v>
      </c>
      <c r="AA122">
        <v>4</v>
      </c>
      <c r="AB122">
        <v>3</v>
      </c>
      <c r="AC122">
        <v>67</v>
      </c>
      <c r="AD122">
        <v>3.7</v>
      </c>
      <c r="AE122">
        <v>8.9</v>
      </c>
      <c r="AF122" s="5">
        <v>0.46500000000000002</v>
      </c>
      <c r="AG122">
        <v>0.28999999999999998</v>
      </c>
      <c r="AH122">
        <v>1.28</v>
      </c>
      <c r="AI122">
        <v>3.4</v>
      </c>
      <c r="AJ122">
        <v>4.0199999999999996</v>
      </c>
      <c r="AK122">
        <v>8.6999999999999993</v>
      </c>
      <c r="AL122">
        <v>1</v>
      </c>
      <c r="AM122">
        <v>35</v>
      </c>
      <c r="AN122">
        <v>58</v>
      </c>
      <c r="AO122">
        <v>23</v>
      </c>
      <c r="AP122">
        <v>19</v>
      </c>
      <c r="AQ122" t="s">
        <v>2364</v>
      </c>
      <c r="AR122">
        <v>99</v>
      </c>
      <c r="AS122" t="s">
        <v>35</v>
      </c>
      <c r="AT122" t="s">
        <v>36</v>
      </c>
      <c r="AU122" s="4">
        <f>HYPERLINK("http://mlb.mlb.com/team/player.jsp?player_id=517008",517008)</f>
        <v>517008</v>
      </c>
      <c r="AV122">
        <v>241</v>
      </c>
      <c r="AW122">
        <v>1241</v>
      </c>
      <c r="AX122">
        <v>66.7</v>
      </c>
    </row>
    <row r="123" spans="1:50" x14ac:dyDescent="0.3">
      <c r="A123" s="4">
        <f>HYPERLINK("http://legacy.baseballprospectus.com/p/59179",59179)</f>
        <v>59179</v>
      </c>
      <c r="B123" t="s">
        <v>171</v>
      </c>
      <c r="C123" t="s">
        <v>254</v>
      </c>
      <c r="D123" s="10">
        <v>32007</v>
      </c>
      <c r="E123" t="s">
        <v>9</v>
      </c>
      <c r="F123" t="s">
        <v>9</v>
      </c>
      <c r="G123">
        <v>74</v>
      </c>
      <c r="H123">
        <v>205</v>
      </c>
      <c r="I123">
        <v>2018</v>
      </c>
      <c r="J123" s="4" t="str">
        <f>HYPERLINK("http://legacy.baseballprospectus.com/fantasy/dc/index.php?tm=CHN","CHN")</f>
        <v>CHN</v>
      </c>
      <c r="K123" t="s">
        <v>100</v>
      </c>
      <c r="L123" t="s">
        <v>34</v>
      </c>
      <c r="M123">
        <v>30</v>
      </c>
      <c r="N123">
        <v>2.9</v>
      </c>
      <c r="O123">
        <v>2.4</v>
      </c>
      <c r="P123">
        <v>0</v>
      </c>
      <c r="Q123">
        <v>0</v>
      </c>
      <c r="R123">
        <v>0</v>
      </c>
      <c r="S123">
        <v>1</v>
      </c>
      <c r="T123">
        <v>53</v>
      </c>
      <c r="U123">
        <v>0</v>
      </c>
      <c r="V123" s="9">
        <v>56.333300000000001</v>
      </c>
      <c r="W123">
        <v>236</v>
      </c>
      <c r="X123">
        <v>46</v>
      </c>
      <c r="Y123">
        <v>6</v>
      </c>
      <c r="Z123">
        <v>24</v>
      </c>
      <c r="AA123">
        <v>2</v>
      </c>
      <c r="AB123">
        <v>2</v>
      </c>
      <c r="AC123">
        <v>69</v>
      </c>
      <c r="AD123">
        <v>3.8</v>
      </c>
      <c r="AE123">
        <v>11</v>
      </c>
      <c r="AF123" s="5">
        <v>0.45300000000000001</v>
      </c>
      <c r="AG123">
        <v>0.29599999999999999</v>
      </c>
      <c r="AH123">
        <v>1.23</v>
      </c>
      <c r="AI123">
        <v>3.16</v>
      </c>
      <c r="AJ123">
        <v>3.46</v>
      </c>
      <c r="AK123">
        <v>9</v>
      </c>
      <c r="AL123">
        <v>1</v>
      </c>
      <c r="AM123">
        <v>28</v>
      </c>
      <c r="AN123">
        <v>45</v>
      </c>
      <c r="AO123">
        <v>29</v>
      </c>
      <c r="AP123">
        <v>10</v>
      </c>
      <c r="AQ123" t="s">
        <v>2501</v>
      </c>
      <c r="AR123">
        <v>93</v>
      </c>
      <c r="AS123" t="s">
        <v>35</v>
      </c>
      <c r="AT123" t="s">
        <v>36</v>
      </c>
      <c r="AU123" s="4">
        <f>HYPERLINK("http://mlb.mlb.com/team/player.jsp?player_id=458677",458677)</f>
        <v>458677</v>
      </c>
      <c r="AV123">
        <v>1274</v>
      </c>
      <c r="AW123">
        <v>274</v>
      </c>
      <c r="AX123">
        <v>58</v>
      </c>
    </row>
    <row r="124" spans="1:50" x14ac:dyDescent="0.3">
      <c r="A124" s="4">
        <f>HYPERLINK("http://legacy.baseballprospectus.com/p/66570",66570)</f>
        <v>66570</v>
      </c>
      <c r="B124" t="s">
        <v>518</v>
      </c>
      <c r="C124" t="s">
        <v>126</v>
      </c>
      <c r="D124" s="10">
        <v>33347</v>
      </c>
      <c r="E124" t="s">
        <v>9</v>
      </c>
      <c r="F124" t="s">
        <v>33</v>
      </c>
      <c r="G124">
        <v>75</v>
      </c>
      <c r="H124">
        <v>210</v>
      </c>
      <c r="I124">
        <v>2018</v>
      </c>
      <c r="J124" s="4" t="str">
        <f>HYPERLINK("http://legacy.baseballprospectus.com/fantasy/dc/index.php?tm=SDN","SDN")</f>
        <v>SDN</v>
      </c>
      <c r="K124" t="s">
        <v>100</v>
      </c>
      <c r="L124" t="s">
        <v>34</v>
      </c>
      <c r="M124">
        <v>27</v>
      </c>
      <c r="N124">
        <v>5.9</v>
      </c>
      <c r="O124">
        <v>7.1</v>
      </c>
      <c r="P124">
        <v>10</v>
      </c>
      <c r="Q124">
        <v>0</v>
      </c>
      <c r="R124">
        <v>0</v>
      </c>
      <c r="S124">
        <v>0</v>
      </c>
      <c r="T124">
        <v>19</v>
      </c>
      <c r="U124">
        <v>19</v>
      </c>
      <c r="V124" s="9">
        <v>108.33329999999999</v>
      </c>
      <c r="W124">
        <v>466</v>
      </c>
      <c r="X124">
        <v>105</v>
      </c>
      <c r="Y124">
        <v>12</v>
      </c>
      <c r="Z124">
        <v>41</v>
      </c>
      <c r="AA124">
        <v>1</v>
      </c>
      <c r="AB124">
        <v>4</v>
      </c>
      <c r="AC124">
        <v>98</v>
      </c>
      <c r="AD124">
        <v>3.4</v>
      </c>
      <c r="AE124">
        <v>8.1</v>
      </c>
      <c r="AF124" s="5">
        <v>0.48499999999999999</v>
      </c>
      <c r="AG124">
        <v>0.29899999999999999</v>
      </c>
      <c r="AH124">
        <v>1.36</v>
      </c>
      <c r="AI124">
        <v>3.94</v>
      </c>
      <c r="AJ124">
        <v>4.42</v>
      </c>
      <c r="AK124">
        <v>9.5</v>
      </c>
      <c r="AL124">
        <v>1</v>
      </c>
      <c r="AM124">
        <v>30</v>
      </c>
      <c r="AN124">
        <v>47</v>
      </c>
      <c r="AO124">
        <v>18</v>
      </c>
      <c r="AP124">
        <v>25</v>
      </c>
      <c r="AQ124" t="s">
        <v>2400</v>
      </c>
      <c r="AR124">
        <v>79</v>
      </c>
      <c r="AS124" t="s">
        <v>35</v>
      </c>
      <c r="AT124" t="s">
        <v>36</v>
      </c>
      <c r="AU124" s="4">
        <f>HYPERLINK("http://mlb.mlb.com/team/player.jsp?player_id=571951",571951)</f>
        <v>571951</v>
      </c>
      <c r="AV124">
        <v>1097</v>
      </c>
      <c r="AW124">
        <v>97</v>
      </c>
      <c r="AX124">
        <v>32.700000000000003</v>
      </c>
    </row>
    <row r="125" spans="1:50" x14ac:dyDescent="0.3">
      <c r="A125" s="4">
        <f>HYPERLINK("http://legacy.baseballprospectus.com/p/66930",66930)</f>
        <v>66930</v>
      </c>
      <c r="B125" t="s">
        <v>1189</v>
      </c>
      <c r="C125" t="s">
        <v>1296</v>
      </c>
      <c r="D125" s="10">
        <v>33513</v>
      </c>
      <c r="E125" t="s">
        <v>33</v>
      </c>
      <c r="F125" t="s">
        <v>33</v>
      </c>
      <c r="G125">
        <v>72</v>
      </c>
      <c r="H125">
        <v>230</v>
      </c>
      <c r="I125">
        <v>2018</v>
      </c>
      <c r="J125" s="4" t="str">
        <f>HYPERLINK("http://legacy.baseballprospectus.com/fantasy/dc/index.php?tm=ANA","ANA")</f>
        <v>ANA</v>
      </c>
      <c r="K125" t="s">
        <v>95</v>
      </c>
      <c r="L125" t="s">
        <v>34</v>
      </c>
      <c r="M125">
        <v>26</v>
      </c>
      <c r="N125">
        <v>2.7</v>
      </c>
      <c r="O125">
        <v>2.6</v>
      </c>
      <c r="P125">
        <v>0</v>
      </c>
      <c r="Q125">
        <v>0</v>
      </c>
      <c r="R125">
        <v>5</v>
      </c>
      <c r="S125">
        <v>4</v>
      </c>
      <c r="T125">
        <v>54</v>
      </c>
      <c r="U125">
        <v>0</v>
      </c>
      <c r="V125" s="9">
        <v>57.666699999999999</v>
      </c>
      <c r="W125">
        <v>246</v>
      </c>
      <c r="X125">
        <v>51</v>
      </c>
      <c r="Y125">
        <v>6</v>
      </c>
      <c r="Z125">
        <v>24</v>
      </c>
      <c r="AA125">
        <v>2</v>
      </c>
      <c r="AB125">
        <v>2</v>
      </c>
      <c r="AC125">
        <v>66</v>
      </c>
      <c r="AD125">
        <v>3.7</v>
      </c>
      <c r="AE125">
        <v>10.3</v>
      </c>
      <c r="AF125" s="5">
        <v>0.46400000000000002</v>
      </c>
      <c r="AG125">
        <v>0.30299999999999999</v>
      </c>
      <c r="AH125">
        <v>1.31</v>
      </c>
      <c r="AI125">
        <v>3.32</v>
      </c>
      <c r="AJ125">
        <v>3.74</v>
      </c>
      <c r="AK125">
        <v>9</v>
      </c>
      <c r="AL125">
        <v>1</v>
      </c>
      <c r="AM125">
        <v>36</v>
      </c>
      <c r="AN125">
        <v>48</v>
      </c>
      <c r="AO125">
        <v>27</v>
      </c>
      <c r="AP125">
        <v>25</v>
      </c>
      <c r="AQ125" t="s">
        <v>2421</v>
      </c>
      <c r="AR125">
        <v>84</v>
      </c>
      <c r="AS125" t="s">
        <v>35</v>
      </c>
      <c r="AT125" t="s">
        <v>36</v>
      </c>
      <c r="AU125" s="4">
        <f>HYPERLINK("http://mlb.mlb.com/team/player.jsp?player_id=592135",592135)</f>
        <v>592135</v>
      </c>
      <c r="AV125">
        <v>293</v>
      </c>
      <c r="AW125">
        <v>1293</v>
      </c>
      <c r="AX125">
        <v>44.7</v>
      </c>
    </row>
    <row r="126" spans="1:50" x14ac:dyDescent="0.3">
      <c r="A126" s="4">
        <f>HYPERLINK("http://legacy.baseballprospectus.com/p/60664",60664)</f>
        <v>60664</v>
      </c>
      <c r="B126" t="s">
        <v>928</v>
      </c>
      <c r="C126" t="s">
        <v>272</v>
      </c>
      <c r="D126" s="10">
        <v>33022</v>
      </c>
      <c r="E126" t="s">
        <v>33</v>
      </c>
      <c r="F126" t="s">
        <v>33</v>
      </c>
      <c r="G126">
        <v>74</v>
      </c>
      <c r="H126">
        <v>230</v>
      </c>
      <c r="I126">
        <v>2018</v>
      </c>
      <c r="J126" s="4" t="str">
        <f>HYPERLINK("http://legacy.baseballprospectus.com/fantasy/dc/index.php?tm=SLN","SLN")</f>
        <v>SLN</v>
      </c>
      <c r="K126" t="s">
        <v>100</v>
      </c>
      <c r="L126" t="s">
        <v>34</v>
      </c>
      <c r="M126">
        <v>28</v>
      </c>
      <c r="N126">
        <v>2.2000000000000002</v>
      </c>
      <c r="O126">
        <v>1</v>
      </c>
      <c r="P126">
        <v>0</v>
      </c>
      <c r="Q126">
        <v>0</v>
      </c>
      <c r="R126">
        <v>8.6</v>
      </c>
      <c r="S126">
        <v>0</v>
      </c>
      <c r="T126">
        <v>40.700000000000003</v>
      </c>
      <c r="U126">
        <v>0</v>
      </c>
      <c r="V126" s="9">
        <v>43</v>
      </c>
      <c r="W126">
        <v>174</v>
      </c>
      <c r="X126">
        <v>33</v>
      </c>
      <c r="Y126">
        <v>3</v>
      </c>
      <c r="Z126">
        <v>17</v>
      </c>
      <c r="AA126" t="s">
        <v>1680</v>
      </c>
      <c r="AB126">
        <v>2</v>
      </c>
      <c r="AC126">
        <v>61</v>
      </c>
      <c r="AD126">
        <v>3.6</v>
      </c>
      <c r="AE126">
        <v>12.7</v>
      </c>
      <c r="AF126" s="5">
        <v>0.45619463920593201</v>
      </c>
      <c r="AG126">
        <v>0.33500000000000002</v>
      </c>
      <c r="AH126">
        <v>1.18</v>
      </c>
      <c r="AI126">
        <v>2.67</v>
      </c>
      <c r="AJ126">
        <v>2.95</v>
      </c>
      <c r="AK126">
        <v>9.1999999999999993</v>
      </c>
      <c r="AL126">
        <v>1</v>
      </c>
      <c r="AM126">
        <v>31</v>
      </c>
      <c r="AN126">
        <v>55</v>
      </c>
      <c r="AO126">
        <v>23</v>
      </c>
      <c r="AP126">
        <v>9</v>
      </c>
      <c r="AQ126" t="s">
        <v>2467</v>
      </c>
      <c r="AR126">
        <v>91</v>
      </c>
      <c r="AS126" t="s">
        <v>36</v>
      </c>
      <c r="AT126" t="s">
        <v>36</v>
      </c>
      <c r="AU126" s="4">
        <f>HYPERLINK("http://mlb.mlb.com/team/player.jsp?player_id=572096",572096)</f>
        <v>572096</v>
      </c>
      <c r="AV126">
        <v>0</v>
      </c>
      <c r="AW126">
        <v>0</v>
      </c>
      <c r="AX126">
        <v>47.7</v>
      </c>
    </row>
    <row r="127" spans="1:50" x14ac:dyDescent="0.3">
      <c r="A127" s="4">
        <f>HYPERLINK("http://legacy.baseballprospectus.com/p/67107",67107)</f>
        <v>67107</v>
      </c>
      <c r="B127" t="s">
        <v>616</v>
      </c>
      <c r="C127" t="s">
        <v>277</v>
      </c>
      <c r="D127" s="10">
        <v>33786</v>
      </c>
      <c r="E127" t="s">
        <v>33</v>
      </c>
      <c r="F127" t="s">
        <v>33</v>
      </c>
      <c r="G127">
        <v>76</v>
      </c>
      <c r="H127">
        <v>215</v>
      </c>
      <c r="I127">
        <v>2018</v>
      </c>
      <c r="J127" s="4" t="str">
        <f>HYPERLINK("http://legacy.baseballprospectus.com/fantasy/dc/index.php?tm=TOR","TOR")</f>
        <v>TOR</v>
      </c>
      <c r="K127" t="s">
        <v>95</v>
      </c>
      <c r="L127" t="s">
        <v>34</v>
      </c>
      <c r="M127">
        <v>25</v>
      </c>
      <c r="N127">
        <v>8.4</v>
      </c>
      <c r="O127">
        <v>8.1</v>
      </c>
      <c r="P127">
        <v>10</v>
      </c>
      <c r="Q127">
        <v>0</v>
      </c>
      <c r="R127">
        <v>0</v>
      </c>
      <c r="S127">
        <v>0</v>
      </c>
      <c r="T127">
        <v>23</v>
      </c>
      <c r="U127">
        <v>23</v>
      </c>
      <c r="V127" s="9">
        <v>138</v>
      </c>
      <c r="W127">
        <v>595</v>
      </c>
      <c r="X127">
        <v>134</v>
      </c>
      <c r="Y127">
        <v>17</v>
      </c>
      <c r="Z127">
        <v>59</v>
      </c>
      <c r="AA127">
        <v>2</v>
      </c>
      <c r="AB127">
        <v>4</v>
      </c>
      <c r="AC127">
        <v>108</v>
      </c>
      <c r="AD127">
        <v>3.9</v>
      </c>
      <c r="AE127">
        <v>7</v>
      </c>
      <c r="AF127" s="5">
        <v>0.50800000000000001</v>
      </c>
      <c r="AG127">
        <v>0.28599999999999998</v>
      </c>
      <c r="AH127">
        <v>1.38</v>
      </c>
      <c r="AI127">
        <v>4.5</v>
      </c>
      <c r="AJ127">
        <v>4.8899999999999997</v>
      </c>
      <c r="AK127">
        <v>9.1</v>
      </c>
      <c r="AL127">
        <v>1</v>
      </c>
      <c r="AM127">
        <v>26</v>
      </c>
      <c r="AN127">
        <v>58</v>
      </c>
      <c r="AO127">
        <v>19</v>
      </c>
      <c r="AP127">
        <v>17</v>
      </c>
      <c r="AQ127" t="s">
        <v>2369</v>
      </c>
      <c r="AR127">
        <v>94</v>
      </c>
      <c r="AS127" t="s">
        <v>35</v>
      </c>
      <c r="AT127" t="s">
        <v>36</v>
      </c>
      <c r="AU127" s="4">
        <f>HYPERLINK("http://mlb.mlb.com/team/player.jsp?player_id=592717",592717)</f>
        <v>592717</v>
      </c>
      <c r="AV127">
        <v>89</v>
      </c>
      <c r="AW127">
        <v>1089</v>
      </c>
      <c r="AX127">
        <v>36</v>
      </c>
    </row>
    <row r="128" spans="1:50" x14ac:dyDescent="0.3">
      <c r="A128" s="4">
        <f>HYPERLINK("http://legacy.baseballprospectus.com/p/68804",68804)</f>
        <v>68804</v>
      </c>
      <c r="B128" t="s">
        <v>1297</v>
      </c>
      <c r="C128" t="s">
        <v>176</v>
      </c>
      <c r="D128" s="10">
        <v>32324</v>
      </c>
      <c r="E128" t="s">
        <v>33</v>
      </c>
      <c r="F128" t="s">
        <v>33</v>
      </c>
      <c r="G128">
        <v>77</v>
      </c>
      <c r="H128">
        <v>225</v>
      </c>
      <c r="I128">
        <v>2018</v>
      </c>
      <c r="J128" s="4" t="str">
        <f>HYPERLINK("http://legacy.baseballprospectus.com/fantasy/dc/index.php?tm=OAK","OAK")</f>
        <v>OAK</v>
      </c>
      <c r="K128" t="s">
        <v>95</v>
      </c>
      <c r="L128" t="s">
        <v>34</v>
      </c>
      <c r="M128">
        <v>30</v>
      </c>
      <c r="N128">
        <v>2.8</v>
      </c>
      <c r="O128">
        <v>2.8</v>
      </c>
      <c r="P128">
        <v>0</v>
      </c>
      <c r="Q128">
        <v>0</v>
      </c>
      <c r="R128">
        <v>25</v>
      </c>
      <c r="S128">
        <v>4</v>
      </c>
      <c r="T128">
        <v>57</v>
      </c>
      <c r="U128">
        <v>0</v>
      </c>
      <c r="V128" s="9">
        <v>60.333300000000001</v>
      </c>
      <c r="W128">
        <v>256</v>
      </c>
      <c r="X128">
        <v>54</v>
      </c>
      <c r="Y128">
        <v>5</v>
      </c>
      <c r="Z128">
        <v>26</v>
      </c>
      <c r="AA128">
        <v>3</v>
      </c>
      <c r="AB128">
        <v>3</v>
      </c>
      <c r="AC128">
        <v>59</v>
      </c>
      <c r="AD128">
        <v>3.9</v>
      </c>
      <c r="AE128">
        <v>8.6999999999999993</v>
      </c>
      <c r="AF128" s="5">
        <v>0.57799999999999996</v>
      </c>
      <c r="AG128">
        <v>0.3</v>
      </c>
      <c r="AH128">
        <v>1.33</v>
      </c>
      <c r="AI128">
        <v>3.4</v>
      </c>
      <c r="AJ128">
        <v>3.72</v>
      </c>
      <c r="AK128">
        <v>9.5</v>
      </c>
      <c r="AL128">
        <v>1</v>
      </c>
      <c r="AM128">
        <v>24</v>
      </c>
      <c r="AN128">
        <v>53</v>
      </c>
      <c r="AO128">
        <v>24</v>
      </c>
      <c r="AP128">
        <v>19</v>
      </c>
      <c r="AQ128" t="s">
        <v>2372</v>
      </c>
      <c r="AR128">
        <v>89</v>
      </c>
      <c r="AS128" t="s">
        <v>35</v>
      </c>
      <c r="AT128" t="s">
        <v>36</v>
      </c>
      <c r="AU128" s="4">
        <f>HYPERLINK("http://mlb.mlb.com/team/player.jsp?player_id=595014",595014)</f>
        <v>595014</v>
      </c>
      <c r="AV128">
        <v>230</v>
      </c>
      <c r="AW128">
        <v>1230</v>
      </c>
      <c r="AX128">
        <v>75.7</v>
      </c>
    </row>
    <row r="129" spans="1:50" x14ac:dyDescent="0.3">
      <c r="A129" s="4">
        <f>HYPERLINK("http://legacy.baseballprospectus.com/p/68855",68855)</f>
        <v>68855</v>
      </c>
      <c r="B129" t="s">
        <v>1566</v>
      </c>
      <c r="C129" t="s">
        <v>1567</v>
      </c>
      <c r="D129" s="10">
        <v>33056</v>
      </c>
      <c r="E129" t="s">
        <v>33</v>
      </c>
      <c r="F129" t="s">
        <v>33</v>
      </c>
      <c r="G129">
        <v>76</v>
      </c>
      <c r="H129">
        <v>245</v>
      </c>
      <c r="I129">
        <v>2018</v>
      </c>
      <c r="J129" s="4" t="str">
        <f>HYPERLINK("http://legacy.baseballprospectus.com/fantasy/dc/index.php?tm=PHI","PHI")</f>
        <v>PHI</v>
      </c>
      <c r="K129" t="s">
        <v>100</v>
      </c>
      <c r="L129" t="s">
        <v>34</v>
      </c>
      <c r="M129">
        <v>27</v>
      </c>
      <c r="N129">
        <v>8.1</v>
      </c>
      <c r="O129">
        <v>8.6999999999999993</v>
      </c>
      <c r="P129">
        <v>11</v>
      </c>
      <c r="Q129">
        <v>0</v>
      </c>
      <c r="R129">
        <v>0</v>
      </c>
      <c r="S129">
        <v>0</v>
      </c>
      <c r="T129">
        <v>24</v>
      </c>
      <c r="U129">
        <v>24</v>
      </c>
      <c r="V129" s="9">
        <v>136.66669999999999</v>
      </c>
      <c r="W129">
        <v>580</v>
      </c>
      <c r="X129">
        <v>130</v>
      </c>
      <c r="Y129">
        <v>22</v>
      </c>
      <c r="Z129">
        <v>46</v>
      </c>
      <c r="AA129">
        <v>2</v>
      </c>
      <c r="AB129">
        <v>5</v>
      </c>
      <c r="AC129">
        <v>133</v>
      </c>
      <c r="AD129">
        <v>3</v>
      </c>
      <c r="AE129">
        <v>8.6999999999999993</v>
      </c>
      <c r="AF129" s="5">
        <v>0.40300000000000002</v>
      </c>
      <c r="AG129">
        <v>0.28799999999999998</v>
      </c>
      <c r="AH129">
        <v>1.27</v>
      </c>
      <c r="AI129">
        <v>4.43</v>
      </c>
      <c r="AJ129">
        <v>4.6399999999999997</v>
      </c>
      <c r="AK129">
        <v>8.8000000000000007</v>
      </c>
      <c r="AL129">
        <v>1</v>
      </c>
      <c r="AM129">
        <v>29</v>
      </c>
      <c r="AN129">
        <v>55</v>
      </c>
      <c r="AO129">
        <v>18</v>
      </c>
      <c r="AP129">
        <v>19</v>
      </c>
      <c r="AQ129" t="s">
        <v>2310</v>
      </c>
      <c r="AR129">
        <v>90</v>
      </c>
      <c r="AS129" t="s">
        <v>35</v>
      </c>
      <c r="AT129" t="s">
        <v>36</v>
      </c>
      <c r="AU129" s="4">
        <f>HYPERLINK("http://mlb.mlb.com/team/player.jsp?player_id=595191",595191)</f>
        <v>595191</v>
      </c>
      <c r="AV129">
        <v>1044</v>
      </c>
      <c r="AW129">
        <v>44</v>
      </c>
      <c r="AX129">
        <v>128</v>
      </c>
    </row>
    <row r="130" spans="1:50" x14ac:dyDescent="0.3">
      <c r="A130" s="4">
        <f>HYPERLINK("http://legacy.baseballprospectus.com/p/69156",69156)</f>
        <v>69156</v>
      </c>
      <c r="B130" t="s">
        <v>1156</v>
      </c>
      <c r="C130" t="s">
        <v>104</v>
      </c>
      <c r="D130" s="10">
        <v>32748</v>
      </c>
      <c r="E130" t="s">
        <v>33</v>
      </c>
      <c r="F130" t="s">
        <v>33</v>
      </c>
      <c r="G130">
        <v>74</v>
      </c>
      <c r="H130">
        <v>225</v>
      </c>
      <c r="I130">
        <v>2018</v>
      </c>
      <c r="J130" s="4" t="str">
        <f>HYPERLINK("http://legacy.baseballprospectus.com/fantasy/dc/index.php?tm=TBA","TBA")</f>
        <v>TBA</v>
      </c>
      <c r="K130" t="s">
        <v>95</v>
      </c>
      <c r="L130" t="s">
        <v>34</v>
      </c>
      <c r="M130">
        <v>28</v>
      </c>
      <c r="N130">
        <v>6.9</v>
      </c>
      <c r="O130">
        <v>7.6</v>
      </c>
      <c r="P130">
        <v>11</v>
      </c>
      <c r="Q130">
        <v>0</v>
      </c>
      <c r="R130">
        <v>0</v>
      </c>
      <c r="S130">
        <v>0</v>
      </c>
      <c r="T130">
        <v>23</v>
      </c>
      <c r="U130">
        <v>23</v>
      </c>
      <c r="V130" s="9">
        <v>115</v>
      </c>
      <c r="W130">
        <v>495</v>
      </c>
      <c r="X130">
        <v>115</v>
      </c>
      <c r="Y130">
        <v>16</v>
      </c>
      <c r="Z130">
        <v>39</v>
      </c>
      <c r="AA130">
        <v>2</v>
      </c>
      <c r="AB130">
        <v>4</v>
      </c>
      <c r="AC130">
        <v>105</v>
      </c>
      <c r="AD130">
        <v>3.1</v>
      </c>
      <c r="AE130">
        <v>8.1999999999999993</v>
      </c>
      <c r="AF130" s="5">
        <v>0.45300000000000001</v>
      </c>
      <c r="AG130">
        <v>0.29899999999999999</v>
      </c>
      <c r="AH130">
        <v>1.35</v>
      </c>
      <c r="AI130">
        <v>4.1100000000000003</v>
      </c>
      <c r="AJ130">
        <v>4.76</v>
      </c>
      <c r="AK130">
        <v>9.1</v>
      </c>
      <c r="AL130">
        <v>1</v>
      </c>
      <c r="AM130">
        <v>25</v>
      </c>
      <c r="AN130">
        <v>56</v>
      </c>
      <c r="AO130">
        <v>12</v>
      </c>
      <c r="AP130">
        <v>25</v>
      </c>
      <c r="AQ130" t="s">
        <v>2404</v>
      </c>
      <c r="AR130">
        <v>89</v>
      </c>
      <c r="AS130" t="s">
        <v>35</v>
      </c>
      <c r="AT130" t="s">
        <v>36</v>
      </c>
      <c r="AU130" s="4">
        <f>HYPERLINK("http://mlb.mlb.com/team/player.jsp?player_id=542882",542882)</f>
        <v>542882</v>
      </c>
      <c r="AV130">
        <v>62</v>
      </c>
      <c r="AW130">
        <v>1062</v>
      </c>
      <c r="AX130">
        <v>86</v>
      </c>
    </row>
    <row r="131" spans="1:50" x14ac:dyDescent="0.3">
      <c r="A131" s="4">
        <f>HYPERLINK("http://legacy.baseballprospectus.com/p/70778",70778)</f>
        <v>70778</v>
      </c>
      <c r="B131" t="s">
        <v>542</v>
      </c>
      <c r="C131" t="s">
        <v>232</v>
      </c>
      <c r="D131" s="10">
        <v>34084</v>
      </c>
      <c r="E131" t="s">
        <v>9</v>
      </c>
      <c r="F131" t="s">
        <v>9</v>
      </c>
      <c r="G131">
        <v>74</v>
      </c>
      <c r="H131">
        <v>195</v>
      </c>
      <c r="I131">
        <v>2018</v>
      </c>
      <c r="J131" s="4" t="str">
        <f>HYPERLINK("http://legacy.baseballprospectus.com/fantasy/dc/index.php?tm=DET","DET")</f>
        <v>DET</v>
      </c>
      <c r="K131" t="s">
        <v>95</v>
      </c>
      <c r="L131" t="s">
        <v>34</v>
      </c>
      <c r="M131">
        <v>25</v>
      </c>
      <c r="N131">
        <v>6.4</v>
      </c>
      <c r="O131">
        <v>8.6999999999999993</v>
      </c>
      <c r="P131">
        <v>11</v>
      </c>
      <c r="Q131">
        <v>0</v>
      </c>
      <c r="R131">
        <v>0</v>
      </c>
      <c r="S131">
        <v>0</v>
      </c>
      <c r="T131">
        <v>24</v>
      </c>
      <c r="U131">
        <v>24</v>
      </c>
      <c r="V131" s="9">
        <v>120</v>
      </c>
      <c r="W131">
        <v>542</v>
      </c>
      <c r="X131">
        <v>129</v>
      </c>
      <c r="Y131">
        <v>18</v>
      </c>
      <c r="Z131">
        <v>50</v>
      </c>
      <c r="AA131">
        <v>2</v>
      </c>
      <c r="AB131">
        <v>4</v>
      </c>
      <c r="AC131">
        <v>109</v>
      </c>
      <c r="AD131">
        <v>3.8</v>
      </c>
      <c r="AE131">
        <v>8.1999999999999993</v>
      </c>
      <c r="AF131" s="5">
        <v>0.436</v>
      </c>
      <c r="AG131">
        <v>0.309</v>
      </c>
      <c r="AH131">
        <v>1.54</v>
      </c>
      <c r="AI131">
        <v>4.6500000000000004</v>
      </c>
      <c r="AJ131">
        <v>4.8</v>
      </c>
      <c r="AK131">
        <v>9.1</v>
      </c>
      <c r="AL131">
        <v>1</v>
      </c>
      <c r="AM131">
        <v>41</v>
      </c>
      <c r="AN131">
        <v>73</v>
      </c>
      <c r="AO131">
        <v>12</v>
      </c>
      <c r="AP131">
        <v>15</v>
      </c>
      <c r="AQ131" t="s">
        <v>2377</v>
      </c>
      <c r="AR131">
        <v>95</v>
      </c>
      <c r="AS131" t="s">
        <v>35</v>
      </c>
      <c r="AT131" t="s">
        <v>36</v>
      </c>
      <c r="AU131" s="4">
        <f>HYPERLINK("http://mlb.mlb.com/team/player.jsp?player_id=596057",596057)</f>
        <v>596057</v>
      </c>
      <c r="AV131">
        <v>54</v>
      </c>
      <c r="AW131">
        <v>1054</v>
      </c>
      <c r="AX131">
        <v>101.7</v>
      </c>
    </row>
    <row r="132" spans="1:50" x14ac:dyDescent="0.3">
      <c r="A132" s="4">
        <f>HYPERLINK("http://legacy.baseballprospectus.com/p/102639",102639)</f>
        <v>102639</v>
      </c>
      <c r="B132" t="s">
        <v>1581</v>
      </c>
      <c r="C132" t="s">
        <v>713</v>
      </c>
      <c r="D132" s="10">
        <v>33857</v>
      </c>
      <c r="E132" t="s">
        <v>33</v>
      </c>
      <c r="F132" t="s">
        <v>33</v>
      </c>
      <c r="G132">
        <v>75</v>
      </c>
      <c r="H132">
        <v>216</v>
      </c>
      <c r="I132">
        <v>2018</v>
      </c>
      <c r="J132" s="4" t="str">
        <f>HYPERLINK("http://legacy.baseballprospectus.com/fantasy/dc/index.php?tm=PIT","PIT")</f>
        <v>PIT</v>
      </c>
      <c r="K132" t="s">
        <v>100</v>
      </c>
      <c r="L132" t="s">
        <v>34</v>
      </c>
      <c r="M132">
        <v>25</v>
      </c>
      <c r="N132">
        <v>7.7</v>
      </c>
      <c r="O132">
        <v>9</v>
      </c>
      <c r="P132">
        <v>12</v>
      </c>
      <c r="Q132">
        <v>0</v>
      </c>
      <c r="R132">
        <v>0</v>
      </c>
      <c r="S132">
        <v>0</v>
      </c>
      <c r="T132">
        <v>24</v>
      </c>
      <c r="U132">
        <v>24</v>
      </c>
      <c r="V132" s="9">
        <v>136.66669999999999</v>
      </c>
      <c r="W132">
        <v>583</v>
      </c>
      <c r="X132">
        <v>133</v>
      </c>
      <c r="Y132">
        <v>18</v>
      </c>
      <c r="Z132">
        <v>48</v>
      </c>
      <c r="AA132">
        <v>3</v>
      </c>
      <c r="AB132">
        <v>5</v>
      </c>
      <c r="AC132">
        <v>118</v>
      </c>
      <c r="AD132">
        <v>3.2</v>
      </c>
      <c r="AE132">
        <v>7.8</v>
      </c>
      <c r="AF132" s="5">
        <v>0.46100000000000002</v>
      </c>
      <c r="AG132">
        <v>0.29399999999999998</v>
      </c>
      <c r="AH132">
        <v>1.33</v>
      </c>
      <c r="AI132">
        <v>4.25</v>
      </c>
      <c r="AJ132">
        <v>4.6100000000000003</v>
      </c>
      <c r="AK132">
        <v>9.1999999999999993</v>
      </c>
      <c r="AL132">
        <v>1</v>
      </c>
      <c r="AM132">
        <v>31</v>
      </c>
      <c r="AN132">
        <v>61</v>
      </c>
      <c r="AO132">
        <v>12</v>
      </c>
      <c r="AP132">
        <v>20</v>
      </c>
      <c r="AQ132" t="s">
        <v>2315</v>
      </c>
      <c r="AR132">
        <v>91</v>
      </c>
      <c r="AS132" t="s">
        <v>35</v>
      </c>
      <c r="AT132" t="s">
        <v>36</v>
      </c>
      <c r="AU132" s="4">
        <f>HYPERLINK("http://mlb.mlb.com/team/player.jsp?player_id=641771",641771)</f>
        <v>641771</v>
      </c>
      <c r="AV132">
        <v>1027</v>
      </c>
      <c r="AW132">
        <v>27</v>
      </c>
      <c r="AX132">
        <v>157.30000000000001</v>
      </c>
    </row>
    <row r="133" spans="1:50" x14ac:dyDescent="0.3">
      <c r="A133" s="4">
        <f>HYPERLINK("http://legacy.baseballprospectus.com/p/104855",104855)</f>
        <v>104855</v>
      </c>
      <c r="B133" t="s">
        <v>885</v>
      </c>
      <c r="C133" t="s">
        <v>109</v>
      </c>
      <c r="D133" s="10">
        <v>33965</v>
      </c>
      <c r="E133" t="s">
        <v>9</v>
      </c>
      <c r="F133" t="s">
        <v>9</v>
      </c>
      <c r="G133">
        <v>78</v>
      </c>
      <c r="H133">
        <v>225</v>
      </c>
      <c r="I133">
        <v>2018</v>
      </c>
      <c r="J133" s="4" t="str">
        <f>HYPERLINK("http://legacy.baseballprospectus.com/fantasy/dc/index.php?tm=NYA","NYA")</f>
        <v>NYA</v>
      </c>
      <c r="K133" t="s">
        <v>95</v>
      </c>
      <c r="L133" t="s">
        <v>34</v>
      </c>
      <c r="M133">
        <v>25</v>
      </c>
      <c r="N133">
        <v>10.6</v>
      </c>
      <c r="O133">
        <v>7.7</v>
      </c>
      <c r="P133">
        <v>12</v>
      </c>
      <c r="Q133">
        <v>0</v>
      </c>
      <c r="R133">
        <v>0</v>
      </c>
      <c r="S133">
        <v>0</v>
      </c>
      <c r="T133">
        <v>26</v>
      </c>
      <c r="U133">
        <v>26</v>
      </c>
      <c r="V133" s="9">
        <v>148.33330000000001</v>
      </c>
      <c r="W133">
        <v>638</v>
      </c>
      <c r="X133">
        <v>147</v>
      </c>
      <c r="Y133">
        <v>27</v>
      </c>
      <c r="Z133">
        <v>54</v>
      </c>
      <c r="AA133">
        <v>2</v>
      </c>
      <c r="AB133">
        <v>3</v>
      </c>
      <c r="AC133">
        <v>142</v>
      </c>
      <c r="AD133">
        <v>3.3</v>
      </c>
      <c r="AE133">
        <v>8.6999999999999993</v>
      </c>
      <c r="AF133" s="5">
        <v>0.438</v>
      </c>
      <c r="AG133">
        <v>0.29199999999999998</v>
      </c>
      <c r="AH133">
        <v>1.36</v>
      </c>
      <c r="AI133">
        <v>4.63</v>
      </c>
      <c r="AJ133">
        <v>4.93</v>
      </c>
      <c r="AK133">
        <v>9.1999999999999993</v>
      </c>
      <c r="AL133">
        <v>1</v>
      </c>
      <c r="AM133">
        <v>25</v>
      </c>
      <c r="AN133">
        <v>59</v>
      </c>
      <c r="AO133">
        <v>22</v>
      </c>
      <c r="AP133">
        <v>16</v>
      </c>
      <c r="AQ133" t="s">
        <v>2300</v>
      </c>
      <c r="AR133">
        <v>95</v>
      </c>
      <c r="AS133" t="s">
        <v>35</v>
      </c>
      <c r="AT133" t="s">
        <v>36</v>
      </c>
      <c r="AU133" s="4">
        <f>HYPERLINK("http://mlb.mlb.com/team/player.jsp?player_id=656756",656756)</f>
        <v>656756</v>
      </c>
      <c r="AV133">
        <v>27</v>
      </c>
      <c r="AW133">
        <v>1027</v>
      </c>
      <c r="AX133">
        <v>155.30000000000001</v>
      </c>
    </row>
    <row r="134" spans="1:50" x14ac:dyDescent="0.3">
      <c r="A134" s="4">
        <f>HYPERLINK("http://legacy.baseballprospectus.com/p/50155",50155)</f>
        <v>50155</v>
      </c>
      <c r="B134" t="s">
        <v>730</v>
      </c>
      <c r="C134" t="s">
        <v>487</v>
      </c>
      <c r="D134" s="10">
        <v>32133</v>
      </c>
      <c r="E134" t="s">
        <v>9</v>
      </c>
      <c r="F134" t="s">
        <v>9</v>
      </c>
      <c r="G134">
        <v>75</v>
      </c>
      <c r="H134">
        <v>195</v>
      </c>
      <c r="I134">
        <v>2018</v>
      </c>
      <c r="J134" s="4" t="str">
        <f>HYPERLINK("http://legacy.baseballprospectus.com/fantasy/dc/index.php?tm=BAL","BAL")</f>
        <v>BAL</v>
      </c>
      <c r="K134" t="s">
        <v>95</v>
      </c>
      <c r="L134" t="s">
        <v>34</v>
      </c>
      <c r="M134">
        <v>30</v>
      </c>
      <c r="N134">
        <v>2</v>
      </c>
      <c r="O134">
        <v>2</v>
      </c>
      <c r="P134">
        <v>0</v>
      </c>
      <c r="Q134">
        <v>0</v>
      </c>
      <c r="R134">
        <v>25</v>
      </c>
      <c r="S134">
        <v>3</v>
      </c>
      <c r="T134">
        <v>41</v>
      </c>
      <c r="U134">
        <v>0</v>
      </c>
      <c r="V134" s="9">
        <v>43.666699999999999</v>
      </c>
      <c r="W134">
        <v>182</v>
      </c>
      <c r="X134">
        <v>38</v>
      </c>
      <c r="Y134">
        <v>3</v>
      </c>
      <c r="Z134">
        <v>18</v>
      </c>
      <c r="AA134">
        <v>1</v>
      </c>
      <c r="AB134">
        <v>1</v>
      </c>
      <c r="AC134">
        <v>42</v>
      </c>
      <c r="AD134">
        <v>3.6</v>
      </c>
      <c r="AE134">
        <v>8.6</v>
      </c>
      <c r="AF134" s="5">
        <v>0.65600000000000003</v>
      </c>
      <c r="AG134">
        <v>0.29299999999999998</v>
      </c>
      <c r="AH134">
        <v>1.27</v>
      </c>
      <c r="AI134">
        <v>3.09</v>
      </c>
      <c r="AJ134">
        <v>3.4</v>
      </c>
      <c r="AK134">
        <v>8.3000000000000007</v>
      </c>
      <c r="AL134">
        <v>0.9</v>
      </c>
      <c r="AM134">
        <v>25</v>
      </c>
      <c r="AN134">
        <v>52</v>
      </c>
      <c r="AO134">
        <v>33</v>
      </c>
      <c r="AP134">
        <v>19</v>
      </c>
      <c r="AQ134" t="s">
        <v>2394</v>
      </c>
      <c r="AR134">
        <v>92</v>
      </c>
      <c r="AS134" t="s">
        <v>35</v>
      </c>
      <c r="AT134" t="s">
        <v>36</v>
      </c>
      <c r="AU134" s="4">
        <f>HYPERLINK("http://mlb.mlb.com/team/player.jsp?player_id=502154",502154)</f>
        <v>502154</v>
      </c>
      <c r="AV134">
        <v>303</v>
      </c>
      <c r="AW134">
        <v>1303</v>
      </c>
      <c r="AX134">
        <v>37.299999999999997</v>
      </c>
    </row>
    <row r="135" spans="1:50" x14ac:dyDescent="0.3">
      <c r="A135" s="4">
        <f>HYPERLINK("http://legacy.baseballprospectus.com/p/59012",59012)</f>
        <v>59012</v>
      </c>
      <c r="B135" t="s">
        <v>588</v>
      </c>
      <c r="C135" t="s">
        <v>1145</v>
      </c>
      <c r="D135" s="10">
        <v>32995</v>
      </c>
      <c r="E135" t="s">
        <v>33</v>
      </c>
      <c r="F135" t="s">
        <v>33</v>
      </c>
      <c r="G135">
        <v>70</v>
      </c>
      <c r="H135">
        <v>215</v>
      </c>
      <c r="I135">
        <v>2018</v>
      </c>
      <c r="J135" s="4" t="str">
        <f>HYPERLINK("http://legacy.baseballprospectus.com/fantasy/dc/index.php?tm=SEA","SEA")</f>
        <v>SEA</v>
      </c>
      <c r="K135" t="s">
        <v>95</v>
      </c>
      <c r="L135" t="s">
        <v>34</v>
      </c>
      <c r="M135">
        <v>28</v>
      </c>
      <c r="N135">
        <v>8.9</v>
      </c>
      <c r="O135">
        <v>8.6999999999999993</v>
      </c>
      <c r="P135">
        <v>10</v>
      </c>
      <c r="Q135">
        <v>0</v>
      </c>
      <c r="R135">
        <v>0</v>
      </c>
      <c r="S135">
        <v>0</v>
      </c>
      <c r="T135">
        <v>38</v>
      </c>
      <c r="U135">
        <v>23</v>
      </c>
      <c r="V135" s="9">
        <v>147</v>
      </c>
      <c r="W135">
        <v>630</v>
      </c>
      <c r="X135">
        <v>149</v>
      </c>
      <c r="Y135">
        <v>22</v>
      </c>
      <c r="Z135">
        <v>51</v>
      </c>
      <c r="AA135">
        <v>3</v>
      </c>
      <c r="AB135">
        <v>5</v>
      </c>
      <c r="AC135">
        <v>116</v>
      </c>
      <c r="AD135">
        <v>3.1</v>
      </c>
      <c r="AE135">
        <v>7.1</v>
      </c>
      <c r="AF135" s="5">
        <v>0.47399999999999998</v>
      </c>
      <c r="AG135">
        <v>0.29099999999999998</v>
      </c>
      <c r="AH135">
        <v>1.36</v>
      </c>
      <c r="AI135">
        <v>4.6100000000000003</v>
      </c>
      <c r="AJ135">
        <v>4.99</v>
      </c>
      <c r="AK135">
        <v>7.8</v>
      </c>
      <c r="AL135">
        <v>0.9</v>
      </c>
      <c r="AM135">
        <v>18</v>
      </c>
      <c r="AN135">
        <v>55</v>
      </c>
      <c r="AO135">
        <v>15</v>
      </c>
      <c r="AP135">
        <v>11</v>
      </c>
      <c r="AQ135" t="s">
        <v>2458</v>
      </c>
      <c r="AR135">
        <v>89</v>
      </c>
      <c r="AS135" t="s">
        <v>35</v>
      </c>
      <c r="AT135" t="s">
        <v>36</v>
      </c>
      <c r="AU135" s="4">
        <f>HYPERLINK("http://mlb.mlb.com/team/player.jsp?player_id=541640",541640)</f>
        <v>541640</v>
      </c>
      <c r="AV135">
        <v>44</v>
      </c>
      <c r="AW135">
        <v>1044</v>
      </c>
      <c r="AX135">
        <v>131.30000000000001</v>
      </c>
    </row>
    <row r="136" spans="1:50" x14ac:dyDescent="0.3">
      <c r="A136" s="4">
        <f>HYPERLINK("http://legacy.baseballprospectus.com/p/886",886)</f>
        <v>886</v>
      </c>
      <c r="B136" t="s">
        <v>855</v>
      </c>
      <c r="C136" t="s">
        <v>148</v>
      </c>
      <c r="D136" s="10">
        <v>28786</v>
      </c>
      <c r="E136" t="s">
        <v>33</v>
      </c>
      <c r="F136" t="s">
        <v>33</v>
      </c>
      <c r="G136">
        <v>78</v>
      </c>
      <c r="H136">
        <v>235</v>
      </c>
      <c r="I136">
        <v>2018</v>
      </c>
      <c r="J136" s="4" t="str">
        <f>HYPERLINK("http://legacy.baseballprospectus.com/fantasy/dc/index.php?tm=CHN","CHN")</f>
        <v>CHN</v>
      </c>
      <c r="K136" t="s">
        <v>100</v>
      </c>
      <c r="L136" t="s">
        <v>34</v>
      </c>
      <c r="M136">
        <v>39</v>
      </c>
      <c r="N136">
        <v>9.3000000000000007</v>
      </c>
      <c r="O136">
        <v>7.4</v>
      </c>
      <c r="P136">
        <v>10.4</v>
      </c>
      <c r="Q136">
        <v>0</v>
      </c>
      <c r="R136">
        <v>0</v>
      </c>
      <c r="S136">
        <v>0</v>
      </c>
      <c r="T136">
        <v>22.7</v>
      </c>
      <c r="U136">
        <v>22.7</v>
      </c>
      <c r="V136" s="9">
        <v>141.66669999999999</v>
      </c>
      <c r="W136">
        <v>587</v>
      </c>
      <c r="X136">
        <v>133</v>
      </c>
      <c r="Y136">
        <v>21</v>
      </c>
      <c r="Z136">
        <v>50</v>
      </c>
      <c r="AA136" t="s">
        <v>1680</v>
      </c>
      <c r="AB136">
        <v>9</v>
      </c>
      <c r="AC136">
        <v>120</v>
      </c>
      <c r="AD136">
        <v>3.2</v>
      </c>
      <c r="AE136">
        <v>7.6</v>
      </c>
      <c r="AF136" s="5">
        <v>0.44071659445762601</v>
      </c>
      <c r="AG136">
        <v>0.28899999999999998</v>
      </c>
      <c r="AH136">
        <v>1.29</v>
      </c>
      <c r="AI136">
        <v>4.59</v>
      </c>
      <c r="AJ136">
        <v>5.04</v>
      </c>
      <c r="AK136">
        <v>8.5</v>
      </c>
      <c r="AL136">
        <v>0.9</v>
      </c>
      <c r="AM136">
        <v>8</v>
      </c>
      <c r="AN136">
        <v>30</v>
      </c>
      <c r="AO136">
        <v>9</v>
      </c>
      <c r="AP136">
        <v>1</v>
      </c>
      <c r="AQ136" t="s">
        <v>2403</v>
      </c>
      <c r="AR136">
        <v>76</v>
      </c>
      <c r="AS136" t="s">
        <v>36</v>
      </c>
      <c r="AT136" t="s">
        <v>36</v>
      </c>
      <c r="AU136" s="4">
        <f>HYPERLINK("http://mlb.mlb.com/team/player.jsp?player_id=407793",407793)</f>
        <v>407793</v>
      </c>
      <c r="AV136">
        <v>0</v>
      </c>
      <c r="AW136">
        <v>0</v>
      </c>
      <c r="AX136">
        <v>170.7</v>
      </c>
    </row>
    <row r="137" spans="1:50" x14ac:dyDescent="0.3">
      <c r="A137" s="4">
        <f>HYPERLINK("http://legacy.baseballprospectus.com/p/37512",37512)</f>
        <v>37512</v>
      </c>
      <c r="B137" t="s">
        <v>444</v>
      </c>
      <c r="C137" t="s">
        <v>846</v>
      </c>
      <c r="D137" s="10">
        <v>30703</v>
      </c>
      <c r="E137" t="s">
        <v>33</v>
      </c>
      <c r="F137" t="s">
        <v>33</v>
      </c>
      <c r="G137">
        <v>77</v>
      </c>
      <c r="H137">
        <v>210</v>
      </c>
      <c r="I137">
        <v>2018</v>
      </c>
      <c r="J137" s="4" t="str">
        <f>HYPERLINK("http://legacy.baseballprospectus.com/fantasy/dc/index.php?tm=BAL","BAL")</f>
        <v>BAL</v>
      </c>
      <c r="K137" t="s">
        <v>95</v>
      </c>
      <c r="L137" t="s">
        <v>34</v>
      </c>
      <c r="M137">
        <v>34</v>
      </c>
      <c r="N137">
        <v>7.3</v>
      </c>
      <c r="O137">
        <v>8.1</v>
      </c>
      <c r="P137">
        <v>9.6999999999999993</v>
      </c>
      <c r="Q137">
        <v>0</v>
      </c>
      <c r="R137">
        <v>0</v>
      </c>
      <c r="S137">
        <v>0</v>
      </c>
      <c r="T137">
        <v>23</v>
      </c>
      <c r="U137">
        <v>23</v>
      </c>
      <c r="V137" s="9">
        <v>123.66670000000001</v>
      </c>
      <c r="W137">
        <v>555</v>
      </c>
      <c r="X137">
        <v>134</v>
      </c>
      <c r="Y137">
        <v>19</v>
      </c>
      <c r="Z137">
        <v>53</v>
      </c>
      <c r="AA137" t="s">
        <v>1680</v>
      </c>
      <c r="AB137">
        <v>5</v>
      </c>
      <c r="AC137">
        <v>111</v>
      </c>
      <c r="AD137">
        <v>3.9</v>
      </c>
      <c r="AE137">
        <v>8.1</v>
      </c>
      <c r="AF137" s="5">
        <v>0.46517893671989402</v>
      </c>
      <c r="AG137">
        <v>0.314</v>
      </c>
      <c r="AH137">
        <v>1.51</v>
      </c>
      <c r="AI137">
        <v>5.01</v>
      </c>
      <c r="AJ137">
        <v>5.0199999999999996</v>
      </c>
      <c r="AK137">
        <v>8.8000000000000007</v>
      </c>
      <c r="AL137">
        <v>0.9</v>
      </c>
      <c r="AM137">
        <v>12</v>
      </c>
      <c r="AN137">
        <v>38</v>
      </c>
      <c r="AO137">
        <v>20</v>
      </c>
      <c r="AP137">
        <v>8</v>
      </c>
      <c r="AQ137" t="s">
        <v>2422</v>
      </c>
      <c r="AR137">
        <v>94</v>
      </c>
      <c r="AS137" t="s">
        <v>36</v>
      </c>
      <c r="AT137" t="s">
        <v>36</v>
      </c>
      <c r="AU137" s="4">
        <f>HYPERLINK("http://mlb.mlb.com/team/player.jsp?player_id=434622",434622)</f>
        <v>434622</v>
      </c>
      <c r="AV137">
        <v>0</v>
      </c>
      <c r="AW137">
        <v>0</v>
      </c>
      <c r="AX137">
        <v>142.69999999999999</v>
      </c>
    </row>
    <row r="138" spans="1:50" x14ac:dyDescent="0.3">
      <c r="A138" s="4">
        <f>HYPERLINK("http://legacy.baseballprospectus.com/p/70431",70431)</f>
        <v>70431</v>
      </c>
      <c r="B138" t="s">
        <v>194</v>
      </c>
      <c r="C138" t="s">
        <v>1035</v>
      </c>
      <c r="D138" s="10">
        <v>33826</v>
      </c>
      <c r="E138" t="s">
        <v>33</v>
      </c>
      <c r="F138" t="s">
        <v>33</v>
      </c>
      <c r="G138">
        <v>76</v>
      </c>
      <c r="H138">
        <v>225</v>
      </c>
      <c r="I138">
        <v>2018</v>
      </c>
      <c r="J138" s="4" t="str">
        <f>HYPERLINK("http://legacy.baseballprospectus.com/fantasy/dc/index.php?tm=ARI","ARI")</f>
        <v>ARI</v>
      </c>
      <c r="K138" t="s">
        <v>100</v>
      </c>
      <c r="L138" t="s">
        <v>34</v>
      </c>
      <c r="M138">
        <v>25</v>
      </c>
      <c r="N138">
        <v>2.9</v>
      </c>
      <c r="O138">
        <v>2.2999999999999998</v>
      </c>
      <c r="P138">
        <v>0</v>
      </c>
      <c r="Q138">
        <v>0</v>
      </c>
      <c r="R138">
        <v>5</v>
      </c>
      <c r="S138">
        <v>4</v>
      </c>
      <c r="T138">
        <v>52</v>
      </c>
      <c r="U138">
        <v>0</v>
      </c>
      <c r="V138" s="9">
        <v>55</v>
      </c>
      <c r="W138">
        <v>230</v>
      </c>
      <c r="X138">
        <v>45</v>
      </c>
      <c r="Y138">
        <v>4</v>
      </c>
      <c r="Z138">
        <v>23</v>
      </c>
      <c r="AA138">
        <v>3</v>
      </c>
      <c r="AB138">
        <v>1</v>
      </c>
      <c r="AC138">
        <v>64</v>
      </c>
      <c r="AD138">
        <v>3.7</v>
      </c>
      <c r="AE138">
        <v>10.4</v>
      </c>
      <c r="AF138" s="5">
        <v>0.48099999999999998</v>
      </c>
      <c r="AG138">
        <v>0.29699999999999999</v>
      </c>
      <c r="AH138">
        <v>1.23</v>
      </c>
      <c r="AI138">
        <v>2.99</v>
      </c>
      <c r="AJ138">
        <v>3.6</v>
      </c>
      <c r="AK138">
        <v>8</v>
      </c>
      <c r="AL138">
        <v>0.9</v>
      </c>
      <c r="AM138">
        <v>33</v>
      </c>
      <c r="AN138">
        <v>60</v>
      </c>
      <c r="AO138">
        <v>15</v>
      </c>
      <c r="AP138">
        <v>13</v>
      </c>
      <c r="AQ138" t="s">
        <v>2374</v>
      </c>
      <c r="AR138">
        <v>92</v>
      </c>
      <c r="AS138" t="s">
        <v>35</v>
      </c>
      <c r="AT138" t="s">
        <v>36</v>
      </c>
      <c r="AU138" s="4">
        <f>HYPERLINK("http://mlb.mlb.com/team/player.jsp?player_id=605151",605151)</f>
        <v>605151</v>
      </c>
      <c r="AV138">
        <v>1242</v>
      </c>
      <c r="AW138">
        <v>242</v>
      </c>
      <c r="AX138">
        <v>73</v>
      </c>
    </row>
    <row r="139" spans="1:50" x14ac:dyDescent="0.3">
      <c r="A139" s="4">
        <f>HYPERLINK("http://legacy.baseballprospectus.com/p/70437",70437)</f>
        <v>70437</v>
      </c>
      <c r="B139" t="s">
        <v>1598</v>
      </c>
      <c r="C139" t="s">
        <v>142</v>
      </c>
      <c r="D139" s="10">
        <v>33228</v>
      </c>
      <c r="E139" t="s">
        <v>33</v>
      </c>
      <c r="F139" t="s">
        <v>33</v>
      </c>
      <c r="G139">
        <v>76</v>
      </c>
      <c r="H139">
        <v>210</v>
      </c>
      <c r="I139">
        <v>2018</v>
      </c>
      <c r="J139" s="4" t="str">
        <f>HYPERLINK("http://legacy.baseballprospectus.com/fantasy/dc/index.php?tm=CLE","CLE")</f>
        <v>CLE</v>
      </c>
      <c r="K139" t="s">
        <v>95</v>
      </c>
      <c r="L139" t="s">
        <v>34</v>
      </c>
      <c r="M139">
        <v>27</v>
      </c>
      <c r="N139">
        <v>6.5</v>
      </c>
      <c r="O139">
        <v>4.7</v>
      </c>
      <c r="P139">
        <v>8</v>
      </c>
      <c r="Q139">
        <v>0</v>
      </c>
      <c r="R139">
        <v>0</v>
      </c>
      <c r="S139">
        <v>0</v>
      </c>
      <c r="T139">
        <v>16</v>
      </c>
      <c r="U139">
        <v>16</v>
      </c>
      <c r="V139" s="9">
        <v>91.333299999999994</v>
      </c>
      <c r="W139">
        <v>395</v>
      </c>
      <c r="X139">
        <v>86</v>
      </c>
      <c r="Y139">
        <v>13</v>
      </c>
      <c r="Z139">
        <v>38</v>
      </c>
      <c r="AA139">
        <v>2</v>
      </c>
      <c r="AB139">
        <v>3</v>
      </c>
      <c r="AC139">
        <v>92</v>
      </c>
      <c r="AD139">
        <v>3.8</v>
      </c>
      <c r="AE139">
        <v>9</v>
      </c>
      <c r="AF139" s="5">
        <v>0.39800000000000002</v>
      </c>
      <c r="AG139">
        <v>0.29299999999999998</v>
      </c>
      <c r="AH139">
        <v>1.36</v>
      </c>
      <c r="AI139">
        <v>4.12</v>
      </c>
      <c r="AJ139">
        <v>4.66</v>
      </c>
      <c r="AK139">
        <v>8.1999999999999993</v>
      </c>
      <c r="AL139">
        <v>0.9</v>
      </c>
      <c r="AM139">
        <v>29</v>
      </c>
      <c r="AN139">
        <v>57</v>
      </c>
      <c r="AO139">
        <v>18</v>
      </c>
      <c r="AP139">
        <v>20</v>
      </c>
      <c r="AQ139" t="s">
        <v>2428</v>
      </c>
      <c r="AR139">
        <v>92</v>
      </c>
      <c r="AS139" t="s">
        <v>35</v>
      </c>
      <c r="AT139" t="s">
        <v>36</v>
      </c>
      <c r="AU139" s="4">
        <f>HYPERLINK("http://mlb.mlb.com/team/player.jsp?player_id=605182",605182)</f>
        <v>605182</v>
      </c>
      <c r="AV139">
        <v>47</v>
      </c>
      <c r="AW139">
        <v>1047</v>
      </c>
      <c r="AX139">
        <v>121.7</v>
      </c>
    </row>
    <row r="140" spans="1:50" x14ac:dyDescent="0.3">
      <c r="A140" s="4">
        <f>HYPERLINK("http://legacy.baseballprospectus.com/p/109106",109106)</f>
        <v>109106</v>
      </c>
      <c r="B140" t="s">
        <v>982</v>
      </c>
      <c r="C140" t="s">
        <v>491</v>
      </c>
      <c r="D140" s="10">
        <v>34696</v>
      </c>
      <c r="E140" t="s">
        <v>33</v>
      </c>
      <c r="F140" t="s">
        <v>33</v>
      </c>
      <c r="G140">
        <v>76</v>
      </c>
      <c r="H140">
        <v>207</v>
      </c>
      <c r="I140">
        <v>2018</v>
      </c>
      <c r="J140" s="4" t="str">
        <f>HYPERLINK("http://legacy.baseballprospectus.com/fantasy/dc/index.php?tm=LAN","LAN")</f>
        <v>LAN</v>
      </c>
      <c r="K140" t="s">
        <v>100</v>
      </c>
      <c r="L140" t="s">
        <v>34</v>
      </c>
      <c r="M140">
        <v>23</v>
      </c>
      <c r="N140">
        <v>4</v>
      </c>
      <c r="O140">
        <v>3.2</v>
      </c>
      <c r="P140">
        <v>7.7</v>
      </c>
      <c r="Q140">
        <v>0</v>
      </c>
      <c r="R140">
        <v>0.3</v>
      </c>
      <c r="S140">
        <v>0</v>
      </c>
      <c r="T140">
        <v>19.100000000000001</v>
      </c>
      <c r="U140">
        <v>13.6</v>
      </c>
      <c r="V140" s="9">
        <v>56.333300000000001</v>
      </c>
      <c r="W140">
        <v>225</v>
      </c>
      <c r="X140">
        <v>44</v>
      </c>
      <c r="Y140">
        <v>8</v>
      </c>
      <c r="Z140">
        <v>22</v>
      </c>
      <c r="AA140" t="s">
        <v>1680</v>
      </c>
      <c r="AB140">
        <v>2</v>
      </c>
      <c r="AC140">
        <v>70</v>
      </c>
      <c r="AD140">
        <v>3.4</v>
      </c>
      <c r="AE140">
        <v>11.2</v>
      </c>
      <c r="AF140" s="5">
        <v>0.51190561056136996</v>
      </c>
      <c r="AG140">
        <v>0.28999999999999998</v>
      </c>
      <c r="AH140">
        <v>1.1499999999999999</v>
      </c>
      <c r="AI140">
        <v>3.65</v>
      </c>
      <c r="AJ140">
        <v>4.21</v>
      </c>
      <c r="AK140">
        <v>8.1</v>
      </c>
      <c r="AL140">
        <v>0.9</v>
      </c>
      <c r="AM140">
        <v>22</v>
      </c>
      <c r="AN140">
        <v>39</v>
      </c>
      <c r="AO140">
        <v>11</v>
      </c>
      <c r="AP140">
        <v>24</v>
      </c>
      <c r="AQ140" t="s">
        <v>2443</v>
      </c>
      <c r="AR140">
        <v>58</v>
      </c>
      <c r="AS140" t="s">
        <v>36</v>
      </c>
      <c r="AT140" t="s">
        <v>35</v>
      </c>
      <c r="AU140" s="4">
        <f>HYPERLINK("http://mlb.mlb.com/team/player.jsp?player_id=669952",669952)</f>
        <v>669952</v>
      </c>
      <c r="AV140">
        <v>1177</v>
      </c>
      <c r="AW140">
        <v>177</v>
      </c>
      <c r="AX140">
        <v>0</v>
      </c>
    </row>
    <row r="141" spans="1:50" x14ac:dyDescent="0.3">
      <c r="A141" s="4">
        <f>HYPERLINK("http://legacy.baseballprospectus.com/p/46711",46711)</f>
        <v>46711</v>
      </c>
      <c r="B141" t="s">
        <v>951</v>
      </c>
      <c r="C141" t="s">
        <v>952</v>
      </c>
      <c r="D141" s="10">
        <v>30820</v>
      </c>
      <c r="E141" t="s">
        <v>33</v>
      </c>
      <c r="F141" t="s">
        <v>33</v>
      </c>
      <c r="G141">
        <v>75</v>
      </c>
      <c r="H141">
        <v>200</v>
      </c>
      <c r="I141">
        <v>2018</v>
      </c>
      <c r="J141" s="4" t="str">
        <f>HYPERLINK("http://legacy.baseballprospectus.com/fantasy/dc/index.php?tm=CHA","CHA")</f>
        <v>CHA</v>
      </c>
      <c r="K141" t="s">
        <v>95</v>
      </c>
      <c r="L141" t="s">
        <v>34</v>
      </c>
      <c r="M141">
        <v>34</v>
      </c>
      <c r="N141">
        <v>2.4</v>
      </c>
      <c r="O141">
        <v>2.4</v>
      </c>
      <c r="P141">
        <v>0</v>
      </c>
      <c r="Q141">
        <v>0</v>
      </c>
      <c r="R141">
        <v>25</v>
      </c>
      <c r="S141">
        <v>4</v>
      </c>
      <c r="T141">
        <v>49</v>
      </c>
      <c r="U141">
        <v>0</v>
      </c>
      <c r="V141" s="9">
        <v>52.333300000000001</v>
      </c>
      <c r="W141">
        <v>225</v>
      </c>
      <c r="X141">
        <v>48</v>
      </c>
      <c r="Y141">
        <v>6</v>
      </c>
      <c r="Z141">
        <v>21</v>
      </c>
      <c r="AA141">
        <v>2</v>
      </c>
      <c r="AB141">
        <v>2</v>
      </c>
      <c r="AC141">
        <v>52</v>
      </c>
      <c r="AD141">
        <v>3.7</v>
      </c>
      <c r="AE141">
        <v>8.9</v>
      </c>
      <c r="AF141" s="5">
        <v>0.5</v>
      </c>
      <c r="AG141">
        <v>0.29499999999999998</v>
      </c>
      <c r="AH141">
        <v>1.33</v>
      </c>
      <c r="AI141">
        <v>3.62</v>
      </c>
      <c r="AJ141">
        <v>3.93</v>
      </c>
      <c r="AK141">
        <v>7.1</v>
      </c>
      <c r="AL141">
        <v>0.8</v>
      </c>
      <c r="AM141">
        <v>9</v>
      </c>
      <c r="AN141">
        <v>22</v>
      </c>
      <c r="AO141">
        <v>48</v>
      </c>
      <c r="AP141">
        <v>7</v>
      </c>
      <c r="AQ141" t="s">
        <v>2414</v>
      </c>
      <c r="AR141">
        <v>89</v>
      </c>
      <c r="AS141" t="s">
        <v>35</v>
      </c>
      <c r="AT141" t="s">
        <v>36</v>
      </c>
      <c r="AU141" s="4">
        <f>HYPERLINK("http://mlb.mlb.com/team/player.jsp?player_id=465657",465657)</f>
        <v>465657</v>
      </c>
      <c r="AV141">
        <v>272</v>
      </c>
      <c r="AW141">
        <v>1272</v>
      </c>
      <c r="AX141">
        <v>56</v>
      </c>
    </row>
    <row r="142" spans="1:50" x14ac:dyDescent="0.3">
      <c r="A142" s="4">
        <f>HYPERLINK("http://legacy.baseballprospectus.com/p/46719",46719)</f>
        <v>46719</v>
      </c>
      <c r="B142" t="s">
        <v>957</v>
      </c>
      <c r="C142" t="s">
        <v>121</v>
      </c>
      <c r="D142" s="10">
        <v>31211</v>
      </c>
      <c r="E142" t="s">
        <v>33</v>
      </c>
      <c r="F142" t="s">
        <v>33</v>
      </c>
      <c r="G142">
        <v>73</v>
      </c>
      <c r="H142">
        <v>220</v>
      </c>
      <c r="I142">
        <v>2018</v>
      </c>
      <c r="J142" s="4" t="str">
        <f>HYPERLINK("http://legacy.baseballprospectus.com/fantasy/dc/index.php?tm=CHN","CHN")</f>
        <v>CHN</v>
      </c>
      <c r="K142" t="s">
        <v>100</v>
      </c>
      <c r="L142" t="s">
        <v>34</v>
      </c>
      <c r="M142">
        <v>33</v>
      </c>
      <c r="N142">
        <v>2.9</v>
      </c>
      <c r="O142">
        <v>2.5</v>
      </c>
      <c r="P142">
        <v>0</v>
      </c>
      <c r="Q142">
        <v>0</v>
      </c>
      <c r="R142">
        <v>5</v>
      </c>
      <c r="S142">
        <v>4</v>
      </c>
      <c r="T142">
        <v>53</v>
      </c>
      <c r="U142">
        <v>0</v>
      </c>
      <c r="V142" s="9">
        <v>56.333300000000001</v>
      </c>
      <c r="W142">
        <v>240</v>
      </c>
      <c r="X142">
        <v>47</v>
      </c>
      <c r="Y142">
        <v>5</v>
      </c>
      <c r="Z142">
        <v>25</v>
      </c>
      <c r="AA142">
        <v>2</v>
      </c>
      <c r="AB142">
        <v>4</v>
      </c>
      <c r="AC142">
        <v>60</v>
      </c>
      <c r="AD142">
        <v>4</v>
      </c>
      <c r="AE142">
        <v>9.6</v>
      </c>
      <c r="AF142" s="5">
        <v>0.54</v>
      </c>
      <c r="AG142">
        <v>0.28599999999999998</v>
      </c>
      <c r="AH142">
        <v>1.26</v>
      </c>
      <c r="AI142">
        <v>3.53</v>
      </c>
      <c r="AJ142">
        <v>3.76</v>
      </c>
      <c r="AK142">
        <v>7.2</v>
      </c>
      <c r="AL142">
        <v>0.8</v>
      </c>
      <c r="AM142">
        <v>19</v>
      </c>
      <c r="AN142">
        <v>38</v>
      </c>
      <c r="AO142">
        <v>38</v>
      </c>
      <c r="AP142">
        <v>10</v>
      </c>
      <c r="AQ142" t="s">
        <v>2448</v>
      </c>
      <c r="AR142">
        <v>95</v>
      </c>
      <c r="AS142" t="s">
        <v>35</v>
      </c>
      <c r="AT142" t="s">
        <v>36</v>
      </c>
      <c r="AU142" s="4">
        <f>HYPERLINK("http://mlb.mlb.com/team/player.jsp?player_id=467008",467008)</f>
        <v>467008</v>
      </c>
      <c r="AV142">
        <v>1265</v>
      </c>
      <c r="AW142">
        <v>265</v>
      </c>
      <c r="AX142">
        <v>60.3</v>
      </c>
    </row>
    <row r="143" spans="1:50" x14ac:dyDescent="0.3">
      <c r="A143" s="4">
        <f>HYPERLINK("http://legacy.baseballprospectus.com/p/49832",49832)</f>
        <v>49832</v>
      </c>
      <c r="B143" t="s">
        <v>894</v>
      </c>
      <c r="C143" t="s">
        <v>290</v>
      </c>
      <c r="D143" s="10">
        <v>31789</v>
      </c>
      <c r="E143" t="s">
        <v>33</v>
      </c>
      <c r="F143" t="s">
        <v>33</v>
      </c>
      <c r="G143">
        <v>77</v>
      </c>
      <c r="H143">
        <v>245</v>
      </c>
      <c r="I143">
        <v>2018</v>
      </c>
      <c r="J143" s="4" t="str">
        <f>HYPERLINK("http://legacy.baseballprospectus.com/fantasy/dc/index.php?tm=PIT","PIT")</f>
        <v>PIT</v>
      </c>
      <c r="K143" t="s">
        <v>100</v>
      </c>
      <c r="L143" t="s">
        <v>34</v>
      </c>
      <c r="M143">
        <v>31</v>
      </c>
      <c r="N143">
        <v>9.1999999999999993</v>
      </c>
      <c r="O143">
        <v>11.1</v>
      </c>
      <c r="P143">
        <v>13</v>
      </c>
      <c r="Q143">
        <v>0</v>
      </c>
      <c r="R143">
        <v>0</v>
      </c>
      <c r="S143">
        <v>0</v>
      </c>
      <c r="T143">
        <v>28</v>
      </c>
      <c r="U143">
        <v>28</v>
      </c>
      <c r="V143" s="9">
        <v>168</v>
      </c>
      <c r="W143">
        <v>724</v>
      </c>
      <c r="X143">
        <v>179</v>
      </c>
      <c r="Y143">
        <v>24</v>
      </c>
      <c r="Z143">
        <v>49</v>
      </c>
      <c r="AA143">
        <v>2</v>
      </c>
      <c r="AB143">
        <v>7</v>
      </c>
      <c r="AC143">
        <v>124</v>
      </c>
      <c r="AD143">
        <v>2.6</v>
      </c>
      <c r="AE143">
        <v>6.7</v>
      </c>
      <c r="AF143" s="5">
        <v>0.49</v>
      </c>
      <c r="AG143">
        <v>0.29699999999999999</v>
      </c>
      <c r="AH143">
        <v>1.35</v>
      </c>
      <c r="AI143">
        <v>4.47</v>
      </c>
      <c r="AJ143">
        <v>4.8499999999999996</v>
      </c>
      <c r="AK143">
        <v>7.2</v>
      </c>
      <c r="AL143">
        <v>0.8</v>
      </c>
      <c r="AM143">
        <v>11</v>
      </c>
      <c r="AN143">
        <v>42</v>
      </c>
      <c r="AO143">
        <v>29</v>
      </c>
      <c r="AP143">
        <v>11</v>
      </c>
      <c r="AQ143" t="s">
        <v>2340</v>
      </c>
      <c r="AR143">
        <v>92</v>
      </c>
      <c r="AS143" t="s">
        <v>35</v>
      </c>
      <c r="AT143" t="s">
        <v>36</v>
      </c>
      <c r="AU143" s="4">
        <f>HYPERLINK("http://mlb.mlb.com/team/player.jsp?player_id=467100",467100)</f>
        <v>467100</v>
      </c>
      <c r="AV143">
        <v>1012</v>
      </c>
      <c r="AW143">
        <v>12</v>
      </c>
      <c r="AX143">
        <v>187</v>
      </c>
    </row>
    <row r="144" spans="1:50" x14ac:dyDescent="0.3">
      <c r="A144" s="4">
        <f>HYPERLINK("http://legacy.baseballprospectus.com/p/58441",58441)</f>
        <v>58441</v>
      </c>
      <c r="B144" t="s">
        <v>1159</v>
      </c>
      <c r="C144" t="s">
        <v>265</v>
      </c>
      <c r="D144" s="10">
        <v>31947</v>
      </c>
      <c r="E144" t="s">
        <v>33</v>
      </c>
      <c r="F144" t="s">
        <v>33</v>
      </c>
      <c r="G144">
        <v>74</v>
      </c>
      <c r="H144">
        <v>190</v>
      </c>
      <c r="I144">
        <v>2018</v>
      </c>
      <c r="J144" s="4" t="str">
        <f>HYPERLINK("http://legacy.baseballprospectus.com/fantasy/dc/index.php?tm=HOU","HOU")</f>
        <v>HOU</v>
      </c>
      <c r="K144" t="s">
        <v>95</v>
      </c>
      <c r="L144" t="s">
        <v>34</v>
      </c>
      <c r="M144">
        <v>31</v>
      </c>
      <c r="N144">
        <v>5.5</v>
      </c>
      <c r="O144">
        <v>4</v>
      </c>
      <c r="P144">
        <v>4</v>
      </c>
      <c r="Q144">
        <v>0</v>
      </c>
      <c r="R144">
        <v>0</v>
      </c>
      <c r="S144">
        <v>0</v>
      </c>
      <c r="T144">
        <v>44</v>
      </c>
      <c r="U144">
        <v>8</v>
      </c>
      <c r="V144" s="9">
        <v>86.666700000000006</v>
      </c>
      <c r="W144">
        <v>374</v>
      </c>
      <c r="X144">
        <v>85</v>
      </c>
      <c r="Y144">
        <v>12</v>
      </c>
      <c r="Z144">
        <v>31</v>
      </c>
      <c r="AA144">
        <v>2</v>
      </c>
      <c r="AB144">
        <v>5</v>
      </c>
      <c r="AC144">
        <v>79</v>
      </c>
      <c r="AD144">
        <v>3.2</v>
      </c>
      <c r="AE144">
        <v>8.1999999999999993</v>
      </c>
      <c r="AF144" s="5">
        <v>0.42099999999999999</v>
      </c>
      <c r="AG144">
        <v>0.29899999999999999</v>
      </c>
      <c r="AH144">
        <v>1.36</v>
      </c>
      <c r="AI144">
        <v>4.26</v>
      </c>
      <c r="AJ144">
        <v>4.59</v>
      </c>
      <c r="AK144">
        <v>7.3</v>
      </c>
      <c r="AL144">
        <v>0.8</v>
      </c>
      <c r="AM144">
        <v>13</v>
      </c>
      <c r="AN144">
        <v>34</v>
      </c>
      <c r="AO144">
        <v>30</v>
      </c>
      <c r="AP144">
        <v>12</v>
      </c>
      <c r="AQ144" t="s">
        <v>2456</v>
      </c>
      <c r="AR144">
        <v>91</v>
      </c>
      <c r="AS144" t="s">
        <v>35</v>
      </c>
      <c r="AT144" t="s">
        <v>36</v>
      </c>
      <c r="AU144" s="4">
        <f>HYPERLINK("http://mlb.mlb.com/team/player.jsp?player_id=543521",543521)</f>
        <v>543521</v>
      </c>
      <c r="AV144">
        <v>75</v>
      </c>
      <c r="AW144">
        <v>1075</v>
      </c>
      <c r="AX144">
        <v>63.3</v>
      </c>
    </row>
    <row r="145" spans="1:50" x14ac:dyDescent="0.3">
      <c r="A145" s="4">
        <f>HYPERLINK("http://legacy.baseballprospectus.com/p/58507",58507)</f>
        <v>58507</v>
      </c>
      <c r="B145" t="s">
        <v>1158</v>
      </c>
      <c r="C145" t="s">
        <v>344</v>
      </c>
      <c r="D145" s="10">
        <v>32959</v>
      </c>
      <c r="E145" t="s">
        <v>33</v>
      </c>
      <c r="F145" t="s">
        <v>33</v>
      </c>
      <c r="G145">
        <v>74</v>
      </c>
      <c r="H145">
        <v>190</v>
      </c>
      <c r="I145">
        <v>2018</v>
      </c>
      <c r="J145" s="4" t="str">
        <f>HYPERLINK("http://legacy.baseballprospectus.com/fantasy/dc/index.php?tm=MIN","MIN")</f>
        <v>MIN</v>
      </c>
      <c r="K145" t="s">
        <v>95</v>
      </c>
      <c r="L145" t="s">
        <v>34</v>
      </c>
      <c r="M145">
        <v>28</v>
      </c>
      <c r="N145">
        <v>9.8000000000000007</v>
      </c>
      <c r="O145">
        <v>9.9</v>
      </c>
      <c r="P145">
        <v>12</v>
      </c>
      <c r="Q145">
        <v>0</v>
      </c>
      <c r="R145">
        <v>0</v>
      </c>
      <c r="S145">
        <v>0</v>
      </c>
      <c r="T145">
        <v>28</v>
      </c>
      <c r="U145">
        <v>28</v>
      </c>
      <c r="V145" s="9">
        <v>159.66669999999999</v>
      </c>
      <c r="W145">
        <v>697</v>
      </c>
      <c r="X145">
        <v>162</v>
      </c>
      <c r="Y145">
        <v>29</v>
      </c>
      <c r="Z145">
        <v>62</v>
      </c>
      <c r="AA145">
        <v>3</v>
      </c>
      <c r="AB145">
        <v>5</v>
      </c>
      <c r="AC145">
        <v>140</v>
      </c>
      <c r="AD145">
        <v>3.5</v>
      </c>
      <c r="AE145">
        <v>7.9</v>
      </c>
      <c r="AF145" s="5">
        <v>0.38200000000000001</v>
      </c>
      <c r="AG145">
        <v>0.28799999999999998</v>
      </c>
      <c r="AH145">
        <v>1.39</v>
      </c>
      <c r="AI145">
        <v>4.83</v>
      </c>
      <c r="AJ145">
        <v>5.1100000000000003</v>
      </c>
      <c r="AK145">
        <v>6.9</v>
      </c>
      <c r="AL145">
        <v>0.8</v>
      </c>
      <c r="AM145">
        <v>18</v>
      </c>
      <c r="AN145">
        <v>55</v>
      </c>
      <c r="AO145">
        <v>19</v>
      </c>
      <c r="AP145">
        <v>5</v>
      </c>
      <c r="AQ145" t="s">
        <v>2551</v>
      </c>
      <c r="AR145">
        <v>89</v>
      </c>
      <c r="AS145" t="s">
        <v>35</v>
      </c>
      <c r="AT145" t="s">
        <v>36</v>
      </c>
      <c r="AU145" s="4">
        <f>HYPERLINK("http://mlb.mlb.com/team/player.jsp?player_id=543606",543606)</f>
        <v>543606</v>
      </c>
      <c r="AV145">
        <v>38</v>
      </c>
      <c r="AW145">
        <v>1038</v>
      </c>
      <c r="AX145">
        <v>143.30000000000001</v>
      </c>
    </row>
    <row r="146" spans="1:50" x14ac:dyDescent="0.3">
      <c r="A146" s="4">
        <f>HYPERLINK("http://legacy.baseballprospectus.com/p/58533",58533)</f>
        <v>58533</v>
      </c>
      <c r="B146" t="s">
        <v>568</v>
      </c>
      <c r="C146" t="s">
        <v>493</v>
      </c>
      <c r="D146" s="10">
        <v>33332</v>
      </c>
      <c r="E146" t="s">
        <v>9</v>
      </c>
      <c r="F146" t="s">
        <v>9</v>
      </c>
      <c r="G146">
        <v>72</v>
      </c>
      <c r="H146">
        <v>200</v>
      </c>
      <c r="I146">
        <v>2018</v>
      </c>
      <c r="J146" s="4" t="str">
        <f>HYPERLINK("http://legacy.baseballprospectus.com/fantasy/dc/index.php?tm=TEX","TEX")</f>
        <v>TEX</v>
      </c>
      <c r="K146" t="s">
        <v>95</v>
      </c>
      <c r="L146" t="s">
        <v>34</v>
      </c>
      <c r="M146">
        <v>27</v>
      </c>
      <c r="N146">
        <v>7.9</v>
      </c>
      <c r="O146">
        <v>8.6999999999999993</v>
      </c>
      <c r="P146">
        <v>10</v>
      </c>
      <c r="Q146">
        <v>0</v>
      </c>
      <c r="R146">
        <v>0</v>
      </c>
      <c r="S146">
        <v>0</v>
      </c>
      <c r="T146">
        <v>24</v>
      </c>
      <c r="U146">
        <v>24</v>
      </c>
      <c r="V146" s="9">
        <v>136.66669999999999</v>
      </c>
      <c r="W146">
        <v>608</v>
      </c>
      <c r="X146">
        <v>150</v>
      </c>
      <c r="Y146">
        <v>18</v>
      </c>
      <c r="Z146">
        <v>57</v>
      </c>
      <c r="AA146">
        <v>2</v>
      </c>
      <c r="AB146">
        <v>6</v>
      </c>
      <c r="AC146">
        <v>89</v>
      </c>
      <c r="AD146">
        <v>3.8</v>
      </c>
      <c r="AE146">
        <v>5.9</v>
      </c>
      <c r="AF146" s="5">
        <v>0.502</v>
      </c>
      <c r="AG146">
        <v>0.30199999999999999</v>
      </c>
      <c r="AH146">
        <v>1.53</v>
      </c>
      <c r="AI146">
        <v>4.9800000000000004</v>
      </c>
      <c r="AJ146">
        <v>5.0199999999999996</v>
      </c>
      <c r="AK146">
        <v>7.3</v>
      </c>
      <c r="AL146">
        <v>0.8</v>
      </c>
      <c r="AM146">
        <v>21</v>
      </c>
      <c r="AN146">
        <v>54</v>
      </c>
      <c r="AO146">
        <v>19</v>
      </c>
      <c r="AP146">
        <v>15</v>
      </c>
      <c r="AQ146" t="s">
        <v>2416</v>
      </c>
      <c r="AR146">
        <v>95</v>
      </c>
      <c r="AS146" t="s">
        <v>35</v>
      </c>
      <c r="AT146" t="s">
        <v>36</v>
      </c>
      <c r="AU146" s="4">
        <f>HYPERLINK("http://mlb.mlb.com/team/player.jsp?player_id=527048",527048)</f>
        <v>527048</v>
      </c>
      <c r="AV146">
        <v>682</v>
      </c>
      <c r="AW146">
        <v>1682</v>
      </c>
      <c r="AX146">
        <v>185</v>
      </c>
    </row>
    <row r="147" spans="1:50" x14ac:dyDescent="0.3">
      <c r="A147" s="4">
        <f>HYPERLINK("http://legacy.baseballprospectus.com/p/58857",58857)</f>
        <v>58857</v>
      </c>
      <c r="B147" t="s">
        <v>885</v>
      </c>
      <c r="C147" t="s">
        <v>142</v>
      </c>
      <c r="D147" s="10">
        <v>32690</v>
      </c>
      <c r="E147" t="s">
        <v>9</v>
      </c>
      <c r="F147" t="s">
        <v>9</v>
      </c>
      <c r="G147">
        <v>77</v>
      </c>
      <c r="H147">
        <v>215</v>
      </c>
      <c r="I147">
        <v>2018</v>
      </c>
      <c r="J147" s="4" t="str">
        <f>HYPERLINK("http://legacy.baseballprospectus.com/fantasy/dc/index.php?tm=CHN","CHN")</f>
        <v>CHN</v>
      </c>
      <c r="K147" t="s">
        <v>100</v>
      </c>
      <c r="L147" t="s">
        <v>34</v>
      </c>
      <c r="M147">
        <v>28</v>
      </c>
      <c r="N147">
        <v>5.4</v>
      </c>
      <c r="O147">
        <v>4.5999999999999996</v>
      </c>
      <c r="P147">
        <v>4</v>
      </c>
      <c r="Q147">
        <v>0</v>
      </c>
      <c r="R147">
        <v>0</v>
      </c>
      <c r="S147">
        <v>0</v>
      </c>
      <c r="T147">
        <v>56</v>
      </c>
      <c r="U147">
        <v>8</v>
      </c>
      <c r="V147" s="9">
        <v>91.333299999999994</v>
      </c>
      <c r="W147">
        <v>393</v>
      </c>
      <c r="X147">
        <v>84</v>
      </c>
      <c r="Y147">
        <v>9</v>
      </c>
      <c r="Z147">
        <v>39</v>
      </c>
      <c r="AA147">
        <v>3</v>
      </c>
      <c r="AB147">
        <v>6</v>
      </c>
      <c r="AC147">
        <v>78</v>
      </c>
      <c r="AD147">
        <v>3.9</v>
      </c>
      <c r="AE147">
        <v>7.7</v>
      </c>
      <c r="AF147" s="5">
        <v>0.53600000000000003</v>
      </c>
      <c r="AG147">
        <v>0.28699999999999998</v>
      </c>
      <c r="AH147">
        <v>1.34</v>
      </c>
      <c r="AI147">
        <v>4.17</v>
      </c>
      <c r="AJ147">
        <v>4.3</v>
      </c>
      <c r="AK147">
        <v>7.7</v>
      </c>
      <c r="AL147">
        <v>0.8</v>
      </c>
      <c r="AM147">
        <v>10</v>
      </c>
      <c r="AN147">
        <v>38</v>
      </c>
      <c r="AO147">
        <v>27</v>
      </c>
      <c r="AP147">
        <v>18</v>
      </c>
      <c r="AQ147" t="s">
        <v>2287</v>
      </c>
      <c r="AR147">
        <v>89</v>
      </c>
      <c r="AS147" t="s">
        <v>35</v>
      </c>
      <c r="AT147" t="s">
        <v>36</v>
      </c>
      <c r="AU147" s="4">
        <f>HYPERLINK("http://mlb.mlb.com/team/player.jsp?player_id=543557",543557)</f>
        <v>543557</v>
      </c>
      <c r="AV147">
        <v>1043</v>
      </c>
      <c r="AW147">
        <v>43</v>
      </c>
      <c r="AX147">
        <v>130.69999999999999</v>
      </c>
    </row>
    <row r="148" spans="1:50" x14ac:dyDescent="0.3">
      <c r="A148" s="4">
        <f>HYPERLINK("http://legacy.baseballprospectus.com/p/58905",58905)</f>
        <v>58905</v>
      </c>
      <c r="B148" t="s">
        <v>790</v>
      </c>
      <c r="C148" t="s">
        <v>791</v>
      </c>
      <c r="D148" s="10">
        <v>32791</v>
      </c>
      <c r="E148" t="s">
        <v>33</v>
      </c>
      <c r="F148" t="s">
        <v>33</v>
      </c>
      <c r="G148">
        <v>75</v>
      </c>
      <c r="H148">
        <v>240</v>
      </c>
      <c r="I148">
        <v>2018</v>
      </c>
      <c r="J148" s="4" t="str">
        <f>HYPERLINK("http://legacy.baseballprospectus.com/fantasy/dc/index.php?tm=NYN","NYN")</f>
        <v>NYN</v>
      </c>
      <c r="K148" t="s">
        <v>100</v>
      </c>
      <c r="L148" t="s">
        <v>34</v>
      </c>
      <c r="M148">
        <v>28</v>
      </c>
      <c r="N148">
        <v>3.1</v>
      </c>
      <c r="O148">
        <v>2.7</v>
      </c>
      <c r="P148">
        <v>0</v>
      </c>
      <c r="Q148">
        <v>0</v>
      </c>
      <c r="R148">
        <v>20</v>
      </c>
      <c r="S148">
        <v>4</v>
      </c>
      <c r="T148">
        <v>57</v>
      </c>
      <c r="U148">
        <v>0</v>
      </c>
      <c r="V148" s="9">
        <v>60.666699999999999</v>
      </c>
      <c r="W148">
        <v>258</v>
      </c>
      <c r="X148">
        <v>52</v>
      </c>
      <c r="Y148">
        <v>5</v>
      </c>
      <c r="Z148">
        <v>27</v>
      </c>
      <c r="AA148">
        <v>3</v>
      </c>
      <c r="AB148">
        <v>2</v>
      </c>
      <c r="AC148">
        <v>63</v>
      </c>
      <c r="AD148">
        <v>4.0999999999999996</v>
      </c>
      <c r="AE148">
        <v>9.3000000000000007</v>
      </c>
      <c r="AF148" s="5">
        <v>0.55700000000000005</v>
      </c>
      <c r="AG148">
        <v>0.29199999999999998</v>
      </c>
      <c r="AH148">
        <v>1.31</v>
      </c>
      <c r="AI148">
        <v>3.4</v>
      </c>
      <c r="AJ148">
        <v>3.76</v>
      </c>
      <c r="AK148">
        <v>7.7</v>
      </c>
      <c r="AL148">
        <v>0.8</v>
      </c>
      <c r="AM148">
        <v>28</v>
      </c>
      <c r="AN148">
        <v>49</v>
      </c>
      <c r="AO148">
        <v>17</v>
      </c>
      <c r="AP148">
        <v>13</v>
      </c>
      <c r="AQ148" t="s">
        <v>2417</v>
      </c>
      <c r="AR148">
        <v>95</v>
      </c>
      <c r="AS148" t="s">
        <v>35</v>
      </c>
      <c r="AT148" t="s">
        <v>36</v>
      </c>
      <c r="AU148" s="4">
        <f>HYPERLINK("http://mlb.mlb.com/team/player.jsp?player_id=544727",544727)</f>
        <v>544727</v>
      </c>
      <c r="AV148">
        <v>1322</v>
      </c>
      <c r="AW148">
        <v>322</v>
      </c>
      <c r="AX148">
        <v>24.7</v>
      </c>
    </row>
    <row r="149" spans="1:50" x14ac:dyDescent="0.3">
      <c r="A149" s="4">
        <f>HYPERLINK("http://legacy.baseballprospectus.com/p/60907",60907)</f>
        <v>60907</v>
      </c>
      <c r="B149" t="s">
        <v>392</v>
      </c>
      <c r="C149" t="s">
        <v>606</v>
      </c>
      <c r="D149" s="10">
        <v>32464</v>
      </c>
      <c r="E149" t="s">
        <v>33</v>
      </c>
      <c r="F149" t="s">
        <v>33</v>
      </c>
      <c r="G149">
        <v>76</v>
      </c>
      <c r="H149">
        <v>210</v>
      </c>
      <c r="I149">
        <v>2018</v>
      </c>
      <c r="J149" s="4" t="str">
        <f>HYPERLINK("http://legacy.baseballprospectus.com/fantasy/dc/index.php?tm=DET","DET")</f>
        <v>DET</v>
      </c>
      <c r="K149" t="s">
        <v>95</v>
      </c>
      <c r="L149" t="s">
        <v>34</v>
      </c>
      <c r="M149">
        <v>29</v>
      </c>
      <c r="N149">
        <v>2.4</v>
      </c>
      <c r="O149">
        <v>2.8</v>
      </c>
      <c r="P149">
        <v>0</v>
      </c>
      <c r="Q149">
        <v>0</v>
      </c>
      <c r="R149">
        <v>35</v>
      </c>
      <c r="S149">
        <v>4</v>
      </c>
      <c r="T149">
        <v>52</v>
      </c>
      <c r="U149">
        <v>0</v>
      </c>
      <c r="V149" s="9">
        <v>55.333300000000001</v>
      </c>
      <c r="W149">
        <v>244</v>
      </c>
      <c r="X149">
        <v>54</v>
      </c>
      <c r="Y149">
        <v>5</v>
      </c>
      <c r="Z149">
        <v>25</v>
      </c>
      <c r="AA149">
        <v>3</v>
      </c>
      <c r="AB149">
        <v>3</v>
      </c>
      <c r="AC149">
        <v>53</v>
      </c>
      <c r="AD149">
        <v>4</v>
      </c>
      <c r="AE149">
        <v>8.6</v>
      </c>
      <c r="AF149" s="5">
        <v>0.46300000000000002</v>
      </c>
      <c r="AG149">
        <v>0.307</v>
      </c>
      <c r="AH149">
        <v>1.43</v>
      </c>
      <c r="AI149">
        <v>3.78</v>
      </c>
      <c r="AJ149">
        <v>3.96</v>
      </c>
      <c r="AK149">
        <v>7.4</v>
      </c>
      <c r="AL149">
        <v>0.8</v>
      </c>
      <c r="AM149">
        <v>30</v>
      </c>
      <c r="AN149">
        <v>51</v>
      </c>
      <c r="AO149">
        <v>19</v>
      </c>
      <c r="AP149">
        <v>22</v>
      </c>
      <c r="AQ149" t="s">
        <v>2419</v>
      </c>
      <c r="AR149">
        <v>88</v>
      </c>
      <c r="AS149" t="s">
        <v>35</v>
      </c>
      <c r="AT149" t="s">
        <v>36</v>
      </c>
      <c r="AU149" s="4">
        <f>HYPERLINK("http://mlb.mlb.com/team/player.jsp?player_id=572888",572888)</f>
        <v>572888</v>
      </c>
      <c r="AV149">
        <v>238</v>
      </c>
      <c r="AW149">
        <v>1238</v>
      </c>
      <c r="AX149">
        <v>67.7</v>
      </c>
    </row>
    <row r="150" spans="1:50" x14ac:dyDescent="0.3">
      <c r="A150" s="4">
        <f>HYPERLINK("http://legacy.baseballprospectus.com/p/66960",66960)</f>
        <v>66960</v>
      </c>
      <c r="B150" t="s">
        <v>1405</v>
      </c>
      <c r="C150" t="s">
        <v>141</v>
      </c>
      <c r="D150" s="10">
        <v>33634</v>
      </c>
      <c r="E150" t="s">
        <v>9</v>
      </c>
      <c r="F150" t="s">
        <v>9</v>
      </c>
      <c r="G150">
        <v>75</v>
      </c>
      <c r="H150">
        <v>180</v>
      </c>
      <c r="I150">
        <v>2018</v>
      </c>
      <c r="J150" s="4" t="str">
        <f>HYPERLINK("http://legacy.baseballprospectus.com/fantasy/dc/index.php?tm=TEX","TEX")</f>
        <v>TEX</v>
      </c>
      <c r="K150" t="s">
        <v>95</v>
      </c>
      <c r="L150" t="s">
        <v>34</v>
      </c>
      <c r="M150">
        <v>26</v>
      </c>
      <c r="N150">
        <v>2.7</v>
      </c>
      <c r="O150">
        <v>3.2</v>
      </c>
      <c r="P150">
        <v>0</v>
      </c>
      <c r="Q150">
        <v>0</v>
      </c>
      <c r="R150">
        <v>24</v>
      </c>
      <c r="S150">
        <v>5</v>
      </c>
      <c r="T150">
        <v>59</v>
      </c>
      <c r="U150">
        <v>0</v>
      </c>
      <c r="V150" s="9">
        <v>63</v>
      </c>
      <c r="W150">
        <v>271</v>
      </c>
      <c r="X150">
        <v>62</v>
      </c>
      <c r="Y150">
        <v>6</v>
      </c>
      <c r="Z150">
        <v>24</v>
      </c>
      <c r="AA150">
        <v>2</v>
      </c>
      <c r="AB150">
        <v>2</v>
      </c>
      <c r="AC150">
        <v>48</v>
      </c>
      <c r="AD150">
        <v>3.5</v>
      </c>
      <c r="AE150">
        <v>6.8</v>
      </c>
      <c r="AF150" s="5">
        <v>0.56799999999999995</v>
      </c>
      <c r="AG150">
        <v>0.29199999999999998</v>
      </c>
      <c r="AH150">
        <v>1.37</v>
      </c>
      <c r="AI150">
        <v>4.1399999999999997</v>
      </c>
      <c r="AJ150">
        <v>4.16</v>
      </c>
      <c r="AK150">
        <v>7.1</v>
      </c>
      <c r="AL150">
        <v>0.8</v>
      </c>
      <c r="AM150">
        <v>33</v>
      </c>
      <c r="AN150">
        <v>52</v>
      </c>
      <c r="AO150">
        <v>23</v>
      </c>
      <c r="AP150">
        <v>13</v>
      </c>
      <c r="AQ150" t="s">
        <v>2346</v>
      </c>
      <c r="AR150">
        <v>83</v>
      </c>
      <c r="AS150" t="s">
        <v>35</v>
      </c>
      <c r="AT150" t="s">
        <v>36</v>
      </c>
      <c r="AU150" s="4">
        <f>HYPERLINK("http://mlb.mlb.com/team/player.jsp?player_id=592222",592222)</f>
        <v>592222</v>
      </c>
      <c r="AV150">
        <v>225</v>
      </c>
      <c r="AW150">
        <v>1225</v>
      </c>
      <c r="AX150">
        <v>82.7</v>
      </c>
    </row>
    <row r="151" spans="1:50" x14ac:dyDescent="0.3">
      <c r="A151" s="4">
        <f>HYPERLINK("http://legacy.baseballprospectus.com/p/68391",68391)</f>
        <v>68391</v>
      </c>
      <c r="B151" t="s">
        <v>827</v>
      </c>
      <c r="C151" t="s">
        <v>104</v>
      </c>
      <c r="D151" s="10">
        <v>32594</v>
      </c>
      <c r="E151" t="s">
        <v>33</v>
      </c>
      <c r="F151" t="s">
        <v>33</v>
      </c>
      <c r="G151">
        <v>76</v>
      </c>
      <c r="H151">
        <v>215</v>
      </c>
      <c r="I151">
        <v>2018</v>
      </c>
      <c r="J151" s="4" t="str">
        <f>HYPERLINK("http://legacy.baseballprospectus.com/fantasy/dc/index.php?tm=NYN","NYN")</f>
        <v>NYN</v>
      </c>
      <c r="K151" t="s">
        <v>100</v>
      </c>
      <c r="L151" t="s">
        <v>34</v>
      </c>
      <c r="M151">
        <v>29</v>
      </c>
      <c r="N151">
        <v>6.6</v>
      </c>
      <c r="O151">
        <v>7.3</v>
      </c>
      <c r="P151">
        <v>9</v>
      </c>
      <c r="Q151">
        <v>0</v>
      </c>
      <c r="R151">
        <v>0</v>
      </c>
      <c r="S151">
        <v>0</v>
      </c>
      <c r="T151">
        <v>19</v>
      </c>
      <c r="U151">
        <v>19</v>
      </c>
      <c r="V151" s="9">
        <v>114</v>
      </c>
      <c r="W151">
        <v>493</v>
      </c>
      <c r="X151">
        <v>113</v>
      </c>
      <c r="Y151">
        <v>16</v>
      </c>
      <c r="Z151">
        <v>42</v>
      </c>
      <c r="AA151">
        <v>1</v>
      </c>
      <c r="AB151">
        <v>5</v>
      </c>
      <c r="AC151">
        <v>99</v>
      </c>
      <c r="AD151">
        <v>3.3</v>
      </c>
      <c r="AE151">
        <v>7.8</v>
      </c>
      <c r="AF151" s="5">
        <v>0.45200000000000001</v>
      </c>
      <c r="AG151">
        <v>0.29499999999999998</v>
      </c>
      <c r="AH151">
        <v>1.36</v>
      </c>
      <c r="AI151">
        <v>4.3499999999999996</v>
      </c>
      <c r="AJ151">
        <v>4.67</v>
      </c>
      <c r="AK151">
        <v>7</v>
      </c>
      <c r="AL151">
        <v>0.8</v>
      </c>
      <c r="AM151">
        <v>9</v>
      </c>
      <c r="AN151">
        <v>39</v>
      </c>
      <c r="AO151">
        <v>23</v>
      </c>
      <c r="AP151">
        <v>7</v>
      </c>
      <c r="AQ151" t="s">
        <v>2402</v>
      </c>
      <c r="AR151">
        <v>94</v>
      </c>
      <c r="AS151" t="s">
        <v>35</v>
      </c>
      <c r="AT151" t="s">
        <v>36</v>
      </c>
      <c r="AU151" s="4">
        <f>HYPERLINK("http://mlb.mlb.com/team/player.jsp?player_id=518774",518774)</f>
        <v>518774</v>
      </c>
      <c r="AV151">
        <v>1058</v>
      </c>
      <c r="AW151">
        <v>58</v>
      </c>
      <c r="AX151">
        <v>92.7</v>
      </c>
    </row>
    <row r="152" spans="1:50" x14ac:dyDescent="0.3">
      <c r="A152" s="4">
        <f>HYPERLINK("http://legacy.baseballprospectus.com/p/69614",69614)</f>
        <v>69614</v>
      </c>
      <c r="B152" t="s">
        <v>1595</v>
      </c>
      <c r="C152" t="s">
        <v>304</v>
      </c>
      <c r="D152" s="10">
        <v>34098</v>
      </c>
      <c r="E152" t="s">
        <v>33</v>
      </c>
      <c r="F152" t="s">
        <v>33</v>
      </c>
      <c r="G152">
        <v>74</v>
      </c>
      <c r="H152">
        <v>185</v>
      </c>
      <c r="I152">
        <v>2018</v>
      </c>
      <c r="J152" s="4" t="str">
        <f>HYPERLINK("http://legacy.baseballprospectus.com/fantasy/dc/index.php?tm=SDN","SDN")</f>
        <v>SDN</v>
      </c>
      <c r="K152" t="s">
        <v>100</v>
      </c>
      <c r="L152" t="s">
        <v>34</v>
      </c>
      <c r="M152">
        <v>25</v>
      </c>
      <c r="N152">
        <v>7.2</v>
      </c>
      <c r="O152">
        <v>9.8000000000000007</v>
      </c>
      <c r="P152">
        <v>12</v>
      </c>
      <c r="Q152">
        <v>0</v>
      </c>
      <c r="R152">
        <v>0</v>
      </c>
      <c r="S152">
        <v>0</v>
      </c>
      <c r="T152">
        <v>26</v>
      </c>
      <c r="U152">
        <v>26</v>
      </c>
      <c r="V152" s="9">
        <v>137.66669999999999</v>
      </c>
      <c r="W152">
        <v>596</v>
      </c>
      <c r="X152">
        <v>139</v>
      </c>
      <c r="Y152">
        <v>18</v>
      </c>
      <c r="Z152">
        <v>52</v>
      </c>
      <c r="AA152">
        <v>3</v>
      </c>
      <c r="AB152">
        <v>5</v>
      </c>
      <c r="AC152">
        <v>122</v>
      </c>
      <c r="AD152">
        <v>3.4</v>
      </c>
      <c r="AE152">
        <v>8</v>
      </c>
      <c r="AF152" s="5">
        <v>0.54300000000000004</v>
      </c>
      <c r="AG152">
        <v>0.30299999999999999</v>
      </c>
      <c r="AH152">
        <v>1.4</v>
      </c>
      <c r="AI152">
        <v>4.22</v>
      </c>
      <c r="AJ152">
        <v>4.7300000000000004</v>
      </c>
      <c r="AK152">
        <v>7.6</v>
      </c>
      <c r="AL152">
        <v>0.8</v>
      </c>
      <c r="AM152">
        <v>38</v>
      </c>
      <c r="AN152">
        <v>55</v>
      </c>
      <c r="AO152">
        <v>13</v>
      </c>
      <c r="AP152">
        <v>21</v>
      </c>
      <c r="AQ152" t="s">
        <v>2291</v>
      </c>
      <c r="AR152">
        <v>87</v>
      </c>
      <c r="AS152" t="s">
        <v>35</v>
      </c>
      <c r="AT152" t="s">
        <v>36</v>
      </c>
      <c r="AU152" s="4">
        <f>HYPERLINK("http://mlb.mlb.com/team/player.jsp?player_id=606131",606131)</f>
        <v>606131</v>
      </c>
      <c r="AV152">
        <v>1022</v>
      </c>
      <c r="AW152">
        <v>22</v>
      </c>
      <c r="AX152">
        <v>163.69999999999999</v>
      </c>
    </row>
    <row r="153" spans="1:50" x14ac:dyDescent="0.3">
      <c r="A153" s="4">
        <f>HYPERLINK("http://legacy.baseballprospectus.com/p/70436",70436)</f>
        <v>70436</v>
      </c>
      <c r="B153" t="s">
        <v>1059</v>
      </c>
      <c r="C153" t="s">
        <v>204</v>
      </c>
      <c r="D153" s="10">
        <v>33041</v>
      </c>
      <c r="E153" t="s">
        <v>33</v>
      </c>
      <c r="F153" t="s">
        <v>9</v>
      </c>
      <c r="G153">
        <v>74</v>
      </c>
      <c r="H153">
        <v>225</v>
      </c>
      <c r="I153">
        <v>2018</v>
      </c>
      <c r="J153" s="4" t="str">
        <f>HYPERLINK("http://legacy.baseballprospectus.com/fantasy/dc/index.php?tm=ARI","ARI")</f>
        <v>ARI</v>
      </c>
      <c r="K153" t="s">
        <v>100</v>
      </c>
      <c r="L153" t="s">
        <v>34</v>
      </c>
      <c r="M153">
        <v>28</v>
      </c>
      <c r="N153">
        <v>2.7</v>
      </c>
      <c r="O153">
        <v>2</v>
      </c>
      <c r="P153">
        <v>0</v>
      </c>
      <c r="Q153">
        <v>0</v>
      </c>
      <c r="R153">
        <v>0</v>
      </c>
      <c r="S153">
        <v>1</v>
      </c>
      <c r="T153">
        <v>47</v>
      </c>
      <c r="U153">
        <v>0</v>
      </c>
      <c r="V153" s="9">
        <v>50</v>
      </c>
      <c r="W153">
        <v>209</v>
      </c>
      <c r="X153">
        <v>40</v>
      </c>
      <c r="Y153">
        <v>3</v>
      </c>
      <c r="Z153">
        <v>22</v>
      </c>
      <c r="AA153">
        <v>3</v>
      </c>
      <c r="AB153">
        <v>2</v>
      </c>
      <c r="AC153">
        <v>56</v>
      </c>
      <c r="AD153">
        <v>3.9</v>
      </c>
      <c r="AE153">
        <v>10.1</v>
      </c>
      <c r="AF153" s="5">
        <v>0.51900000000000002</v>
      </c>
      <c r="AG153">
        <v>0.29499999999999998</v>
      </c>
      <c r="AH153">
        <v>1.24</v>
      </c>
      <c r="AI153">
        <v>2.89</v>
      </c>
      <c r="AJ153">
        <v>3.51</v>
      </c>
      <c r="AK153">
        <v>7.7</v>
      </c>
      <c r="AL153">
        <v>0.8</v>
      </c>
      <c r="AM153">
        <v>19</v>
      </c>
      <c r="AN153">
        <v>38</v>
      </c>
      <c r="AO153">
        <v>25</v>
      </c>
      <c r="AP153">
        <v>18</v>
      </c>
      <c r="AQ153" t="s">
        <v>2475</v>
      </c>
      <c r="AR153">
        <v>84</v>
      </c>
      <c r="AS153" t="s">
        <v>35</v>
      </c>
      <c r="AT153" t="s">
        <v>36</v>
      </c>
      <c r="AU153" s="4">
        <f>HYPERLINK("http://mlb.mlb.com/team/player.jsp?player_id=605177",605177)</f>
        <v>605177</v>
      </c>
      <c r="AV153">
        <v>1293</v>
      </c>
      <c r="AW153">
        <v>293</v>
      </c>
      <c r="AX153">
        <v>51.3</v>
      </c>
    </row>
    <row r="154" spans="1:50" x14ac:dyDescent="0.3">
      <c r="A154" s="4">
        <f>HYPERLINK("http://legacy.baseballprospectus.com/p/70473",70473)</f>
        <v>70473</v>
      </c>
      <c r="B154" t="s">
        <v>1620</v>
      </c>
      <c r="C154" t="s">
        <v>169</v>
      </c>
      <c r="D154" s="10">
        <v>33942</v>
      </c>
      <c r="E154" t="s">
        <v>33</v>
      </c>
      <c r="F154" t="s">
        <v>33</v>
      </c>
      <c r="G154">
        <v>77</v>
      </c>
      <c r="H154">
        <v>265</v>
      </c>
      <c r="I154">
        <v>2018</v>
      </c>
      <c r="J154" s="4" t="str">
        <f>HYPERLINK("http://legacy.baseballprospectus.com/fantasy/dc/index.php?tm=PIT","PIT")</f>
        <v>PIT</v>
      </c>
      <c r="K154" t="s">
        <v>100</v>
      </c>
      <c r="L154" t="s">
        <v>34</v>
      </c>
      <c r="M154">
        <v>25</v>
      </c>
      <c r="N154">
        <v>7.1</v>
      </c>
      <c r="O154">
        <v>8.8000000000000007</v>
      </c>
      <c r="P154">
        <v>11</v>
      </c>
      <c r="Q154">
        <v>0</v>
      </c>
      <c r="R154">
        <v>0</v>
      </c>
      <c r="S154">
        <v>0</v>
      </c>
      <c r="T154">
        <v>24</v>
      </c>
      <c r="U154">
        <v>24</v>
      </c>
      <c r="V154" s="9">
        <v>127.33329999999999</v>
      </c>
      <c r="W154">
        <v>535</v>
      </c>
      <c r="X154">
        <v>126</v>
      </c>
      <c r="Y154">
        <v>21</v>
      </c>
      <c r="Z154">
        <v>36</v>
      </c>
      <c r="AA154">
        <v>1</v>
      </c>
      <c r="AB154">
        <v>4</v>
      </c>
      <c r="AC154">
        <v>119</v>
      </c>
      <c r="AD154">
        <v>2.5</v>
      </c>
      <c r="AE154">
        <v>8.4</v>
      </c>
      <c r="AF154" s="5">
        <v>0.45600000000000002</v>
      </c>
      <c r="AG154">
        <v>0.29499999999999998</v>
      </c>
      <c r="AH154">
        <v>1.27</v>
      </c>
      <c r="AI154">
        <v>4.3499999999999996</v>
      </c>
      <c r="AJ154">
        <v>4.7</v>
      </c>
      <c r="AK154">
        <v>7.4</v>
      </c>
      <c r="AL154">
        <v>0.8</v>
      </c>
      <c r="AM154">
        <v>29</v>
      </c>
      <c r="AN154">
        <v>57</v>
      </c>
      <c r="AO154">
        <v>17</v>
      </c>
      <c r="AP154">
        <v>19</v>
      </c>
      <c r="AQ154" t="s">
        <v>2312</v>
      </c>
      <c r="AR154">
        <v>94</v>
      </c>
      <c r="AS154" t="s">
        <v>35</v>
      </c>
      <c r="AT154" t="s">
        <v>36</v>
      </c>
      <c r="AU154" s="4">
        <f>HYPERLINK("http://mlb.mlb.com/team/player.jsp?player_id=605397",605397)</f>
        <v>605397</v>
      </c>
      <c r="AV154">
        <v>1052</v>
      </c>
      <c r="AW154">
        <v>52</v>
      </c>
      <c r="AX154">
        <v>109.3</v>
      </c>
    </row>
    <row r="155" spans="1:50" x14ac:dyDescent="0.3">
      <c r="A155" s="4">
        <f>HYPERLINK("http://legacy.baseballprospectus.com/p/70514",70514)</f>
        <v>70514</v>
      </c>
      <c r="B155" t="s">
        <v>1663</v>
      </c>
      <c r="C155" t="s">
        <v>234</v>
      </c>
      <c r="D155" s="10">
        <v>33190</v>
      </c>
      <c r="E155" t="s">
        <v>33</v>
      </c>
      <c r="F155" t="s">
        <v>33</v>
      </c>
      <c r="G155">
        <v>75</v>
      </c>
      <c r="H155">
        <v>210</v>
      </c>
      <c r="I155">
        <v>2018</v>
      </c>
      <c r="J155" s="4" t="str">
        <f>HYPERLINK("http://legacy.baseballprospectus.com/fantasy/dc/index.php?tm=HOU","HOU")</f>
        <v>HOU</v>
      </c>
      <c r="K155" t="s">
        <v>95</v>
      </c>
      <c r="L155" t="s">
        <v>34</v>
      </c>
      <c r="M155">
        <v>27</v>
      </c>
      <c r="N155">
        <v>2.8</v>
      </c>
      <c r="O155">
        <v>2.2999999999999998</v>
      </c>
      <c r="P155">
        <v>0</v>
      </c>
      <c r="Q155">
        <v>0</v>
      </c>
      <c r="R155">
        <v>0</v>
      </c>
      <c r="S155">
        <v>4</v>
      </c>
      <c r="T155">
        <v>50</v>
      </c>
      <c r="U155">
        <v>0</v>
      </c>
      <c r="V155" s="9">
        <v>53</v>
      </c>
      <c r="W155">
        <v>220</v>
      </c>
      <c r="X155">
        <v>45</v>
      </c>
      <c r="Y155">
        <v>7</v>
      </c>
      <c r="Z155">
        <v>18</v>
      </c>
      <c r="AA155">
        <v>2</v>
      </c>
      <c r="AB155">
        <v>2</v>
      </c>
      <c r="AC155">
        <v>59</v>
      </c>
      <c r="AD155">
        <v>3.1</v>
      </c>
      <c r="AE155">
        <v>10</v>
      </c>
      <c r="AF155" s="5">
        <v>0.38300000000000001</v>
      </c>
      <c r="AG155">
        <v>0.28699999999999998</v>
      </c>
      <c r="AH155">
        <v>1.19</v>
      </c>
      <c r="AI155">
        <v>3.48</v>
      </c>
      <c r="AJ155">
        <v>3.91</v>
      </c>
      <c r="AK155">
        <v>7.4</v>
      </c>
      <c r="AL155">
        <v>0.8</v>
      </c>
      <c r="AM155">
        <v>29</v>
      </c>
      <c r="AN155">
        <v>58</v>
      </c>
      <c r="AO155">
        <v>13</v>
      </c>
      <c r="AP155">
        <v>14</v>
      </c>
      <c r="AQ155" t="s">
        <v>2375</v>
      </c>
      <c r="AR155">
        <v>86</v>
      </c>
      <c r="AS155" t="s">
        <v>35</v>
      </c>
      <c r="AT155" t="s">
        <v>36</v>
      </c>
      <c r="AU155" s="4">
        <f>HYPERLINK("http://mlb.mlb.com/team/player.jsp?player_id=606965",606965)</f>
        <v>606965</v>
      </c>
      <c r="AV155">
        <v>226</v>
      </c>
      <c r="AW155">
        <v>1226</v>
      </c>
      <c r="AX155">
        <v>80.7</v>
      </c>
    </row>
    <row r="156" spans="1:50" x14ac:dyDescent="0.3">
      <c r="A156" s="4">
        <f>HYPERLINK("http://legacy.baseballprospectus.com/p/70957",70957)</f>
        <v>70957</v>
      </c>
      <c r="B156" t="s">
        <v>1198</v>
      </c>
      <c r="C156" t="s">
        <v>2202</v>
      </c>
      <c r="D156" s="10">
        <v>34254</v>
      </c>
      <c r="E156" t="s">
        <v>9</v>
      </c>
      <c r="F156" t="s">
        <v>33</v>
      </c>
      <c r="G156">
        <v>77</v>
      </c>
      <c r="H156">
        <v>270</v>
      </c>
      <c r="I156">
        <v>2018</v>
      </c>
      <c r="J156" s="4" t="str">
        <f>HYPERLINK("http://legacy.baseballprospectus.com/fantasy/dc/index.php?tm=CIN","CIN")</f>
        <v>CIN</v>
      </c>
      <c r="K156" t="s">
        <v>100</v>
      </c>
      <c r="L156" t="s">
        <v>34</v>
      </c>
      <c r="M156">
        <v>24</v>
      </c>
      <c r="N156">
        <v>6.8</v>
      </c>
      <c r="O156">
        <v>8.3000000000000007</v>
      </c>
      <c r="P156">
        <v>11</v>
      </c>
      <c r="Q156">
        <v>0</v>
      </c>
      <c r="R156">
        <v>0</v>
      </c>
      <c r="S156">
        <v>0</v>
      </c>
      <c r="T156">
        <v>23</v>
      </c>
      <c r="U156">
        <v>23</v>
      </c>
      <c r="V156" s="9">
        <v>122</v>
      </c>
      <c r="W156">
        <v>535</v>
      </c>
      <c r="X156">
        <v>127</v>
      </c>
      <c r="Y156">
        <v>19</v>
      </c>
      <c r="Z156">
        <v>47</v>
      </c>
      <c r="AA156">
        <v>3</v>
      </c>
      <c r="AB156">
        <v>5</v>
      </c>
      <c r="AC156">
        <v>108</v>
      </c>
      <c r="AD156">
        <v>3.5</v>
      </c>
      <c r="AE156">
        <v>8</v>
      </c>
      <c r="AF156" s="5">
        <v>0.48399999999999999</v>
      </c>
      <c r="AG156">
        <v>0.30399999999999999</v>
      </c>
      <c r="AH156">
        <v>1.44</v>
      </c>
      <c r="AI156">
        <v>4.6399999999999997</v>
      </c>
      <c r="AJ156">
        <v>4.6900000000000004</v>
      </c>
      <c r="AK156">
        <v>7.2</v>
      </c>
      <c r="AL156">
        <v>0.8</v>
      </c>
      <c r="AM156">
        <v>25</v>
      </c>
      <c r="AN156">
        <v>47</v>
      </c>
      <c r="AO156">
        <v>10</v>
      </c>
      <c r="AP156">
        <v>33</v>
      </c>
      <c r="AQ156" t="s">
        <v>2333</v>
      </c>
      <c r="AR156">
        <v>69</v>
      </c>
      <c r="AS156" t="s">
        <v>35</v>
      </c>
      <c r="AT156" t="s">
        <v>36</v>
      </c>
      <c r="AU156" s="4">
        <f>HYPERLINK("http://mlb.mlb.com/team/player.jsp?player_id=607219",607219)</f>
        <v>607219</v>
      </c>
      <c r="AV156">
        <v>1063</v>
      </c>
      <c r="AW156">
        <v>63</v>
      </c>
      <c r="AX156">
        <v>87</v>
      </c>
    </row>
    <row r="157" spans="1:50" x14ac:dyDescent="0.3">
      <c r="A157" s="4">
        <f>HYPERLINK("http://legacy.baseballprospectus.com/p/99999",99999)</f>
        <v>99999</v>
      </c>
      <c r="B157" t="s">
        <v>1627</v>
      </c>
      <c r="C157" t="s">
        <v>149</v>
      </c>
      <c r="D157" s="10">
        <v>33363</v>
      </c>
      <c r="E157" t="s">
        <v>33</v>
      </c>
      <c r="F157" t="s">
        <v>9</v>
      </c>
      <c r="G157">
        <v>74</v>
      </c>
      <c r="H157">
        <v>235</v>
      </c>
      <c r="I157">
        <v>2018</v>
      </c>
      <c r="J157" s="4" t="str">
        <f>HYPERLINK("http://legacy.baseballprospectus.com/fantasy/dc/index.php?tm=SEA","SEA")</f>
        <v>SEA</v>
      </c>
      <c r="K157" t="s">
        <v>95</v>
      </c>
      <c r="L157" t="s">
        <v>34</v>
      </c>
      <c r="M157">
        <v>27</v>
      </c>
      <c r="N157">
        <v>2.6</v>
      </c>
      <c r="O157">
        <v>2.4</v>
      </c>
      <c r="P157">
        <v>0</v>
      </c>
      <c r="Q157">
        <v>0</v>
      </c>
      <c r="R157">
        <v>0</v>
      </c>
      <c r="S157">
        <v>1</v>
      </c>
      <c r="T157">
        <v>50</v>
      </c>
      <c r="U157">
        <v>0</v>
      </c>
      <c r="V157" s="9">
        <v>52.666699999999999</v>
      </c>
      <c r="W157">
        <v>226</v>
      </c>
      <c r="X157">
        <v>45</v>
      </c>
      <c r="Y157">
        <v>6</v>
      </c>
      <c r="Z157">
        <v>23</v>
      </c>
      <c r="AA157">
        <v>1</v>
      </c>
      <c r="AB157">
        <v>3</v>
      </c>
      <c r="AC157">
        <v>62</v>
      </c>
      <c r="AD157">
        <v>4</v>
      </c>
      <c r="AE157">
        <v>10.5</v>
      </c>
      <c r="AF157" s="5">
        <v>0.47799999999999998</v>
      </c>
      <c r="AG157">
        <v>0.29699999999999999</v>
      </c>
      <c r="AH157">
        <v>1.3</v>
      </c>
      <c r="AI157">
        <v>3.5</v>
      </c>
      <c r="AJ157">
        <v>3.92</v>
      </c>
      <c r="AK157">
        <v>7.3</v>
      </c>
      <c r="AL157">
        <v>0.8</v>
      </c>
      <c r="AM157">
        <v>29</v>
      </c>
      <c r="AN157">
        <v>41</v>
      </c>
      <c r="AO157">
        <v>21</v>
      </c>
      <c r="AP157">
        <v>26</v>
      </c>
      <c r="AQ157" t="s">
        <v>2521</v>
      </c>
      <c r="AR157">
        <v>75</v>
      </c>
      <c r="AS157" t="s">
        <v>35</v>
      </c>
      <c r="AT157" t="s">
        <v>36</v>
      </c>
      <c r="AU157" s="4">
        <f>HYPERLINK("http://mlb.mlb.com/team/player.jsp?player_id=572021",572021)</f>
        <v>572021</v>
      </c>
      <c r="AV157">
        <v>279</v>
      </c>
      <c r="AW157">
        <v>1279</v>
      </c>
      <c r="AX157">
        <v>53.7</v>
      </c>
    </row>
    <row r="158" spans="1:50" x14ac:dyDescent="0.3">
      <c r="A158" s="4">
        <f>HYPERLINK("http://legacy.baseballprospectus.com/p/100206",100206)</f>
        <v>100206</v>
      </c>
      <c r="B158" t="s">
        <v>690</v>
      </c>
      <c r="C158" t="s">
        <v>272</v>
      </c>
      <c r="D158" s="10">
        <v>33719</v>
      </c>
      <c r="E158" t="s">
        <v>33</v>
      </c>
      <c r="F158" t="s">
        <v>33</v>
      </c>
      <c r="G158">
        <v>75</v>
      </c>
      <c r="H158">
        <v>230</v>
      </c>
      <c r="I158">
        <v>2018</v>
      </c>
      <c r="J158" s="4" t="str">
        <f>HYPERLINK("http://legacy.baseballprospectus.com/fantasy/dc/index.php?tm=PIT","PIT")</f>
        <v>PIT</v>
      </c>
      <c r="K158" t="s">
        <v>100</v>
      </c>
      <c r="L158" t="s">
        <v>34</v>
      </c>
      <c r="M158">
        <v>26</v>
      </c>
      <c r="N158">
        <v>7.7</v>
      </c>
      <c r="O158">
        <v>9.6</v>
      </c>
      <c r="P158">
        <v>12</v>
      </c>
      <c r="Q158">
        <v>0</v>
      </c>
      <c r="R158">
        <v>0</v>
      </c>
      <c r="S158">
        <v>0</v>
      </c>
      <c r="T158">
        <v>26</v>
      </c>
      <c r="U158">
        <v>26</v>
      </c>
      <c r="V158" s="9">
        <v>137.66669999999999</v>
      </c>
      <c r="W158">
        <v>602</v>
      </c>
      <c r="X158">
        <v>143</v>
      </c>
      <c r="Y158">
        <v>18</v>
      </c>
      <c r="Z158">
        <v>50</v>
      </c>
      <c r="AA158">
        <v>3</v>
      </c>
      <c r="AB158">
        <v>6</v>
      </c>
      <c r="AC158">
        <v>109</v>
      </c>
      <c r="AD158">
        <v>3.3</v>
      </c>
      <c r="AE158">
        <v>7.1</v>
      </c>
      <c r="AF158" s="5">
        <v>0.48599999999999999</v>
      </c>
      <c r="AG158">
        <v>0.29899999999999999</v>
      </c>
      <c r="AH158">
        <v>1.41</v>
      </c>
      <c r="AI158">
        <v>4.3899999999999997</v>
      </c>
      <c r="AJ158">
        <v>4.76</v>
      </c>
      <c r="AK158">
        <v>7.2</v>
      </c>
      <c r="AL158">
        <v>0.8</v>
      </c>
      <c r="AM158">
        <v>38</v>
      </c>
      <c r="AN158">
        <v>63</v>
      </c>
      <c r="AO158">
        <v>12</v>
      </c>
      <c r="AP158">
        <v>19</v>
      </c>
      <c r="AQ158" t="s">
        <v>2353</v>
      </c>
      <c r="AR158">
        <v>85</v>
      </c>
      <c r="AS158" t="s">
        <v>35</v>
      </c>
      <c r="AT158" t="s">
        <v>36</v>
      </c>
      <c r="AU158" s="4">
        <f>HYPERLINK("http://mlb.mlb.com/team/player.jsp?player_id=592866",592866)</f>
        <v>592866</v>
      </c>
      <c r="AV158">
        <v>1032</v>
      </c>
      <c r="AW158">
        <v>32</v>
      </c>
      <c r="AX158">
        <v>150.30000000000001</v>
      </c>
    </row>
    <row r="159" spans="1:50" x14ac:dyDescent="0.3">
      <c r="A159" s="4">
        <f>HYPERLINK("http://legacy.baseballprospectus.com/p/100292",100292)</f>
        <v>100292</v>
      </c>
      <c r="B159" t="s">
        <v>1482</v>
      </c>
      <c r="C159" t="s">
        <v>258</v>
      </c>
      <c r="D159" s="10">
        <v>33234</v>
      </c>
      <c r="E159" t="s">
        <v>33</v>
      </c>
      <c r="F159" t="s">
        <v>33</v>
      </c>
      <c r="G159">
        <v>75</v>
      </c>
      <c r="H159">
        <v>220</v>
      </c>
      <c r="I159">
        <v>2018</v>
      </c>
      <c r="J159" s="4" t="str">
        <f>HYPERLINK("http://legacy.baseballprospectus.com/fantasy/dc/index.php?tm=MIN","MIN")</f>
        <v>MIN</v>
      </c>
      <c r="K159" t="s">
        <v>95</v>
      </c>
      <c r="L159" t="s">
        <v>34</v>
      </c>
      <c r="M159">
        <v>27</v>
      </c>
      <c r="N159">
        <v>2.6</v>
      </c>
      <c r="O159">
        <v>2.6</v>
      </c>
      <c r="P159">
        <v>0</v>
      </c>
      <c r="Q159">
        <v>0</v>
      </c>
      <c r="R159">
        <v>0</v>
      </c>
      <c r="S159">
        <v>0</v>
      </c>
      <c r="T159">
        <v>53</v>
      </c>
      <c r="U159">
        <v>0</v>
      </c>
      <c r="V159" s="9">
        <v>55.666699999999999</v>
      </c>
      <c r="W159">
        <v>238</v>
      </c>
      <c r="X159">
        <v>53</v>
      </c>
      <c r="Y159">
        <v>6</v>
      </c>
      <c r="Z159">
        <v>21</v>
      </c>
      <c r="AA159">
        <v>3</v>
      </c>
      <c r="AB159">
        <v>2</v>
      </c>
      <c r="AC159">
        <v>52</v>
      </c>
      <c r="AD159">
        <v>3.4</v>
      </c>
      <c r="AE159">
        <v>8.4</v>
      </c>
      <c r="AF159" s="5">
        <v>0.47199999999999998</v>
      </c>
      <c r="AG159">
        <v>0.29599999999999999</v>
      </c>
      <c r="AH159">
        <v>1.32</v>
      </c>
      <c r="AI159">
        <v>3.71</v>
      </c>
      <c r="AJ159">
        <v>4</v>
      </c>
      <c r="AK159">
        <v>7.2</v>
      </c>
      <c r="AL159">
        <v>0.8</v>
      </c>
      <c r="AM159">
        <v>33</v>
      </c>
      <c r="AN159">
        <v>62</v>
      </c>
      <c r="AO159">
        <v>13</v>
      </c>
      <c r="AP159">
        <v>12</v>
      </c>
      <c r="AQ159" t="s">
        <v>2408</v>
      </c>
      <c r="AR159">
        <v>90</v>
      </c>
      <c r="AS159" t="s">
        <v>35</v>
      </c>
      <c r="AT159" t="s">
        <v>36</v>
      </c>
      <c r="AU159" s="4">
        <f>HYPERLINK("http://mlb.mlb.com/team/player.jsp?player_id=608648",608648)</f>
        <v>608648</v>
      </c>
      <c r="AV159">
        <v>233</v>
      </c>
      <c r="AW159">
        <v>1233</v>
      </c>
      <c r="AX159">
        <v>71</v>
      </c>
    </row>
    <row r="160" spans="1:50" x14ac:dyDescent="0.3">
      <c r="A160" s="4">
        <f>HYPERLINK("http://legacy.baseballprospectus.com/p/70756",70756)</f>
        <v>70756</v>
      </c>
      <c r="B160" t="s">
        <v>1185</v>
      </c>
      <c r="C160" t="s">
        <v>391</v>
      </c>
      <c r="D160" s="10">
        <v>32860</v>
      </c>
      <c r="E160" t="s">
        <v>33</v>
      </c>
      <c r="F160" t="s">
        <v>33</v>
      </c>
      <c r="G160">
        <v>78</v>
      </c>
      <c r="H160">
        <v>210</v>
      </c>
      <c r="I160">
        <v>2018</v>
      </c>
      <c r="J160" s="4" t="str">
        <f>HYPERLINK("http://legacy.baseballprospectus.com/fantasy/dc/index.php?tm=MIL","MIL")</f>
        <v>MIL</v>
      </c>
      <c r="K160" t="s">
        <v>100</v>
      </c>
      <c r="L160" t="s">
        <v>34</v>
      </c>
      <c r="M160">
        <v>28</v>
      </c>
      <c r="N160">
        <v>6.5</v>
      </c>
      <c r="O160">
        <v>6.5</v>
      </c>
      <c r="P160">
        <v>9.4</v>
      </c>
      <c r="Q160">
        <v>0</v>
      </c>
      <c r="R160">
        <v>0</v>
      </c>
      <c r="S160">
        <v>0</v>
      </c>
      <c r="T160">
        <v>19.8</v>
      </c>
      <c r="U160">
        <v>19.8</v>
      </c>
      <c r="V160" s="9">
        <v>105.33329999999999</v>
      </c>
      <c r="W160">
        <v>442</v>
      </c>
      <c r="X160">
        <v>97</v>
      </c>
      <c r="Y160">
        <v>13</v>
      </c>
      <c r="Z160">
        <v>47</v>
      </c>
      <c r="AA160" t="s">
        <v>1680</v>
      </c>
      <c r="AB160">
        <v>6</v>
      </c>
      <c r="AC160">
        <v>100</v>
      </c>
      <c r="AD160">
        <v>4</v>
      </c>
      <c r="AE160">
        <v>8.6</v>
      </c>
      <c r="AF160" s="5">
        <v>0.47080326080322199</v>
      </c>
      <c r="AG160">
        <v>0.30299999999999999</v>
      </c>
      <c r="AH160">
        <v>1.36</v>
      </c>
      <c r="AI160">
        <v>4.42</v>
      </c>
      <c r="AJ160">
        <v>4.97</v>
      </c>
      <c r="AK160">
        <v>7.1</v>
      </c>
      <c r="AL160">
        <v>0.8</v>
      </c>
      <c r="AM160">
        <v>18</v>
      </c>
      <c r="AN160">
        <v>35</v>
      </c>
      <c r="AO160">
        <v>13</v>
      </c>
      <c r="AP160">
        <v>25</v>
      </c>
      <c r="AQ160" t="s">
        <v>2674</v>
      </c>
      <c r="AR160">
        <v>55</v>
      </c>
      <c r="AS160" t="s">
        <v>36</v>
      </c>
      <c r="AT160" t="s">
        <v>36</v>
      </c>
      <c r="AU160" s="4">
        <f>HYPERLINK("http://mlb.mlb.com/team/player.jsp?player_id=543380",543380)</f>
        <v>543380</v>
      </c>
      <c r="AV160">
        <v>0</v>
      </c>
      <c r="AW160">
        <v>0</v>
      </c>
      <c r="AX160">
        <v>0.7</v>
      </c>
    </row>
    <row r="161" spans="1:50" x14ac:dyDescent="0.3">
      <c r="A161" s="4">
        <f>HYPERLINK("http://legacy.baseballprospectus.com/p/100392",100392)</f>
        <v>100392</v>
      </c>
      <c r="B161" t="s">
        <v>101</v>
      </c>
      <c r="C161" t="s">
        <v>136</v>
      </c>
      <c r="D161" s="10">
        <v>33363</v>
      </c>
      <c r="E161" t="s">
        <v>33</v>
      </c>
      <c r="F161" t="s">
        <v>33</v>
      </c>
      <c r="G161">
        <v>74</v>
      </c>
      <c r="H161">
        <v>225</v>
      </c>
      <c r="I161">
        <v>2018</v>
      </c>
      <c r="J161" s="4" t="str">
        <f>HYPERLINK("http://legacy.baseballprospectus.com/fantasy/dc/index.php?tm=WAS","WAS")</f>
        <v>WAS</v>
      </c>
      <c r="K161" t="s">
        <v>100</v>
      </c>
      <c r="L161" t="s">
        <v>34</v>
      </c>
      <c r="M161">
        <v>27</v>
      </c>
      <c r="N161">
        <v>2.7</v>
      </c>
      <c r="O161">
        <v>1.1000000000000001</v>
      </c>
      <c r="P161">
        <v>0</v>
      </c>
      <c r="Q161">
        <v>0</v>
      </c>
      <c r="R161">
        <v>0.8</v>
      </c>
      <c r="S161">
        <v>0</v>
      </c>
      <c r="T161">
        <v>52.8</v>
      </c>
      <c r="U161">
        <v>0</v>
      </c>
      <c r="V161" s="9">
        <v>56</v>
      </c>
      <c r="W161">
        <v>236</v>
      </c>
      <c r="X161">
        <v>46</v>
      </c>
      <c r="Y161">
        <v>6</v>
      </c>
      <c r="Z161">
        <v>30</v>
      </c>
      <c r="AA161" t="s">
        <v>1680</v>
      </c>
      <c r="AB161">
        <v>3</v>
      </c>
      <c r="AC161">
        <v>71</v>
      </c>
      <c r="AD161">
        <v>4.8</v>
      </c>
      <c r="AE161">
        <v>11.5</v>
      </c>
      <c r="AF161" s="5">
        <v>0.44872432947158802</v>
      </c>
      <c r="AG161">
        <v>0.32</v>
      </c>
      <c r="AH161">
        <v>1.36</v>
      </c>
      <c r="AI161">
        <v>3.66</v>
      </c>
      <c r="AJ161">
        <v>4.21</v>
      </c>
      <c r="AK161">
        <v>7</v>
      </c>
      <c r="AL161">
        <v>0.8</v>
      </c>
      <c r="AM161">
        <v>12</v>
      </c>
      <c r="AN161">
        <v>19</v>
      </c>
      <c r="AO161">
        <v>19</v>
      </c>
      <c r="AP161">
        <v>24</v>
      </c>
      <c r="AQ161" t="s">
        <v>3087</v>
      </c>
      <c r="AR161">
        <v>47</v>
      </c>
      <c r="AS161" t="s">
        <v>36</v>
      </c>
      <c r="AT161" t="s">
        <v>35</v>
      </c>
      <c r="AU161" s="4">
        <f>HYPERLINK("http://mlb.mlb.com/team/player.jsp?player_id=613534",613534)</f>
        <v>613534</v>
      </c>
      <c r="AV161">
        <v>1351</v>
      </c>
      <c r="AW161">
        <v>351</v>
      </c>
      <c r="AX161">
        <v>5</v>
      </c>
    </row>
    <row r="162" spans="1:50" x14ac:dyDescent="0.3">
      <c r="A162" s="4">
        <f>HYPERLINK("http://legacy.baseballprospectus.com/p/101992",101992)</f>
        <v>101992</v>
      </c>
      <c r="B162" t="s">
        <v>1399</v>
      </c>
      <c r="C162" t="s">
        <v>190</v>
      </c>
      <c r="D162" s="10">
        <v>35289</v>
      </c>
      <c r="E162" t="s">
        <v>9</v>
      </c>
      <c r="F162" t="s">
        <v>9</v>
      </c>
      <c r="G162">
        <v>72</v>
      </c>
      <c r="H162">
        <v>215</v>
      </c>
      <c r="I162">
        <v>2018</v>
      </c>
      <c r="J162" s="4" t="str">
        <f>HYPERLINK("http://legacy.baseballprospectus.com/fantasy/dc/index.php?tm=LAN","LAN")</f>
        <v>LAN</v>
      </c>
      <c r="K162" t="s">
        <v>100</v>
      </c>
      <c r="L162" t="s">
        <v>34</v>
      </c>
      <c r="M162">
        <v>21</v>
      </c>
      <c r="N162">
        <v>3.9</v>
      </c>
      <c r="O162">
        <v>3.1</v>
      </c>
      <c r="P162">
        <v>6.7</v>
      </c>
      <c r="Q162">
        <v>0</v>
      </c>
      <c r="R162">
        <v>0</v>
      </c>
      <c r="S162">
        <v>0</v>
      </c>
      <c r="T162">
        <v>12.1</v>
      </c>
      <c r="U162">
        <v>12.1</v>
      </c>
      <c r="V162" s="9">
        <v>54.666699999999999</v>
      </c>
      <c r="W162">
        <v>223</v>
      </c>
      <c r="X162">
        <v>47</v>
      </c>
      <c r="Y162">
        <v>7</v>
      </c>
      <c r="Z162">
        <v>21</v>
      </c>
      <c r="AA162" t="s">
        <v>1680</v>
      </c>
      <c r="AB162">
        <v>1</v>
      </c>
      <c r="AC162">
        <v>61</v>
      </c>
      <c r="AD162">
        <v>3.5</v>
      </c>
      <c r="AE162">
        <v>10</v>
      </c>
      <c r="AF162" s="5">
        <v>0.44763258099555903</v>
      </c>
      <c r="AG162">
        <v>0.30499999999999999</v>
      </c>
      <c r="AH162">
        <v>1.25</v>
      </c>
      <c r="AI162">
        <v>3.76</v>
      </c>
      <c r="AJ162">
        <v>4.34</v>
      </c>
      <c r="AK162">
        <v>7.3</v>
      </c>
      <c r="AL162">
        <v>0.8</v>
      </c>
      <c r="AM162">
        <v>22</v>
      </c>
      <c r="AN162">
        <v>38</v>
      </c>
      <c r="AO162">
        <v>6</v>
      </c>
      <c r="AP162">
        <v>22</v>
      </c>
      <c r="AQ162" t="s">
        <v>2386</v>
      </c>
      <c r="AR162">
        <v>55</v>
      </c>
      <c r="AS162" t="s">
        <v>36</v>
      </c>
      <c r="AT162" t="s">
        <v>36</v>
      </c>
      <c r="AU162" s="4">
        <f>HYPERLINK("http://mlb.mlb.com/team/player.jsp?player_id=628711",628711)</f>
        <v>628711</v>
      </c>
      <c r="AV162">
        <v>1109</v>
      </c>
      <c r="AW162">
        <v>109</v>
      </c>
      <c r="AX162">
        <v>23.3</v>
      </c>
    </row>
    <row r="163" spans="1:50" x14ac:dyDescent="0.3">
      <c r="A163" s="4">
        <f>HYPERLINK("http://legacy.baseballprospectus.com/p/105417",105417)</f>
        <v>105417</v>
      </c>
      <c r="B163" t="s">
        <v>2337</v>
      </c>
      <c r="C163" t="s">
        <v>2229</v>
      </c>
      <c r="D163" s="10">
        <v>33803</v>
      </c>
      <c r="E163" t="s">
        <v>33</v>
      </c>
      <c r="F163" t="s">
        <v>33</v>
      </c>
      <c r="G163">
        <v>76</v>
      </c>
      <c r="H163">
        <v>187</v>
      </c>
      <c r="I163">
        <v>2018</v>
      </c>
      <c r="J163" s="4" t="str">
        <f>HYPERLINK("http://legacy.baseballprospectus.com/fantasy/dc/index.php?tm=SDN","SDN")</f>
        <v>SDN</v>
      </c>
      <c r="K163" t="s">
        <v>100</v>
      </c>
      <c r="L163" t="s">
        <v>34</v>
      </c>
      <c r="M163">
        <v>25</v>
      </c>
      <c r="N163">
        <v>6.9</v>
      </c>
      <c r="O163">
        <v>9.5</v>
      </c>
      <c r="P163">
        <v>12</v>
      </c>
      <c r="Q163">
        <v>0</v>
      </c>
      <c r="R163">
        <v>0</v>
      </c>
      <c r="S163">
        <v>0</v>
      </c>
      <c r="T163">
        <v>26</v>
      </c>
      <c r="U163">
        <v>26</v>
      </c>
      <c r="V163" s="9">
        <v>130</v>
      </c>
      <c r="W163">
        <v>551</v>
      </c>
      <c r="X163">
        <v>114</v>
      </c>
      <c r="Y163">
        <v>21</v>
      </c>
      <c r="Z163">
        <v>54</v>
      </c>
      <c r="AA163">
        <v>2</v>
      </c>
      <c r="AB163">
        <v>5</v>
      </c>
      <c r="AC163">
        <v>152</v>
      </c>
      <c r="AD163">
        <v>3.7</v>
      </c>
      <c r="AE163">
        <v>10.5</v>
      </c>
      <c r="AF163" s="5">
        <v>0.39600000000000002</v>
      </c>
      <c r="AG163">
        <v>0.28899999999999998</v>
      </c>
      <c r="AH163">
        <v>1.27</v>
      </c>
      <c r="AI163">
        <v>4.22</v>
      </c>
      <c r="AJ163">
        <v>4.7300000000000004</v>
      </c>
      <c r="AK163">
        <v>7.1</v>
      </c>
      <c r="AL163">
        <v>0.8</v>
      </c>
      <c r="AM163">
        <v>38</v>
      </c>
      <c r="AN163">
        <v>67</v>
      </c>
      <c r="AO163">
        <v>18</v>
      </c>
      <c r="AP163">
        <v>25</v>
      </c>
      <c r="AQ163" t="s">
        <v>2338</v>
      </c>
      <c r="AR163">
        <v>94</v>
      </c>
      <c r="AS163" t="s">
        <v>35</v>
      </c>
      <c r="AT163" t="s">
        <v>36</v>
      </c>
      <c r="AU163" s="4">
        <f>HYPERLINK("http://mlb.mlb.com/team/player.jsp?player_id=659275",659275)</f>
        <v>659275</v>
      </c>
      <c r="AV163">
        <v>1049</v>
      </c>
      <c r="AW163">
        <v>49</v>
      </c>
      <c r="AX163">
        <v>114.3</v>
      </c>
    </row>
    <row r="164" spans="1:50" x14ac:dyDescent="0.3">
      <c r="A164" s="4">
        <f>HYPERLINK("http://legacy.baseballprospectus.com/p/107180",107180)</f>
        <v>107180</v>
      </c>
      <c r="B164" t="s">
        <v>120</v>
      </c>
      <c r="C164" t="s">
        <v>520</v>
      </c>
      <c r="D164" s="10">
        <v>35131</v>
      </c>
      <c r="E164" t="s">
        <v>33</v>
      </c>
      <c r="F164" t="s">
        <v>33</v>
      </c>
      <c r="G164">
        <v>75</v>
      </c>
      <c r="H164">
        <v>175</v>
      </c>
      <c r="I164">
        <v>2018</v>
      </c>
      <c r="J164" s="4" t="str">
        <f>HYPERLINK("http://legacy.baseballprospectus.com/fantasy/dc/index.php?tm=LAN","LAN")</f>
        <v>LAN</v>
      </c>
      <c r="K164" t="s">
        <v>100</v>
      </c>
      <c r="L164" t="s">
        <v>34</v>
      </c>
      <c r="M164">
        <v>22</v>
      </c>
      <c r="N164">
        <v>5.5</v>
      </c>
      <c r="O164">
        <v>4.8</v>
      </c>
      <c r="P164">
        <v>9.4</v>
      </c>
      <c r="Q164">
        <v>0</v>
      </c>
      <c r="R164">
        <v>0</v>
      </c>
      <c r="S164">
        <v>0</v>
      </c>
      <c r="T164">
        <v>18.3</v>
      </c>
      <c r="U164">
        <v>18.3</v>
      </c>
      <c r="V164" s="9">
        <v>79.666700000000006</v>
      </c>
      <c r="W164">
        <v>327</v>
      </c>
      <c r="X164">
        <v>68</v>
      </c>
      <c r="Y164">
        <v>13</v>
      </c>
      <c r="Z164">
        <v>34</v>
      </c>
      <c r="AA164" t="s">
        <v>1680</v>
      </c>
      <c r="AB164">
        <v>1</v>
      </c>
      <c r="AC164">
        <v>96</v>
      </c>
      <c r="AD164">
        <v>3.8</v>
      </c>
      <c r="AE164">
        <v>10.9</v>
      </c>
      <c r="AF164" s="5">
        <v>0.47280099987983698</v>
      </c>
      <c r="AG164">
        <v>0.30399999999999999</v>
      </c>
      <c r="AH164">
        <v>1.29</v>
      </c>
      <c r="AI164">
        <v>4.12</v>
      </c>
      <c r="AJ164">
        <v>4.76</v>
      </c>
      <c r="AK164">
        <v>7.1</v>
      </c>
      <c r="AL164">
        <v>0.8</v>
      </c>
      <c r="AM164">
        <v>6</v>
      </c>
      <c r="AN164">
        <v>15</v>
      </c>
      <c r="AO164">
        <v>3</v>
      </c>
      <c r="AP164">
        <v>13</v>
      </c>
      <c r="AQ164" t="s">
        <v>2412</v>
      </c>
      <c r="AR164">
        <v>23</v>
      </c>
      <c r="AS164" t="s">
        <v>36</v>
      </c>
      <c r="AT164" t="s">
        <v>35</v>
      </c>
      <c r="AU164" s="4">
        <f>HYPERLINK("http://mlb.mlb.com/team/player.jsp?player_id=665751",665751)</f>
        <v>665751</v>
      </c>
      <c r="AV164">
        <v>1175</v>
      </c>
      <c r="AW164">
        <v>175</v>
      </c>
      <c r="AX164">
        <v>0</v>
      </c>
    </row>
    <row r="165" spans="1:50" x14ac:dyDescent="0.3">
      <c r="A165" s="4">
        <f>HYPERLINK("http://legacy.baseballprospectus.com/p/108123",108123)</f>
        <v>108123</v>
      </c>
      <c r="B165" t="s">
        <v>2361</v>
      </c>
      <c r="C165" t="s">
        <v>212</v>
      </c>
      <c r="D165" s="10">
        <v>34126</v>
      </c>
      <c r="E165" t="s">
        <v>9</v>
      </c>
      <c r="F165" t="s">
        <v>9</v>
      </c>
      <c r="G165">
        <v>77</v>
      </c>
      <c r="H165">
        <v>204</v>
      </c>
      <c r="I165">
        <v>2018</v>
      </c>
      <c r="J165" s="4" t="str">
        <f>HYPERLINK("http://legacy.baseballprospectus.com/fantasy/dc/index.php?tm=SDN","SDN")</f>
        <v>SDN</v>
      </c>
      <c r="K165" t="s">
        <v>100</v>
      </c>
      <c r="L165" t="s">
        <v>34</v>
      </c>
      <c r="M165">
        <v>25</v>
      </c>
      <c r="N165">
        <v>5.7</v>
      </c>
      <c r="O165">
        <v>7</v>
      </c>
      <c r="P165">
        <v>10.1</v>
      </c>
      <c r="Q165">
        <v>0</v>
      </c>
      <c r="R165">
        <v>0</v>
      </c>
      <c r="S165">
        <v>0</v>
      </c>
      <c r="T165">
        <v>20.2</v>
      </c>
      <c r="U165">
        <v>20.2</v>
      </c>
      <c r="V165" s="9">
        <v>102.33329999999999</v>
      </c>
      <c r="W165">
        <v>412</v>
      </c>
      <c r="X165">
        <v>91</v>
      </c>
      <c r="Y165">
        <v>18</v>
      </c>
      <c r="Z165">
        <v>32</v>
      </c>
      <c r="AA165" t="s">
        <v>1680</v>
      </c>
      <c r="AB165">
        <v>2</v>
      </c>
      <c r="AC165">
        <v>114</v>
      </c>
      <c r="AD165">
        <v>2.8</v>
      </c>
      <c r="AE165">
        <v>10</v>
      </c>
      <c r="AF165" s="5">
        <v>0.46429917216300898</v>
      </c>
      <c r="AG165">
        <v>0.29799999999999999</v>
      </c>
      <c r="AH165">
        <v>1.2</v>
      </c>
      <c r="AI165">
        <v>4.26</v>
      </c>
      <c r="AJ165">
        <v>4.95</v>
      </c>
      <c r="AK165">
        <v>7.1</v>
      </c>
      <c r="AL165">
        <v>0.8</v>
      </c>
      <c r="AM165">
        <v>14</v>
      </c>
      <c r="AN165">
        <v>32</v>
      </c>
      <c r="AO165">
        <v>13</v>
      </c>
      <c r="AP165">
        <v>40</v>
      </c>
      <c r="AQ165" t="s">
        <v>2362</v>
      </c>
      <c r="AR165">
        <v>61</v>
      </c>
      <c r="AS165" t="s">
        <v>36</v>
      </c>
      <c r="AT165" t="s">
        <v>35</v>
      </c>
      <c r="AU165" s="4">
        <f>HYPERLINK("http://mlb.mlb.com/team/player.jsp?player_id=664192",664192)</f>
        <v>664192</v>
      </c>
      <c r="AV165">
        <v>1210</v>
      </c>
      <c r="AW165">
        <v>210</v>
      </c>
      <c r="AX165">
        <v>0</v>
      </c>
    </row>
    <row r="166" spans="1:50" x14ac:dyDescent="0.3">
      <c r="A166" s="4">
        <f>HYPERLINK("http://legacy.baseballprospectus.com/p/1117",1117)</f>
        <v>1117</v>
      </c>
      <c r="B166" t="s">
        <v>933</v>
      </c>
      <c r="C166" t="s">
        <v>934</v>
      </c>
      <c r="D166" s="10">
        <v>29423</v>
      </c>
      <c r="E166" t="s">
        <v>9</v>
      </c>
      <c r="F166" t="s">
        <v>9</v>
      </c>
      <c r="G166">
        <v>78</v>
      </c>
      <c r="H166">
        <v>300</v>
      </c>
      <c r="I166">
        <v>2018</v>
      </c>
      <c r="J166" s="4" t="str">
        <f>HYPERLINK("http://legacy.baseballprospectus.com/fantasy/dc/index.php?tm=NYA","NYA")</f>
        <v>NYA</v>
      </c>
      <c r="K166" t="s">
        <v>95</v>
      </c>
      <c r="L166" t="s">
        <v>34</v>
      </c>
      <c r="M166">
        <v>37</v>
      </c>
      <c r="N166">
        <v>11.2</v>
      </c>
      <c r="O166">
        <v>8.5</v>
      </c>
      <c r="P166">
        <v>12</v>
      </c>
      <c r="Q166">
        <v>0</v>
      </c>
      <c r="R166">
        <v>0</v>
      </c>
      <c r="S166">
        <v>0</v>
      </c>
      <c r="T166">
        <v>28</v>
      </c>
      <c r="U166">
        <v>28</v>
      </c>
      <c r="V166" s="9">
        <v>159.66669999999999</v>
      </c>
      <c r="W166">
        <v>708</v>
      </c>
      <c r="X166">
        <v>171</v>
      </c>
      <c r="Y166">
        <v>26</v>
      </c>
      <c r="Z166">
        <v>64</v>
      </c>
      <c r="AA166">
        <v>3</v>
      </c>
      <c r="AB166">
        <v>7</v>
      </c>
      <c r="AC166">
        <v>126</v>
      </c>
      <c r="AD166">
        <v>3.6</v>
      </c>
      <c r="AE166">
        <v>7.1</v>
      </c>
      <c r="AF166" s="5">
        <v>0.48699999999999999</v>
      </c>
      <c r="AG166">
        <v>0.29799999999999999</v>
      </c>
      <c r="AH166">
        <v>1.48</v>
      </c>
      <c r="AI166">
        <v>4.8600000000000003</v>
      </c>
      <c r="AJ166">
        <v>5.16</v>
      </c>
      <c r="AK166">
        <v>6.1</v>
      </c>
      <c r="AL166">
        <v>0.7</v>
      </c>
      <c r="AM166">
        <v>7</v>
      </c>
      <c r="AN166">
        <v>31</v>
      </c>
      <c r="AO166">
        <v>23</v>
      </c>
      <c r="AP166">
        <v>11</v>
      </c>
      <c r="AQ166" t="s">
        <v>2363</v>
      </c>
      <c r="AR166">
        <v>76</v>
      </c>
      <c r="AS166" t="s">
        <v>35</v>
      </c>
      <c r="AT166" t="s">
        <v>36</v>
      </c>
      <c r="AU166" s="4">
        <f>HYPERLINK("http://mlb.mlb.com/team/player.jsp?player_id=282332",282332)</f>
        <v>282332</v>
      </c>
      <c r="AV166">
        <v>30</v>
      </c>
      <c r="AW166">
        <v>1030</v>
      </c>
      <c r="AX166">
        <v>148.69999999999999</v>
      </c>
    </row>
    <row r="167" spans="1:50" x14ac:dyDescent="0.3">
      <c r="A167" s="4">
        <f>HYPERLINK("http://legacy.baseballprospectus.com/p/31537",31537)</f>
        <v>31537</v>
      </c>
      <c r="B167" t="s">
        <v>1465</v>
      </c>
      <c r="C167" t="s">
        <v>102</v>
      </c>
      <c r="D167" s="10">
        <v>29461</v>
      </c>
      <c r="E167" t="s">
        <v>9</v>
      </c>
      <c r="F167" t="s">
        <v>33</v>
      </c>
      <c r="G167">
        <v>78</v>
      </c>
      <c r="H167">
        <v>225</v>
      </c>
      <c r="I167">
        <v>2018</v>
      </c>
      <c r="J167" s="4" t="str">
        <f>HYPERLINK("http://legacy.baseballprospectus.com/fantasy/dc/index.php?tm=WAS","WAS")</f>
        <v>WAS</v>
      </c>
      <c r="K167" t="s">
        <v>100</v>
      </c>
      <c r="L167" t="s">
        <v>34</v>
      </c>
      <c r="M167">
        <v>37</v>
      </c>
      <c r="N167">
        <v>3</v>
      </c>
      <c r="O167">
        <v>2.4</v>
      </c>
      <c r="P167">
        <v>0</v>
      </c>
      <c r="Q167">
        <v>0</v>
      </c>
      <c r="R167">
        <v>7</v>
      </c>
      <c r="S167">
        <v>4</v>
      </c>
      <c r="T167">
        <v>54</v>
      </c>
      <c r="U167">
        <v>0</v>
      </c>
      <c r="V167" s="9">
        <v>57.333300000000001</v>
      </c>
      <c r="W167">
        <v>243</v>
      </c>
      <c r="X167">
        <v>53</v>
      </c>
      <c r="Y167">
        <v>6</v>
      </c>
      <c r="Z167">
        <v>21</v>
      </c>
      <c r="AA167">
        <v>2</v>
      </c>
      <c r="AB167">
        <v>3</v>
      </c>
      <c r="AC167">
        <v>56</v>
      </c>
      <c r="AD167">
        <v>3.3</v>
      </c>
      <c r="AE167">
        <v>8.8000000000000007</v>
      </c>
      <c r="AF167" s="5">
        <v>0.505</v>
      </c>
      <c r="AG167">
        <v>0.29799999999999999</v>
      </c>
      <c r="AH167">
        <v>1.29</v>
      </c>
      <c r="AI167">
        <v>3.5</v>
      </c>
      <c r="AJ167">
        <v>3.87</v>
      </c>
      <c r="AK167">
        <v>6.7</v>
      </c>
      <c r="AL167">
        <v>0.7</v>
      </c>
      <c r="AM167">
        <v>19</v>
      </c>
      <c r="AN167">
        <v>31</v>
      </c>
      <c r="AO167">
        <v>33</v>
      </c>
      <c r="AP167">
        <v>17</v>
      </c>
      <c r="AQ167" t="s">
        <v>2446</v>
      </c>
      <c r="AR167">
        <v>84</v>
      </c>
      <c r="AS167" t="s">
        <v>35</v>
      </c>
      <c r="AT167" t="s">
        <v>36</v>
      </c>
      <c r="AU167" s="4">
        <f>HYPERLINK("http://mlb.mlb.com/team/player.jsp?player_id=425492",425492)</f>
        <v>425492</v>
      </c>
      <c r="AV167">
        <v>1268</v>
      </c>
      <c r="AW167">
        <v>268</v>
      </c>
      <c r="AX167">
        <v>59</v>
      </c>
    </row>
    <row r="168" spans="1:50" x14ac:dyDescent="0.3">
      <c r="A168" s="4">
        <f>HYPERLINK("http://legacy.baseballprospectus.com/p/31607",31607)</f>
        <v>31607</v>
      </c>
      <c r="B168" t="s">
        <v>620</v>
      </c>
      <c r="C168" t="s">
        <v>938</v>
      </c>
      <c r="D168" s="10">
        <v>30297</v>
      </c>
      <c r="E168" t="s">
        <v>33</v>
      </c>
      <c r="F168" t="s">
        <v>33</v>
      </c>
      <c r="G168">
        <v>74</v>
      </c>
      <c r="H168">
        <v>175</v>
      </c>
      <c r="I168">
        <v>2018</v>
      </c>
      <c r="J168" s="4" t="str">
        <f>HYPERLINK("http://legacy.baseballprospectus.com/fantasy/dc/index.php?tm=MIN","MIN")</f>
        <v>MIN</v>
      </c>
      <c r="K168" t="s">
        <v>95</v>
      </c>
      <c r="L168" t="s">
        <v>34</v>
      </c>
      <c r="M168">
        <v>35</v>
      </c>
      <c r="N168">
        <v>8</v>
      </c>
      <c r="O168">
        <v>7.7</v>
      </c>
      <c r="P168">
        <v>9</v>
      </c>
      <c r="Q168">
        <v>0</v>
      </c>
      <c r="R168">
        <v>0</v>
      </c>
      <c r="S168">
        <v>0</v>
      </c>
      <c r="T168">
        <v>21</v>
      </c>
      <c r="U168">
        <v>21</v>
      </c>
      <c r="V168" s="9">
        <v>132.33330000000001</v>
      </c>
      <c r="W168">
        <v>580</v>
      </c>
      <c r="X168">
        <v>138</v>
      </c>
      <c r="Y168">
        <v>21</v>
      </c>
      <c r="Z168">
        <v>50</v>
      </c>
      <c r="AA168">
        <v>3</v>
      </c>
      <c r="AB168">
        <v>6</v>
      </c>
      <c r="AC168">
        <v>97</v>
      </c>
      <c r="AD168">
        <v>3.4</v>
      </c>
      <c r="AE168">
        <v>6.6</v>
      </c>
      <c r="AF168" s="5">
        <v>0.43</v>
      </c>
      <c r="AG168">
        <v>0.28899999999999998</v>
      </c>
      <c r="AH168">
        <v>1.41</v>
      </c>
      <c r="AI168">
        <v>4.8</v>
      </c>
      <c r="AJ168">
        <v>5.09</v>
      </c>
      <c r="AK168">
        <v>6</v>
      </c>
      <c r="AL168">
        <v>0.7</v>
      </c>
      <c r="AM168">
        <v>13</v>
      </c>
      <c r="AN168">
        <v>37</v>
      </c>
      <c r="AO168">
        <v>31</v>
      </c>
      <c r="AP168">
        <v>8</v>
      </c>
      <c r="AQ168" t="s">
        <v>2339</v>
      </c>
      <c r="AR168">
        <v>87</v>
      </c>
      <c r="AS168" t="s">
        <v>35</v>
      </c>
      <c r="AT168" t="s">
        <v>36</v>
      </c>
      <c r="AU168" s="4">
        <f>HYPERLINK("http://mlb.mlb.com/team/player.jsp?player_id=429722",429722)</f>
        <v>429722</v>
      </c>
      <c r="AV168">
        <v>2</v>
      </c>
      <c r="AW168">
        <v>1002</v>
      </c>
      <c r="AX168">
        <v>211.3</v>
      </c>
    </row>
    <row r="169" spans="1:50" x14ac:dyDescent="0.3">
      <c r="A169" s="4">
        <f>HYPERLINK("http://legacy.baseballprospectus.com/p/51129",51129)</f>
        <v>51129</v>
      </c>
      <c r="B169" t="s">
        <v>637</v>
      </c>
      <c r="C169" t="s">
        <v>169</v>
      </c>
      <c r="D169" s="10">
        <v>30763</v>
      </c>
      <c r="E169" t="s">
        <v>33</v>
      </c>
      <c r="F169" t="s">
        <v>33</v>
      </c>
      <c r="G169">
        <v>74</v>
      </c>
      <c r="H169">
        <v>205</v>
      </c>
      <c r="I169">
        <v>2018</v>
      </c>
      <c r="J169" s="4" t="str">
        <f>HYPERLINK("http://legacy.baseballprospectus.com/fantasy/dc/index.php?tm=HOU","HOU")</f>
        <v>HOU</v>
      </c>
      <c r="K169" t="s">
        <v>95</v>
      </c>
      <c r="L169" t="s">
        <v>34</v>
      </c>
      <c r="M169">
        <v>34</v>
      </c>
      <c r="N169">
        <v>2.5</v>
      </c>
      <c r="O169">
        <v>2.1</v>
      </c>
      <c r="P169">
        <v>0</v>
      </c>
      <c r="Q169">
        <v>0</v>
      </c>
      <c r="R169">
        <v>0</v>
      </c>
      <c r="S169">
        <v>1</v>
      </c>
      <c r="T169">
        <v>46</v>
      </c>
      <c r="U169">
        <v>0</v>
      </c>
      <c r="V169" s="9">
        <v>48.333300000000001</v>
      </c>
      <c r="W169">
        <v>202</v>
      </c>
      <c r="X169">
        <v>42</v>
      </c>
      <c r="Y169">
        <v>5</v>
      </c>
      <c r="Z169">
        <v>18</v>
      </c>
      <c r="AA169">
        <v>2</v>
      </c>
      <c r="AB169">
        <v>3</v>
      </c>
      <c r="AC169">
        <v>50</v>
      </c>
      <c r="AD169">
        <v>3.4</v>
      </c>
      <c r="AE169">
        <v>9.4</v>
      </c>
      <c r="AF169" s="5">
        <v>0.49</v>
      </c>
      <c r="AG169">
        <v>0.29199999999999998</v>
      </c>
      <c r="AH169">
        <v>1.24</v>
      </c>
      <c r="AI169">
        <v>3.53</v>
      </c>
      <c r="AJ169">
        <v>3.95</v>
      </c>
      <c r="AK169">
        <v>6.5</v>
      </c>
      <c r="AL169">
        <v>0.7</v>
      </c>
      <c r="AM169">
        <v>11</v>
      </c>
      <c r="AN169">
        <v>28</v>
      </c>
      <c r="AO169">
        <v>41</v>
      </c>
      <c r="AP169">
        <v>5</v>
      </c>
      <c r="AQ169" t="s">
        <v>2491</v>
      </c>
      <c r="AR169">
        <v>87</v>
      </c>
      <c r="AS169" t="s">
        <v>35</v>
      </c>
      <c r="AT169" t="s">
        <v>36</v>
      </c>
      <c r="AU169" s="4">
        <f>HYPERLINK("http://mlb.mlb.com/team/player.jsp?player_id=501925",501925)</f>
        <v>501925</v>
      </c>
      <c r="AV169">
        <v>278</v>
      </c>
      <c r="AW169">
        <v>1278</v>
      </c>
      <c r="AX169">
        <v>54</v>
      </c>
    </row>
    <row r="170" spans="1:50" x14ac:dyDescent="0.3">
      <c r="A170" s="4">
        <f>HYPERLINK("http://legacy.baseballprospectus.com/p/51962",51962)</f>
        <v>51962</v>
      </c>
      <c r="B170" t="s">
        <v>553</v>
      </c>
      <c r="C170" t="s">
        <v>176</v>
      </c>
      <c r="D170" s="10">
        <v>31217</v>
      </c>
      <c r="E170" t="s">
        <v>33</v>
      </c>
      <c r="F170" t="s">
        <v>33</v>
      </c>
      <c r="G170">
        <v>75</v>
      </c>
      <c r="H170">
        <v>225</v>
      </c>
      <c r="I170">
        <v>2018</v>
      </c>
      <c r="J170" s="4" t="str">
        <f>HYPERLINK("http://legacy.baseballprospectus.com/fantasy/dc/index.php?tm=ANA","ANA")</f>
        <v>ANA</v>
      </c>
      <c r="K170" t="s">
        <v>95</v>
      </c>
      <c r="L170" t="s">
        <v>34</v>
      </c>
      <c r="M170">
        <v>33</v>
      </c>
      <c r="N170">
        <v>2.7</v>
      </c>
      <c r="O170">
        <v>2.7</v>
      </c>
      <c r="P170">
        <v>0</v>
      </c>
      <c r="Q170">
        <v>0</v>
      </c>
      <c r="R170">
        <v>25</v>
      </c>
      <c r="S170">
        <v>4</v>
      </c>
      <c r="T170">
        <v>54</v>
      </c>
      <c r="U170">
        <v>0</v>
      </c>
      <c r="V170" s="9">
        <v>57.666699999999999</v>
      </c>
      <c r="W170">
        <v>247</v>
      </c>
      <c r="X170">
        <v>51</v>
      </c>
      <c r="Y170">
        <v>7</v>
      </c>
      <c r="Z170">
        <v>24</v>
      </c>
      <c r="AA170">
        <v>1</v>
      </c>
      <c r="AB170">
        <v>3</v>
      </c>
      <c r="AC170">
        <v>59</v>
      </c>
      <c r="AD170">
        <v>3.7</v>
      </c>
      <c r="AE170">
        <v>9.1999999999999993</v>
      </c>
      <c r="AF170" s="5">
        <v>0.435</v>
      </c>
      <c r="AG170">
        <v>0.28699999999999998</v>
      </c>
      <c r="AH170">
        <v>1.29</v>
      </c>
      <c r="AI170">
        <v>3.8</v>
      </c>
      <c r="AJ170">
        <v>4.13</v>
      </c>
      <c r="AK170">
        <v>6.6</v>
      </c>
      <c r="AL170">
        <v>0.7</v>
      </c>
      <c r="AM170">
        <v>17</v>
      </c>
      <c r="AN170">
        <v>40</v>
      </c>
      <c r="AO170">
        <v>34</v>
      </c>
      <c r="AP170">
        <v>13</v>
      </c>
      <c r="AQ170" t="s">
        <v>2492</v>
      </c>
      <c r="AR170">
        <v>89</v>
      </c>
      <c r="AS170" t="s">
        <v>35</v>
      </c>
      <c r="AT170" t="s">
        <v>36</v>
      </c>
      <c r="AU170" s="4">
        <f>HYPERLINK("http://mlb.mlb.com/team/player.jsp?player_id=453284",453284)</f>
        <v>453284</v>
      </c>
      <c r="AV170">
        <v>240</v>
      </c>
      <c r="AW170">
        <v>1240</v>
      </c>
      <c r="AX170">
        <v>67.3</v>
      </c>
    </row>
    <row r="171" spans="1:50" x14ac:dyDescent="0.3">
      <c r="A171" s="4">
        <f>HYPERLINK("http://legacy.baseballprospectus.com/p/52251",52251)</f>
        <v>52251</v>
      </c>
      <c r="B171" t="s">
        <v>926</v>
      </c>
      <c r="C171" t="s">
        <v>379</v>
      </c>
      <c r="D171" s="10">
        <v>32199</v>
      </c>
      <c r="E171" t="s">
        <v>33</v>
      </c>
      <c r="F171" t="s">
        <v>33</v>
      </c>
      <c r="G171">
        <v>75</v>
      </c>
      <c r="H171">
        <v>230</v>
      </c>
      <c r="I171">
        <v>2018</v>
      </c>
      <c r="J171" s="4" t="str">
        <f>HYPERLINK("http://legacy.baseballprospectus.com/fantasy/dc/index.php?tm=HOU","HOU")</f>
        <v>HOU</v>
      </c>
      <c r="K171" t="s">
        <v>95</v>
      </c>
      <c r="L171" t="s">
        <v>34</v>
      </c>
      <c r="M171">
        <v>30</v>
      </c>
      <c r="N171">
        <v>2.2000000000000002</v>
      </c>
      <c r="O171">
        <v>1.9</v>
      </c>
      <c r="P171">
        <v>0</v>
      </c>
      <c r="Q171">
        <v>0</v>
      </c>
      <c r="R171">
        <v>0</v>
      </c>
      <c r="S171">
        <v>1</v>
      </c>
      <c r="T171">
        <v>41</v>
      </c>
      <c r="U171">
        <v>0</v>
      </c>
      <c r="V171" s="9">
        <v>43.333300000000001</v>
      </c>
      <c r="W171">
        <v>181</v>
      </c>
      <c r="X171">
        <v>37</v>
      </c>
      <c r="Y171">
        <v>5</v>
      </c>
      <c r="Z171">
        <v>15</v>
      </c>
      <c r="AA171">
        <v>1</v>
      </c>
      <c r="AB171">
        <v>2</v>
      </c>
      <c r="AC171">
        <v>48</v>
      </c>
      <c r="AD171">
        <v>3.2</v>
      </c>
      <c r="AE171">
        <v>9.9</v>
      </c>
      <c r="AF171" s="5">
        <v>0.47699999999999998</v>
      </c>
      <c r="AG171">
        <v>0.28999999999999998</v>
      </c>
      <c r="AH171">
        <v>1.21</v>
      </c>
      <c r="AI171">
        <v>3.4</v>
      </c>
      <c r="AJ171">
        <v>3.84</v>
      </c>
      <c r="AK171">
        <v>6.3</v>
      </c>
      <c r="AL171">
        <v>0.7</v>
      </c>
      <c r="AM171">
        <v>31</v>
      </c>
      <c r="AN171">
        <v>45</v>
      </c>
      <c r="AO171">
        <v>25</v>
      </c>
      <c r="AP171">
        <v>9</v>
      </c>
      <c r="AQ171" t="s">
        <v>2546</v>
      </c>
      <c r="AR171">
        <v>92</v>
      </c>
      <c r="AS171" t="s">
        <v>35</v>
      </c>
      <c r="AT171" t="s">
        <v>36</v>
      </c>
      <c r="AU171" s="4">
        <f>HYPERLINK("http://mlb.mlb.com/team/player.jsp?player_id=444468",444468)</f>
        <v>444468</v>
      </c>
      <c r="AV171">
        <v>269</v>
      </c>
      <c r="AW171">
        <v>1269</v>
      </c>
      <c r="AX171">
        <v>57.3</v>
      </c>
    </row>
    <row r="172" spans="1:50" x14ac:dyDescent="0.3">
      <c r="A172" s="4">
        <f>HYPERLINK("http://legacy.baseballprospectus.com/p/55842",55842)</f>
        <v>55842</v>
      </c>
      <c r="B172" t="s">
        <v>1037</v>
      </c>
      <c r="C172" t="s">
        <v>344</v>
      </c>
      <c r="D172" s="10">
        <v>31798</v>
      </c>
      <c r="E172" t="s">
        <v>9</v>
      </c>
      <c r="F172" t="s">
        <v>9</v>
      </c>
      <c r="G172">
        <v>76</v>
      </c>
      <c r="H172">
        <v>200</v>
      </c>
      <c r="I172">
        <v>2018</v>
      </c>
      <c r="J172" s="4" t="str">
        <f>HYPERLINK("http://legacy.baseballprospectus.com/fantasy/dc/index.php?tm=TEX","TEX")</f>
        <v>TEX</v>
      </c>
      <c r="K172" t="s">
        <v>95</v>
      </c>
      <c r="L172" t="s">
        <v>34</v>
      </c>
      <c r="M172">
        <v>31</v>
      </c>
      <c r="N172">
        <v>2.2000000000000002</v>
      </c>
      <c r="O172">
        <v>2.6</v>
      </c>
      <c r="P172">
        <v>0</v>
      </c>
      <c r="Q172">
        <v>0</v>
      </c>
      <c r="R172">
        <v>1</v>
      </c>
      <c r="S172">
        <v>4</v>
      </c>
      <c r="T172">
        <v>50</v>
      </c>
      <c r="U172">
        <v>0</v>
      </c>
      <c r="V172" s="9">
        <v>52.333300000000001</v>
      </c>
      <c r="W172">
        <v>232</v>
      </c>
      <c r="X172">
        <v>49</v>
      </c>
      <c r="Y172">
        <v>5</v>
      </c>
      <c r="Z172">
        <v>27</v>
      </c>
      <c r="AA172">
        <v>2</v>
      </c>
      <c r="AB172">
        <v>2</v>
      </c>
      <c r="AC172">
        <v>53</v>
      </c>
      <c r="AD172">
        <v>4.7</v>
      </c>
      <c r="AE172">
        <v>9.1</v>
      </c>
      <c r="AF172" s="5">
        <v>0.49099999999999999</v>
      </c>
      <c r="AG172">
        <v>0.30299999999999999</v>
      </c>
      <c r="AH172">
        <v>1.46</v>
      </c>
      <c r="AI172">
        <v>4.05</v>
      </c>
      <c r="AJ172">
        <v>4.08</v>
      </c>
      <c r="AK172">
        <v>6.4</v>
      </c>
      <c r="AL172">
        <v>0.7</v>
      </c>
      <c r="AM172">
        <v>28</v>
      </c>
      <c r="AN172">
        <v>42</v>
      </c>
      <c r="AO172">
        <v>32</v>
      </c>
      <c r="AP172">
        <v>17</v>
      </c>
      <c r="AQ172" t="s">
        <v>2548</v>
      </c>
      <c r="AR172">
        <v>94</v>
      </c>
      <c r="AS172" t="s">
        <v>35</v>
      </c>
      <c r="AT172" t="s">
        <v>36</v>
      </c>
      <c r="AU172" s="4">
        <f>HYPERLINK("http://mlb.mlb.com/team/player.jsp?player_id=518617",518617)</f>
        <v>518617</v>
      </c>
      <c r="AV172">
        <v>331</v>
      </c>
      <c r="AW172">
        <v>1331</v>
      </c>
      <c r="AX172">
        <v>10.7</v>
      </c>
    </row>
    <row r="173" spans="1:50" x14ac:dyDescent="0.3">
      <c r="A173" s="4">
        <f>HYPERLINK("http://legacy.baseballprospectus.com/p/56449",56449)</f>
        <v>56449</v>
      </c>
      <c r="B173" t="s">
        <v>421</v>
      </c>
      <c r="C173" t="s">
        <v>773</v>
      </c>
      <c r="D173" s="10">
        <v>32873</v>
      </c>
      <c r="E173" t="s">
        <v>33</v>
      </c>
      <c r="F173" t="s">
        <v>33</v>
      </c>
      <c r="G173">
        <v>70</v>
      </c>
      <c r="H173">
        <v>200</v>
      </c>
      <c r="I173">
        <v>2018</v>
      </c>
      <c r="J173" s="4" t="str">
        <f>HYPERLINK("http://legacy.baseballprospectus.com/fantasy/dc/index.php?tm=KCA","KCA")</f>
        <v>KCA</v>
      </c>
      <c r="K173" t="s">
        <v>95</v>
      </c>
      <c r="L173" t="s">
        <v>34</v>
      </c>
      <c r="M173">
        <v>28</v>
      </c>
      <c r="N173">
        <v>2.5</v>
      </c>
      <c r="O173">
        <v>2.8</v>
      </c>
      <c r="P173">
        <v>0</v>
      </c>
      <c r="Q173">
        <v>0</v>
      </c>
      <c r="R173">
        <v>25</v>
      </c>
      <c r="S173">
        <v>4</v>
      </c>
      <c r="T173">
        <v>54</v>
      </c>
      <c r="U173">
        <v>0</v>
      </c>
      <c r="V173" s="9">
        <v>57</v>
      </c>
      <c r="W173">
        <v>243</v>
      </c>
      <c r="X173">
        <v>53</v>
      </c>
      <c r="Y173">
        <v>6</v>
      </c>
      <c r="Z173">
        <v>21</v>
      </c>
      <c r="AA173">
        <v>1</v>
      </c>
      <c r="AB173">
        <v>2</v>
      </c>
      <c r="AC173">
        <v>52</v>
      </c>
      <c r="AD173">
        <v>3.3</v>
      </c>
      <c r="AE173">
        <v>8.3000000000000007</v>
      </c>
      <c r="AF173" s="5">
        <v>0.45500000000000002</v>
      </c>
      <c r="AG173">
        <v>0.28999999999999998</v>
      </c>
      <c r="AH173">
        <v>1.3</v>
      </c>
      <c r="AI173">
        <v>3.94</v>
      </c>
      <c r="AJ173">
        <v>4.16</v>
      </c>
      <c r="AK173">
        <v>6.4</v>
      </c>
      <c r="AL173">
        <v>0.7</v>
      </c>
      <c r="AM173">
        <v>27</v>
      </c>
      <c r="AN173">
        <v>48</v>
      </c>
      <c r="AO173">
        <v>27</v>
      </c>
      <c r="AP173">
        <v>10</v>
      </c>
      <c r="AQ173" t="s">
        <v>2452</v>
      </c>
      <c r="AR173">
        <v>90</v>
      </c>
      <c r="AS173" t="s">
        <v>35</v>
      </c>
      <c r="AT173" t="s">
        <v>36</v>
      </c>
      <c r="AU173" s="4">
        <f>HYPERLINK("http://mlb.mlb.com/team/player.jsp?player_id=516969",516969)</f>
        <v>516969</v>
      </c>
      <c r="AV173">
        <v>262</v>
      </c>
      <c r="AW173">
        <v>1262</v>
      </c>
      <c r="AX173">
        <v>59.3</v>
      </c>
    </row>
    <row r="174" spans="1:50" x14ac:dyDescent="0.3">
      <c r="A174" s="4">
        <f>HYPERLINK("http://legacy.baseballprospectus.com/p/58089",58089)</f>
        <v>58089</v>
      </c>
      <c r="B174" t="s">
        <v>729</v>
      </c>
      <c r="C174" t="s">
        <v>285</v>
      </c>
      <c r="D174" s="10">
        <v>31514</v>
      </c>
      <c r="E174" t="s">
        <v>33</v>
      </c>
      <c r="F174" t="s">
        <v>33</v>
      </c>
      <c r="G174">
        <v>78</v>
      </c>
      <c r="H174">
        <v>215</v>
      </c>
      <c r="I174">
        <v>2018</v>
      </c>
      <c r="J174" s="4" t="str">
        <f>HYPERLINK("http://legacy.baseballprospectus.com/fantasy/dc/index.php?tm=BAL","BAL")</f>
        <v>BAL</v>
      </c>
      <c r="K174" t="s">
        <v>95</v>
      </c>
      <c r="L174" t="s">
        <v>34</v>
      </c>
      <c r="M174">
        <v>32</v>
      </c>
      <c r="N174">
        <v>2.6</v>
      </c>
      <c r="O174">
        <v>3</v>
      </c>
      <c r="P174">
        <v>0</v>
      </c>
      <c r="Q174">
        <v>0</v>
      </c>
      <c r="R174">
        <v>2</v>
      </c>
      <c r="S174">
        <v>4</v>
      </c>
      <c r="T174">
        <v>57</v>
      </c>
      <c r="U174">
        <v>0</v>
      </c>
      <c r="V174" s="9">
        <v>60</v>
      </c>
      <c r="W174">
        <v>258</v>
      </c>
      <c r="X174">
        <v>55</v>
      </c>
      <c r="Y174">
        <v>8</v>
      </c>
      <c r="Z174">
        <v>26</v>
      </c>
      <c r="AA174">
        <v>2</v>
      </c>
      <c r="AB174">
        <v>2</v>
      </c>
      <c r="AC174">
        <v>61</v>
      </c>
      <c r="AD174">
        <v>3.9</v>
      </c>
      <c r="AE174">
        <v>9.1999999999999993</v>
      </c>
      <c r="AF174" s="5">
        <v>0.438</v>
      </c>
      <c r="AG174">
        <v>0.29299999999999998</v>
      </c>
      <c r="AH174">
        <v>1.35</v>
      </c>
      <c r="AI174">
        <v>4.1100000000000003</v>
      </c>
      <c r="AJ174">
        <v>4.26</v>
      </c>
      <c r="AK174">
        <v>6.1</v>
      </c>
      <c r="AL174">
        <v>0.7</v>
      </c>
      <c r="AM174">
        <v>24</v>
      </c>
      <c r="AN174">
        <v>43</v>
      </c>
      <c r="AO174">
        <v>20</v>
      </c>
      <c r="AP174">
        <v>7</v>
      </c>
      <c r="AQ174" t="s">
        <v>2454</v>
      </c>
      <c r="AR174">
        <v>89</v>
      </c>
      <c r="AS174" t="s">
        <v>35</v>
      </c>
      <c r="AT174" t="s">
        <v>36</v>
      </c>
      <c r="AU174" s="4">
        <f>HYPERLINK("http://mlb.mlb.com/team/player.jsp?player_id=542960",542960)</f>
        <v>542960</v>
      </c>
      <c r="AV174">
        <v>237</v>
      </c>
      <c r="AW174">
        <v>1237</v>
      </c>
      <c r="AX174">
        <v>68</v>
      </c>
    </row>
    <row r="175" spans="1:50" x14ac:dyDescent="0.3">
      <c r="A175" s="4">
        <f>HYPERLINK("http://legacy.baseballprospectus.com/p/58268",58268)</f>
        <v>58268</v>
      </c>
      <c r="B175" t="s">
        <v>573</v>
      </c>
      <c r="C175" t="s">
        <v>103</v>
      </c>
      <c r="D175" s="10">
        <v>31694</v>
      </c>
      <c r="E175" t="s">
        <v>33</v>
      </c>
      <c r="F175" t="s">
        <v>33</v>
      </c>
      <c r="G175">
        <v>74</v>
      </c>
      <c r="H175">
        <v>200</v>
      </c>
      <c r="I175">
        <v>2018</v>
      </c>
      <c r="J175" s="4" t="str">
        <f>HYPERLINK("http://legacy.baseballprospectus.com/fantasy/dc/index.php?tm=SEA","SEA")</f>
        <v>SEA</v>
      </c>
      <c r="K175" t="s">
        <v>95</v>
      </c>
      <c r="L175" t="s">
        <v>34</v>
      </c>
      <c r="M175">
        <v>31</v>
      </c>
      <c r="N175">
        <v>2.2999999999999998</v>
      </c>
      <c r="O175">
        <v>2.2000000000000002</v>
      </c>
      <c r="P175">
        <v>0</v>
      </c>
      <c r="Q175">
        <v>0</v>
      </c>
      <c r="R175">
        <v>0</v>
      </c>
      <c r="S175">
        <v>3</v>
      </c>
      <c r="T175">
        <v>45</v>
      </c>
      <c r="U175">
        <v>0</v>
      </c>
      <c r="V175" s="9">
        <v>47.666699999999999</v>
      </c>
      <c r="W175">
        <v>202</v>
      </c>
      <c r="X175">
        <v>41</v>
      </c>
      <c r="Y175">
        <v>4</v>
      </c>
      <c r="Z175">
        <v>21</v>
      </c>
      <c r="AA175">
        <v>2</v>
      </c>
      <c r="AB175">
        <v>2</v>
      </c>
      <c r="AC175">
        <v>49</v>
      </c>
      <c r="AD175">
        <v>3.9</v>
      </c>
      <c r="AE175">
        <v>9.1999999999999993</v>
      </c>
      <c r="AF175" s="5">
        <v>0.45500000000000002</v>
      </c>
      <c r="AG175">
        <v>0.29199999999999998</v>
      </c>
      <c r="AH175">
        <v>1.3</v>
      </c>
      <c r="AI175">
        <v>3.45</v>
      </c>
      <c r="AJ175">
        <v>3.87</v>
      </c>
      <c r="AK175">
        <v>6.8</v>
      </c>
      <c r="AL175">
        <v>0.7</v>
      </c>
      <c r="AM175">
        <v>14</v>
      </c>
      <c r="AN175">
        <v>41</v>
      </c>
      <c r="AO175">
        <v>25</v>
      </c>
      <c r="AP175">
        <v>6</v>
      </c>
      <c r="AQ175" t="s">
        <v>2397</v>
      </c>
      <c r="AR175">
        <v>90</v>
      </c>
      <c r="AS175" t="s">
        <v>35</v>
      </c>
      <c r="AT175" t="s">
        <v>36</v>
      </c>
      <c r="AU175" s="4">
        <f>HYPERLINK("http://mlb.mlb.com/team/player.jsp?player_id=475479",475479)</f>
        <v>475479</v>
      </c>
      <c r="AV175">
        <v>273</v>
      </c>
      <c r="AW175">
        <v>1273</v>
      </c>
      <c r="AX175">
        <v>55.7</v>
      </c>
    </row>
    <row r="176" spans="1:50" x14ac:dyDescent="0.3">
      <c r="A176" s="4">
        <f>HYPERLINK("http://legacy.baseballprospectus.com/p/58281",58281)</f>
        <v>58281</v>
      </c>
      <c r="B176" t="s">
        <v>637</v>
      </c>
      <c r="C176" t="s">
        <v>515</v>
      </c>
      <c r="D176" s="10">
        <v>32699</v>
      </c>
      <c r="E176" t="s">
        <v>33</v>
      </c>
      <c r="F176" t="s">
        <v>9</v>
      </c>
      <c r="G176">
        <v>77</v>
      </c>
      <c r="H176">
        <v>265</v>
      </c>
      <c r="I176">
        <v>2018</v>
      </c>
      <c r="J176" s="4" t="str">
        <f>HYPERLINK("http://legacy.baseballprospectus.com/fantasy/dc/index.php?tm=SFN","SFN")</f>
        <v>SFN</v>
      </c>
      <c r="K176" t="s">
        <v>100</v>
      </c>
      <c r="L176" t="s">
        <v>34</v>
      </c>
      <c r="M176">
        <v>28</v>
      </c>
      <c r="N176">
        <v>1.9</v>
      </c>
      <c r="O176">
        <v>1.5</v>
      </c>
      <c r="P176">
        <v>0</v>
      </c>
      <c r="Q176">
        <v>0</v>
      </c>
      <c r="R176">
        <v>0</v>
      </c>
      <c r="S176">
        <v>1</v>
      </c>
      <c r="T176">
        <v>34</v>
      </c>
      <c r="U176">
        <v>0</v>
      </c>
      <c r="V176" s="9">
        <v>36.666699999999999</v>
      </c>
      <c r="W176">
        <v>152</v>
      </c>
      <c r="X176">
        <v>29</v>
      </c>
      <c r="Y176">
        <v>3</v>
      </c>
      <c r="Z176">
        <v>15</v>
      </c>
      <c r="AA176">
        <v>1</v>
      </c>
      <c r="AB176">
        <v>1</v>
      </c>
      <c r="AC176">
        <v>47</v>
      </c>
      <c r="AD176">
        <v>3.7</v>
      </c>
      <c r="AE176">
        <v>11.6</v>
      </c>
      <c r="AF176" s="5">
        <v>0.44500000000000001</v>
      </c>
      <c r="AG176">
        <v>0.30299999999999999</v>
      </c>
      <c r="AH176">
        <v>1.21</v>
      </c>
      <c r="AI176">
        <v>2.57</v>
      </c>
      <c r="AJ176">
        <v>3.35</v>
      </c>
      <c r="AK176">
        <v>6.2</v>
      </c>
      <c r="AL176">
        <v>0.7</v>
      </c>
      <c r="AM176">
        <v>30</v>
      </c>
      <c r="AN176">
        <v>49</v>
      </c>
      <c r="AO176">
        <v>32</v>
      </c>
      <c r="AP176">
        <v>19</v>
      </c>
      <c r="AQ176" t="s">
        <v>2455</v>
      </c>
      <c r="AR176">
        <v>92</v>
      </c>
      <c r="AS176" t="s">
        <v>35</v>
      </c>
      <c r="AT176" t="s">
        <v>36</v>
      </c>
      <c r="AU176" s="4">
        <f>HYPERLINK("http://mlb.mlb.com/team/player.jsp?player_id=519293",519293)</f>
        <v>519293</v>
      </c>
      <c r="AV176">
        <v>1357</v>
      </c>
      <c r="AW176">
        <v>357</v>
      </c>
      <c r="AX176">
        <v>0</v>
      </c>
    </row>
    <row r="177" spans="1:50" x14ac:dyDescent="0.3">
      <c r="A177" s="4">
        <f>HYPERLINK("http://legacy.baseballprospectus.com/p/58667",58667)</f>
        <v>58667</v>
      </c>
      <c r="B177" t="s">
        <v>629</v>
      </c>
      <c r="C177" t="s">
        <v>104</v>
      </c>
      <c r="D177" s="10">
        <v>31682</v>
      </c>
      <c r="E177" t="s">
        <v>33</v>
      </c>
      <c r="F177" t="s">
        <v>33</v>
      </c>
      <c r="G177">
        <v>74</v>
      </c>
      <c r="H177">
        <v>225</v>
      </c>
      <c r="I177">
        <v>2018</v>
      </c>
      <c r="J177" s="4" t="str">
        <f>HYPERLINK("http://legacy.baseballprospectus.com/fantasy/dc/index.php?tm=ANA","ANA")</f>
        <v>ANA</v>
      </c>
      <c r="K177" t="s">
        <v>95</v>
      </c>
      <c r="L177" t="s">
        <v>34</v>
      </c>
      <c r="M177">
        <v>31</v>
      </c>
      <c r="N177">
        <v>9.6</v>
      </c>
      <c r="O177">
        <v>9.9</v>
      </c>
      <c r="P177">
        <v>11</v>
      </c>
      <c r="Q177">
        <v>0</v>
      </c>
      <c r="R177">
        <v>0</v>
      </c>
      <c r="S177">
        <v>0</v>
      </c>
      <c r="T177">
        <v>27</v>
      </c>
      <c r="U177">
        <v>27</v>
      </c>
      <c r="V177" s="9">
        <v>162</v>
      </c>
      <c r="W177">
        <v>704</v>
      </c>
      <c r="X177">
        <v>168</v>
      </c>
      <c r="Y177">
        <v>28</v>
      </c>
      <c r="Z177">
        <v>55</v>
      </c>
      <c r="AA177">
        <v>2</v>
      </c>
      <c r="AB177">
        <v>8</v>
      </c>
      <c r="AC177">
        <v>138</v>
      </c>
      <c r="AD177">
        <v>3</v>
      </c>
      <c r="AE177">
        <v>7.6</v>
      </c>
      <c r="AF177" s="5">
        <v>0.42</v>
      </c>
      <c r="AG177">
        <v>0.29299999999999998</v>
      </c>
      <c r="AH177">
        <v>1.37</v>
      </c>
      <c r="AI177">
        <v>4.75</v>
      </c>
      <c r="AJ177">
        <v>5.13</v>
      </c>
      <c r="AK177">
        <v>6.6</v>
      </c>
      <c r="AL177">
        <v>0.7</v>
      </c>
      <c r="AM177">
        <v>22</v>
      </c>
      <c r="AN177">
        <v>52</v>
      </c>
      <c r="AO177">
        <v>18</v>
      </c>
      <c r="AP177">
        <v>16</v>
      </c>
      <c r="AQ177" t="s">
        <v>2344</v>
      </c>
      <c r="AR177">
        <v>89</v>
      </c>
      <c r="AS177" t="s">
        <v>35</v>
      </c>
      <c r="AT177" t="s">
        <v>36</v>
      </c>
      <c r="AU177" s="4">
        <f>HYPERLINK("http://mlb.mlb.com/team/player.jsp?player_id=533167",533167)</f>
        <v>533167</v>
      </c>
      <c r="AV177">
        <v>66</v>
      </c>
      <c r="AW177">
        <v>1066</v>
      </c>
      <c r="AX177">
        <v>77.7</v>
      </c>
    </row>
    <row r="178" spans="1:50" x14ac:dyDescent="0.3">
      <c r="A178" s="4">
        <f>HYPERLINK("http://legacy.baseballprospectus.com/p/58775",58775)</f>
        <v>58775</v>
      </c>
      <c r="B178" t="s">
        <v>971</v>
      </c>
      <c r="C178" t="s">
        <v>972</v>
      </c>
      <c r="D178" s="10">
        <v>33190</v>
      </c>
      <c r="E178" t="s">
        <v>33</v>
      </c>
      <c r="F178" t="s">
        <v>33</v>
      </c>
      <c r="G178">
        <v>72</v>
      </c>
      <c r="H178">
        <v>230</v>
      </c>
      <c r="I178">
        <v>2018</v>
      </c>
      <c r="J178" s="4" t="str">
        <f>HYPERLINK("http://legacy.baseballprospectus.com/fantasy/dc/index.php?tm=ATL","ATL")</f>
        <v>ATL</v>
      </c>
      <c r="K178" t="s">
        <v>100</v>
      </c>
      <c r="L178" t="s">
        <v>34</v>
      </c>
      <c r="M178">
        <v>27</v>
      </c>
      <c r="N178">
        <v>3</v>
      </c>
      <c r="O178">
        <v>2.7</v>
      </c>
      <c r="P178">
        <v>0</v>
      </c>
      <c r="Q178">
        <v>0</v>
      </c>
      <c r="R178">
        <v>25</v>
      </c>
      <c r="S178">
        <v>4</v>
      </c>
      <c r="T178">
        <v>57</v>
      </c>
      <c r="U178">
        <v>0</v>
      </c>
      <c r="V178" s="9">
        <v>60.333300000000001</v>
      </c>
      <c r="W178">
        <v>261</v>
      </c>
      <c r="X178">
        <v>55</v>
      </c>
      <c r="Y178">
        <v>7</v>
      </c>
      <c r="Z178">
        <v>27</v>
      </c>
      <c r="AA178">
        <v>2</v>
      </c>
      <c r="AB178">
        <v>2</v>
      </c>
      <c r="AC178">
        <v>68</v>
      </c>
      <c r="AD178">
        <v>4</v>
      </c>
      <c r="AE178">
        <v>10.1</v>
      </c>
      <c r="AF178" s="5">
        <v>0.441</v>
      </c>
      <c r="AG178">
        <v>0.30099999999999999</v>
      </c>
      <c r="AH178">
        <v>1.35</v>
      </c>
      <c r="AI178">
        <v>3.55</v>
      </c>
      <c r="AJ178">
        <v>4.04</v>
      </c>
      <c r="AK178">
        <v>6</v>
      </c>
      <c r="AL178">
        <v>0.7</v>
      </c>
      <c r="AM178">
        <v>34</v>
      </c>
      <c r="AN178">
        <v>49</v>
      </c>
      <c r="AO178">
        <v>25</v>
      </c>
      <c r="AP178">
        <v>18</v>
      </c>
      <c r="AQ178" t="s">
        <v>2625</v>
      </c>
      <c r="AR178">
        <v>92</v>
      </c>
      <c r="AS178" t="s">
        <v>35</v>
      </c>
      <c r="AT178" t="s">
        <v>36</v>
      </c>
      <c r="AU178" s="4">
        <f>HYPERLINK("http://mlb.mlb.com/team/player.jsp?player_id=527055",527055)</f>
        <v>527055</v>
      </c>
      <c r="AV178">
        <v>1278</v>
      </c>
      <c r="AW178">
        <v>278</v>
      </c>
      <c r="AX178">
        <v>57.3</v>
      </c>
    </row>
    <row r="179" spans="1:50" x14ac:dyDescent="0.3">
      <c r="A179" s="4">
        <f>HYPERLINK("http://legacy.baseballprospectus.com/p/59351",59351)</f>
        <v>59351</v>
      </c>
      <c r="B179" t="s">
        <v>447</v>
      </c>
      <c r="C179" t="s">
        <v>169</v>
      </c>
      <c r="D179" s="10">
        <v>32303</v>
      </c>
      <c r="E179" t="s">
        <v>33</v>
      </c>
      <c r="F179" t="s">
        <v>33</v>
      </c>
      <c r="G179">
        <v>73</v>
      </c>
      <c r="H179">
        <v>190</v>
      </c>
      <c r="I179">
        <v>2018</v>
      </c>
      <c r="J179" s="4" t="str">
        <f>HYPERLINK("http://legacy.baseballprospectus.com/fantasy/dc/index.php?tm=BOS","BOS")</f>
        <v>BOS</v>
      </c>
      <c r="K179" t="s">
        <v>95</v>
      </c>
      <c r="L179" t="s">
        <v>34</v>
      </c>
      <c r="M179">
        <v>30</v>
      </c>
      <c r="N179">
        <v>2.5</v>
      </c>
      <c r="O179">
        <v>2.4</v>
      </c>
      <c r="P179">
        <v>0</v>
      </c>
      <c r="Q179">
        <v>0</v>
      </c>
      <c r="R179">
        <v>2</v>
      </c>
      <c r="S179">
        <v>3</v>
      </c>
      <c r="T179">
        <v>48</v>
      </c>
      <c r="U179">
        <v>0</v>
      </c>
      <c r="V179" s="9">
        <v>51</v>
      </c>
      <c r="W179">
        <v>218</v>
      </c>
      <c r="X179">
        <v>46</v>
      </c>
      <c r="Y179">
        <v>4</v>
      </c>
      <c r="Z179">
        <v>22</v>
      </c>
      <c r="AA179">
        <v>2</v>
      </c>
      <c r="AB179">
        <v>2</v>
      </c>
      <c r="AC179">
        <v>50</v>
      </c>
      <c r="AD179">
        <v>3.8</v>
      </c>
      <c r="AE179">
        <v>8.8000000000000007</v>
      </c>
      <c r="AF179" s="5">
        <v>0.48</v>
      </c>
      <c r="AG179">
        <v>0.29499999999999998</v>
      </c>
      <c r="AH179">
        <v>1.32</v>
      </c>
      <c r="AI179">
        <v>3.35</v>
      </c>
      <c r="AJ179">
        <v>3.97</v>
      </c>
      <c r="AK179">
        <v>6.8</v>
      </c>
      <c r="AL179">
        <v>0.7</v>
      </c>
      <c r="AM179">
        <v>12</v>
      </c>
      <c r="AN179">
        <v>46</v>
      </c>
      <c r="AO179">
        <v>33</v>
      </c>
      <c r="AP179">
        <v>14</v>
      </c>
      <c r="AQ179" t="s">
        <v>2418</v>
      </c>
      <c r="AR179">
        <v>92</v>
      </c>
      <c r="AS179" t="s">
        <v>35</v>
      </c>
      <c r="AT179" t="s">
        <v>36</v>
      </c>
      <c r="AU179" s="4">
        <f>HYPERLINK("http://mlb.mlb.com/team/player.jsp?player_id=523260",523260)</f>
        <v>523260</v>
      </c>
      <c r="AV179">
        <v>266</v>
      </c>
      <c r="AW179">
        <v>1266</v>
      </c>
      <c r="AX179">
        <v>58</v>
      </c>
    </row>
    <row r="180" spans="1:50" x14ac:dyDescent="0.3">
      <c r="A180" s="4">
        <f>HYPERLINK("http://legacy.baseballprospectus.com/p/60625",60625)</f>
        <v>60625</v>
      </c>
      <c r="B180" t="s">
        <v>2398</v>
      </c>
      <c r="C180" t="s">
        <v>2223</v>
      </c>
      <c r="D180" s="10">
        <v>32378</v>
      </c>
      <c r="E180" t="s">
        <v>33</v>
      </c>
      <c r="F180" t="s">
        <v>33</v>
      </c>
      <c r="G180">
        <v>77</v>
      </c>
      <c r="H180">
        <v>220</v>
      </c>
      <c r="I180">
        <v>2018</v>
      </c>
      <c r="J180" s="4" t="str">
        <f>HYPERLINK("http://legacy.baseballprospectus.com/fantasy/dc/index.php?tm=SLN","SLN")</f>
        <v>SLN</v>
      </c>
      <c r="K180" t="s">
        <v>100</v>
      </c>
      <c r="L180" t="s">
        <v>34</v>
      </c>
      <c r="M180">
        <v>29</v>
      </c>
      <c r="N180">
        <v>6.9</v>
      </c>
      <c r="O180">
        <v>7.1</v>
      </c>
      <c r="P180">
        <v>10</v>
      </c>
      <c r="Q180">
        <v>0</v>
      </c>
      <c r="R180">
        <v>0</v>
      </c>
      <c r="S180">
        <v>0</v>
      </c>
      <c r="T180">
        <v>21</v>
      </c>
      <c r="U180">
        <v>21</v>
      </c>
      <c r="V180" s="9">
        <v>111.33329999999999</v>
      </c>
      <c r="W180">
        <v>480</v>
      </c>
      <c r="X180">
        <v>116</v>
      </c>
      <c r="Y180">
        <v>16</v>
      </c>
      <c r="Z180">
        <v>34</v>
      </c>
      <c r="AA180">
        <v>1</v>
      </c>
      <c r="AB180">
        <v>5</v>
      </c>
      <c r="AC180">
        <v>87</v>
      </c>
      <c r="AD180">
        <v>2.8</v>
      </c>
      <c r="AE180">
        <v>7.1</v>
      </c>
      <c r="AF180" s="5">
        <v>0.46</v>
      </c>
      <c r="AG180">
        <v>0.29799999999999999</v>
      </c>
      <c r="AH180">
        <v>1.36</v>
      </c>
      <c r="AI180">
        <v>4.42</v>
      </c>
      <c r="AJ180">
        <v>4.6900000000000004</v>
      </c>
      <c r="AK180">
        <v>6.6</v>
      </c>
      <c r="AL180">
        <v>0.7</v>
      </c>
      <c r="AM180">
        <v>24</v>
      </c>
      <c r="AN180">
        <v>44</v>
      </c>
      <c r="AO180">
        <v>22</v>
      </c>
      <c r="AP180">
        <v>10</v>
      </c>
      <c r="AQ180" t="s">
        <v>2399</v>
      </c>
      <c r="AR180">
        <v>95</v>
      </c>
      <c r="AS180" t="s">
        <v>35</v>
      </c>
      <c r="AT180" t="s">
        <v>35</v>
      </c>
      <c r="AU180" s="4">
        <f>HYPERLINK("http://mlb.mlb.com/team/player.jsp?player_id=571945",571945)</f>
        <v>571945</v>
      </c>
      <c r="AV180">
        <v>1144</v>
      </c>
      <c r="AW180">
        <v>144</v>
      </c>
      <c r="AX180">
        <v>0</v>
      </c>
    </row>
    <row r="181" spans="1:50" x14ac:dyDescent="0.3">
      <c r="A181" s="4">
        <f>HYPERLINK("http://legacy.baseballprospectus.com/p/40375",40375)</f>
        <v>40375</v>
      </c>
      <c r="B181" t="s">
        <v>891</v>
      </c>
      <c r="C181" t="s">
        <v>892</v>
      </c>
      <c r="D181" s="10">
        <v>30298</v>
      </c>
      <c r="E181" t="s">
        <v>33</v>
      </c>
      <c r="F181" t="s">
        <v>33</v>
      </c>
      <c r="G181">
        <v>74</v>
      </c>
      <c r="H181">
        <v>235</v>
      </c>
      <c r="I181">
        <v>2018</v>
      </c>
      <c r="J181" s="4" t="str">
        <f>HYPERLINK("http://legacy.baseballprospectus.com/fantasy/dc/index.php?tm=ANA","ANA")</f>
        <v>ANA</v>
      </c>
      <c r="K181" t="s">
        <v>95</v>
      </c>
      <c r="L181" t="s">
        <v>34</v>
      </c>
      <c r="M181">
        <v>35</v>
      </c>
      <c r="N181">
        <v>8.4</v>
      </c>
      <c r="O181">
        <v>10.6</v>
      </c>
      <c r="P181">
        <v>10.8</v>
      </c>
      <c r="Q181">
        <v>0</v>
      </c>
      <c r="R181">
        <v>0</v>
      </c>
      <c r="S181">
        <v>0</v>
      </c>
      <c r="T181">
        <v>27.2</v>
      </c>
      <c r="U181">
        <v>27.2</v>
      </c>
      <c r="V181" s="9">
        <v>154.33330000000001</v>
      </c>
      <c r="W181">
        <v>680</v>
      </c>
      <c r="X181">
        <v>170</v>
      </c>
      <c r="Y181">
        <v>25</v>
      </c>
      <c r="Z181">
        <v>56</v>
      </c>
      <c r="AA181" t="s">
        <v>1680</v>
      </c>
      <c r="AB181">
        <v>6</v>
      </c>
      <c r="AC181">
        <v>116</v>
      </c>
      <c r="AD181">
        <v>3.2</v>
      </c>
      <c r="AE181">
        <v>6.8</v>
      </c>
      <c r="AF181" s="5">
        <v>0.42921152710914601</v>
      </c>
      <c r="AG181">
        <v>0.30399999999999999</v>
      </c>
      <c r="AH181">
        <v>1.46</v>
      </c>
      <c r="AI181">
        <v>5.12</v>
      </c>
      <c r="AJ181">
        <v>5.31</v>
      </c>
      <c r="AK181">
        <v>6.3</v>
      </c>
      <c r="AL181">
        <v>0.7</v>
      </c>
      <c r="AM181">
        <v>13</v>
      </c>
      <c r="AN181">
        <v>34</v>
      </c>
      <c r="AO181">
        <v>13</v>
      </c>
      <c r="AP181">
        <v>12</v>
      </c>
      <c r="AQ181" t="s">
        <v>2507</v>
      </c>
      <c r="AR181">
        <v>81</v>
      </c>
      <c r="AS181" t="s">
        <v>36</v>
      </c>
      <c r="AT181" t="s">
        <v>36</v>
      </c>
      <c r="AU181" s="4">
        <f>HYPERLINK("http://mlb.mlb.com/team/player.jsp?player_id=445060",445060)</f>
        <v>445060</v>
      </c>
      <c r="AV181">
        <v>0</v>
      </c>
      <c r="AW181">
        <v>0</v>
      </c>
      <c r="AX181">
        <v>181</v>
      </c>
    </row>
    <row r="182" spans="1:50" x14ac:dyDescent="0.3">
      <c r="A182" s="4">
        <f>HYPERLINK("http://legacy.baseballprospectus.com/p/45621",45621)</f>
        <v>45621</v>
      </c>
      <c r="B182" t="s">
        <v>973</v>
      </c>
      <c r="C182" t="s">
        <v>600</v>
      </c>
      <c r="D182" s="10">
        <v>30500</v>
      </c>
      <c r="E182" t="s">
        <v>33</v>
      </c>
      <c r="F182" t="s">
        <v>33</v>
      </c>
      <c r="G182">
        <v>72</v>
      </c>
      <c r="H182">
        <v>220</v>
      </c>
      <c r="I182">
        <v>2018</v>
      </c>
      <c r="J182" s="4" t="str">
        <f>HYPERLINK("http://legacy.baseballprospectus.com/fantasy/dc/index.php?tm=MIA","MIA")</f>
        <v>MIA</v>
      </c>
      <c r="K182" t="s">
        <v>100</v>
      </c>
      <c r="L182" t="s">
        <v>34</v>
      </c>
      <c r="M182">
        <v>34</v>
      </c>
      <c r="N182">
        <v>5.5</v>
      </c>
      <c r="O182">
        <v>5.5</v>
      </c>
      <c r="P182">
        <v>7.7</v>
      </c>
      <c r="Q182">
        <v>0</v>
      </c>
      <c r="R182">
        <v>0</v>
      </c>
      <c r="S182">
        <v>0</v>
      </c>
      <c r="T182">
        <v>15.8</v>
      </c>
      <c r="U182">
        <v>15.8</v>
      </c>
      <c r="V182" s="9">
        <v>91.666700000000006</v>
      </c>
      <c r="W182">
        <v>394</v>
      </c>
      <c r="X182">
        <v>91</v>
      </c>
      <c r="Y182">
        <v>10</v>
      </c>
      <c r="Z182">
        <v>42</v>
      </c>
      <c r="AA182" t="s">
        <v>1680</v>
      </c>
      <c r="AB182">
        <v>4</v>
      </c>
      <c r="AC182">
        <v>77</v>
      </c>
      <c r="AD182">
        <v>4.0999999999999996</v>
      </c>
      <c r="AE182">
        <v>7.5</v>
      </c>
      <c r="AF182" s="5">
        <v>0.48002827167510898</v>
      </c>
      <c r="AG182">
        <v>0.31</v>
      </c>
      <c r="AH182">
        <v>1.45</v>
      </c>
      <c r="AI182">
        <v>4.37</v>
      </c>
      <c r="AJ182">
        <v>4.95</v>
      </c>
      <c r="AK182">
        <v>6.4</v>
      </c>
      <c r="AL182">
        <v>0.7</v>
      </c>
      <c r="AM182">
        <v>13</v>
      </c>
      <c r="AN182">
        <v>47</v>
      </c>
      <c r="AO182">
        <v>20</v>
      </c>
      <c r="AP182">
        <v>12</v>
      </c>
      <c r="AQ182" t="s">
        <v>2566</v>
      </c>
      <c r="AR182">
        <v>93</v>
      </c>
      <c r="AS182" t="s">
        <v>36</v>
      </c>
      <c r="AT182" t="s">
        <v>36</v>
      </c>
      <c r="AU182" s="4">
        <f>HYPERLINK("http://mlb.mlb.com/team/player.jsp?player_id=450172",450172)</f>
        <v>450172</v>
      </c>
      <c r="AV182">
        <v>0</v>
      </c>
      <c r="AW182">
        <v>0</v>
      </c>
      <c r="AX182">
        <v>92.3</v>
      </c>
    </row>
    <row r="183" spans="1:50" x14ac:dyDescent="0.3">
      <c r="A183" s="4">
        <f>HYPERLINK("http://legacy.baseballprospectus.com/p/67169",67169)</f>
        <v>67169</v>
      </c>
      <c r="B183" t="s">
        <v>794</v>
      </c>
      <c r="C183" t="s">
        <v>181</v>
      </c>
      <c r="D183" s="10">
        <v>34148</v>
      </c>
      <c r="E183" t="s">
        <v>33</v>
      </c>
      <c r="F183" t="s">
        <v>33</v>
      </c>
      <c r="G183">
        <v>76</v>
      </c>
      <c r="H183">
        <v>230</v>
      </c>
      <c r="I183">
        <v>2018</v>
      </c>
      <c r="J183" s="4" t="str">
        <f>HYPERLINK("http://legacy.baseballprospectus.com/fantasy/dc/index.php?tm=PIT","PIT")</f>
        <v>PIT</v>
      </c>
      <c r="K183" t="s">
        <v>100</v>
      </c>
      <c r="L183" t="s">
        <v>34</v>
      </c>
      <c r="M183">
        <v>25</v>
      </c>
      <c r="N183">
        <v>2.7</v>
      </c>
      <c r="O183">
        <v>2.5</v>
      </c>
      <c r="P183">
        <v>0</v>
      </c>
      <c r="Q183">
        <v>0</v>
      </c>
      <c r="R183">
        <v>0</v>
      </c>
      <c r="S183">
        <v>4</v>
      </c>
      <c r="T183">
        <v>51</v>
      </c>
      <c r="U183">
        <v>0</v>
      </c>
      <c r="V183" s="9">
        <v>54</v>
      </c>
      <c r="W183">
        <v>226</v>
      </c>
      <c r="X183">
        <v>46</v>
      </c>
      <c r="Y183">
        <v>7</v>
      </c>
      <c r="Z183">
        <v>20</v>
      </c>
      <c r="AA183">
        <v>1</v>
      </c>
      <c r="AB183">
        <v>1</v>
      </c>
      <c r="AC183">
        <v>69</v>
      </c>
      <c r="AD183">
        <v>3.4</v>
      </c>
      <c r="AE183">
        <v>11.5</v>
      </c>
      <c r="AF183" s="5">
        <v>0.39400000000000002</v>
      </c>
      <c r="AG183">
        <v>0.3</v>
      </c>
      <c r="AH183">
        <v>1.23</v>
      </c>
      <c r="AI183">
        <v>3.42</v>
      </c>
      <c r="AJ183">
        <v>3.8</v>
      </c>
      <c r="AK183">
        <v>6.7</v>
      </c>
      <c r="AL183">
        <v>0.7</v>
      </c>
      <c r="AM183">
        <v>40</v>
      </c>
      <c r="AN183">
        <v>65</v>
      </c>
      <c r="AO183">
        <v>14</v>
      </c>
      <c r="AP183">
        <v>19</v>
      </c>
      <c r="AQ183" t="s">
        <v>2561</v>
      </c>
      <c r="AR183">
        <v>89</v>
      </c>
      <c r="AS183" t="s">
        <v>35</v>
      </c>
      <c r="AT183" t="s">
        <v>36</v>
      </c>
      <c r="AU183" s="4">
        <f>HYPERLINK("http://mlb.mlb.com/team/player.jsp?player_id=593140",593140)</f>
        <v>593140</v>
      </c>
      <c r="AV183">
        <v>1297</v>
      </c>
      <c r="AW183">
        <v>297</v>
      </c>
      <c r="AX183">
        <v>48</v>
      </c>
    </row>
    <row r="184" spans="1:50" x14ac:dyDescent="0.3">
      <c r="A184" s="4">
        <f>HYPERLINK("http://legacy.baseballprospectus.com/p/68444",68444)</f>
        <v>68444</v>
      </c>
      <c r="B184" t="s">
        <v>1316</v>
      </c>
      <c r="C184" t="s">
        <v>181</v>
      </c>
      <c r="D184" s="10">
        <v>33607</v>
      </c>
      <c r="E184" t="s">
        <v>33</v>
      </c>
      <c r="F184" t="s">
        <v>33</v>
      </c>
      <c r="G184">
        <v>75</v>
      </c>
      <c r="H184">
        <v>217</v>
      </c>
      <c r="I184">
        <v>2018</v>
      </c>
      <c r="J184" s="4" t="str">
        <f>HYPERLINK("http://legacy.baseballprospectus.com/fantasy/dc/index.php?tm=CIN","CIN")</f>
        <v>CIN</v>
      </c>
      <c r="K184" t="s">
        <v>100</v>
      </c>
      <c r="L184" t="s">
        <v>34</v>
      </c>
      <c r="M184">
        <v>26</v>
      </c>
      <c r="N184">
        <v>2.7</v>
      </c>
      <c r="O184">
        <v>2.6</v>
      </c>
      <c r="P184">
        <v>0</v>
      </c>
      <c r="Q184">
        <v>0</v>
      </c>
      <c r="R184">
        <v>3</v>
      </c>
      <c r="S184">
        <v>4</v>
      </c>
      <c r="T184">
        <v>54</v>
      </c>
      <c r="U184">
        <v>0</v>
      </c>
      <c r="V184" s="9">
        <v>56.666699999999999</v>
      </c>
      <c r="W184">
        <v>243</v>
      </c>
      <c r="X184">
        <v>50</v>
      </c>
      <c r="Y184">
        <v>6</v>
      </c>
      <c r="Z184">
        <v>25</v>
      </c>
      <c r="AA184">
        <v>3</v>
      </c>
      <c r="AB184">
        <v>3</v>
      </c>
      <c r="AC184">
        <v>57</v>
      </c>
      <c r="AD184">
        <v>3.9</v>
      </c>
      <c r="AE184">
        <v>9</v>
      </c>
      <c r="AF184" s="5">
        <v>0.52</v>
      </c>
      <c r="AG184">
        <v>0.29199999999999998</v>
      </c>
      <c r="AH184">
        <v>1.32</v>
      </c>
      <c r="AI184">
        <v>3.9</v>
      </c>
      <c r="AJ184">
        <v>3.98</v>
      </c>
      <c r="AK184">
        <v>6</v>
      </c>
      <c r="AL184">
        <v>0.7</v>
      </c>
      <c r="AM184">
        <v>30</v>
      </c>
      <c r="AN184">
        <v>64</v>
      </c>
      <c r="AO184">
        <v>12</v>
      </c>
      <c r="AP184">
        <v>14</v>
      </c>
      <c r="AQ184" t="s">
        <v>2469</v>
      </c>
      <c r="AR184">
        <v>85</v>
      </c>
      <c r="AS184" t="s">
        <v>35</v>
      </c>
      <c r="AT184" t="s">
        <v>36</v>
      </c>
      <c r="AU184" s="4">
        <f>HYPERLINK("http://mlb.mlb.com/team/player.jsp?player_id=547179",547179)</f>
        <v>547179</v>
      </c>
      <c r="AV184">
        <v>1233</v>
      </c>
      <c r="AW184">
        <v>233</v>
      </c>
      <c r="AX184">
        <v>83</v>
      </c>
    </row>
    <row r="185" spans="1:50" x14ac:dyDescent="0.3">
      <c r="A185" s="4">
        <f>HYPERLINK("http://legacy.baseballprospectus.com/p/70758",70758)</f>
        <v>70758</v>
      </c>
      <c r="B185" t="s">
        <v>709</v>
      </c>
      <c r="C185" t="s">
        <v>104</v>
      </c>
      <c r="D185" s="10">
        <v>33041</v>
      </c>
      <c r="E185" t="s">
        <v>33</v>
      </c>
      <c r="F185" t="s">
        <v>33</v>
      </c>
      <c r="G185">
        <v>76</v>
      </c>
      <c r="H185">
        <v>210</v>
      </c>
      <c r="I185">
        <v>2018</v>
      </c>
      <c r="J185" s="4" t="str">
        <f>HYPERLINK("http://legacy.baseballprospectus.com/fantasy/dc/index.php?tm=BOS","BOS")</f>
        <v>BOS</v>
      </c>
      <c r="K185" t="s">
        <v>95</v>
      </c>
      <c r="L185" t="s">
        <v>34</v>
      </c>
      <c r="M185">
        <v>28</v>
      </c>
      <c r="N185">
        <v>2.2999999999999998</v>
      </c>
      <c r="O185">
        <v>2.1</v>
      </c>
      <c r="P185">
        <v>0</v>
      </c>
      <c r="Q185">
        <v>0</v>
      </c>
      <c r="R185">
        <v>2</v>
      </c>
      <c r="S185">
        <v>3</v>
      </c>
      <c r="T185">
        <v>44</v>
      </c>
      <c r="U185">
        <v>0</v>
      </c>
      <c r="V185" s="9">
        <v>46.333300000000001</v>
      </c>
      <c r="W185">
        <v>202</v>
      </c>
      <c r="X185">
        <v>42</v>
      </c>
      <c r="Y185">
        <v>4</v>
      </c>
      <c r="Z185">
        <v>21</v>
      </c>
      <c r="AA185">
        <v>2</v>
      </c>
      <c r="AB185">
        <v>2</v>
      </c>
      <c r="AC185">
        <v>51</v>
      </c>
      <c r="AD185">
        <v>4</v>
      </c>
      <c r="AE185">
        <v>9.8000000000000007</v>
      </c>
      <c r="AF185" s="5">
        <v>0.45900000000000002</v>
      </c>
      <c r="AG185">
        <v>0.30599999999999999</v>
      </c>
      <c r="AH185">
        <v>1.38</v>
      </c>
      <c r="AI185">
        <v>3.35</v>
      </c>
      <c r="AJ185">
        <v>3.97</v>
      </c>
      <c r="AK185">
        <v>6.1</v>
      </c>
      <c r="AL185">
        <v>0.7</v>
      </c>
      <c r="AM185">
        <v>32</v>
      </c>
      <c r="AN185">
        <v>52</v>
      </c>
      <c r="AO185">
        <v>19</v>
      </c>
      <c r="AP185">
        <v>19</v>
      </c>
      <c r="AQ185" t="s">
        <v>2476</v>
      </c>
      <c r="AR185">
        <v>86</v>
      </c>
      <c r="AS185" t="s">
        <v>35</v>
      </c>
      <c r="AT185" t="s">
        <v>36</v>
      </c>
      <c r="AU185" s="4">
        <f>HYPERLINK("http://mlb.mlb.com/team/player.jsp?player_id=598264",598264)</f>
        <v>598264</v>
      </c>
      <c r="AV185">
        <v>234</v>
      </c>
      <c r="AW185">
        <v>1234</v>
      </c>
      <c r="AX185">
        <v>69.7</v>
      </c>
    </row>
    <row r="186" spans="1:50" x14ac:dyDescent="0.3">
      <c r="A186" s="4">
        <f>HYPERLINK("http://legacy.baseballprospectus.com/p/70988",70988)</f>
        <v>70988</v>
      </c>
      <c r="B186" t="s">
        <v>1822</v>
      </c>
      <c r="C186" t="s">
        <v>169</v>
      </c>
      <c r="D186" s="10">
        <v>33022</v>
      </c>
      <c r="E186" t="s">
        <v>33</v>
      </c>
      <c r="F186" t="s">
        <v>33</v>
      </c>
      <c r="G186">
        <v>77</v>
      </c>
      <c r="H186">
        <v>240</v>
      </c>
      <c r="I186">
        <v>2018</v>
      </c>
      <c r="J186" s="4" t="str">
        <f>HYPERLINK("http://legacy.baseballprospectus.com/fantasy/dc/index.php?tm=TOR","TOR")</f>
        <v>TOR</v>
      </c>
      <c r="K186" t="s">
        <v>95</v>
      </c>
      <c r="L186" t="s">
        <v>34</v>
      </c>
      <c r="M186">
        <v>28</v>
      </c>
      <c r="N186">
        <v>4.5</v>
      </c>
      <c r="O186">
        <v>4.5</v>
      </c>
      <c r="P186">
        <v>5</v>
      </c>
      <c r="Q186">
        <v>0</v>
      </c>
      <c r="R186">
        <v>0</v>
      </c>
      <c r="S186">
        <v>0</v>
      </c>
      <c r="T186">
        <v>35</v>
      </c>
      <c r="U186">
        <v>10</v>
      </c>
      <c r="V186" s="9">
        <v>79</v>
      </c>
      <c r="W186">
        <v>346</v>
      </c>
      <c r="X186">
        <v>82</v>
      </c>
      <c r="Y186">
        <v>9</v>
      </c>
      <c r="Z186">
        <v>30</v>
      </c>
      <c r="AA186">
        <v>2</v>
      </c>
      <c r="AB186">
        <v>3</v>
      </c>
      <c r="AC186">
        <v>62</v>
      </c>
      <c r="AD186">
        <v>3.5</v>
      </c>
      <c r="AE186">
        <v>7</v>
      </c>
      <c r="AF186" s="5">
        <v>0.51200000000000001</v>
      </c>
      <c r="AG186">
        <v>0.29899999999999999</v>
      </c>
      <c r="AH186">
        <v>1.43</v>
      </c>
      <c r="AI186">
        <v>4.37</v>
      </c>
      <c r="AJ186">
        <v>4.68</v>
      </c>
      <c r="AK186">
        <v>6.2</v>
      </c>
      <c r="AL186">
        <v>0.7</v>
      </c>
      <c r="AM186">
        <v>15</v>
      </c>
      <c r="AN186">
        <v>39</v>
      </c>
      <c r="AO186">
        <v>20</v>
      </c>
      <c r="AP186">
        <v>25</v>
      </c>
      <c r="AQ186" t="s">
        <v>2352</v>
      </c>
      <c r="AR186">
        <v>77</v>
      </c>
      <c r="AS186" t="s">
        <v>35</v>
      </c>
      <c r="AT186" t="s">
        <v>36</v>
      </c>
      <c r="AU186" s="4">
        <f>HYPERLINK("http://mlb.mlb.com/team/player.jsp?player_id=607352",607352)</f>
        <v>607352</v>
      </c>
      <c r="AV186">
        <v>49</v>
      </c>
      <c r="AW186">
        <v>1049</v>
      </c>
      <c r="AX186">
        <v>119.7</v>
      </c>
    </row>
    <row r="187" spans="1:50" x14ac:dyDescent="0.3">
      <c r="A187" s="4">
        <f>HYPERLINK("http://legacy.baseballprospectus.com/p/71177",71177)</f>
        <v>71177</v>
      </c>
      <c r="B187" t="s">
        <v>1624</v>
      </c>
      <c r="C187" t="s">
        <v>182</v>
      </c>
      <c r="D187" s="10">
        <v>33016</v>
      </c>
      <c r="E187" t="s">
        <v>33</v>
      </c>
      <c r="F187" t="s">
        <v>33</v>
      </c>
      <c r="G187">
        <v>75</v>
      </c>
      <c r="H187">
        <v>225</v>
      </c>
      <c r="I187">
        <v>2018</v>
      </c>
      <c r="J187" s="4" t="str">
        <f>HYPERLINK("http://legacy.baseballprospectus.com/fantasy/dc/index.php?tm=MIA","MIA")</f>
        <v>MIA</v>
      </c>
      <c r="K187" t="s">
        <v>100</v>
      </c>
      <c r="L187" t="s">
        <v>34</v>
      </c>
      <c r="M187">
        <v>28</v>
      </c>
      <c r="N187">
        <v>2.5</v>
      </c>
      <c r="O187">
        <v>2.6</v>
      </c>
      <c r="P187">
        <v>0</v>
      </c>
      <c r="Q187">
        <v>0</v>
      </c>
      <c r="R187">
        <v>3</v>
      </c>
      <c r="S187">
        <v>4</v>
      </c>
      <c r="T187">
        <v>51</v>
      </c>
      <c r="U187">
        <v>0</v>
      </c>
      <c r="V187" s="9">
        <v>54.333300000000001</v>
      </c>
      <c r="W187">
        <v>238</v>
      </c>
      <c r="X187">
        <v>46</v>
      </c>
      <c r="Y187">
        <v>5</v>
      </c>
      <c r="Z187">
        <v>28</v>
      </c>
      <c r="AA187">
        <v>2</v>
      </c>
      <c r="AB187">
        <v>2</v>
      </c>
      <c r="AC187">
        <v>65</v>
      </c>
      <c r="AD187">
        <v>4.7</v>
      </c>
      <c r="AE187">
        <v>10.8</v>
      </c>
      <c r="AF187" s="5">
        <v>0.46400000000000002</v>
      </c>
      <c r="AG187">
        <v>0.29899999999999999</v>
      </c>
      <c r="AH187">
        <v>1.38</v>
      </c>
      <c r="AI187">
        <v>3.59</v>
      </c>
      <c r="AJ187">
        <v>3.91</v>
      </c>
      <c r="AK187">
        <v>6.1</v>
      </c>
      <c r="AL187">
        <v>0.7</v>
      </c>
      <c r="AM187">
        <v>32</v>
      </c>
      <c r="AN187">
        <v>48</v>
      </c>
      <c r="AO187">
        <v>23</v>
      </c>
      <c r="AP187">
        <v>13</v>
      </c>
      <c r="AQ187" t="s">
        <v>2519</v>
      </c>
      <c r="AR187">
        <v>83</v>
      </c>
      <c r="AS187" t="s">
        <v>35</v>
      </c>
      <c r="AT187" t="s">
        <v>36</v>
      </c>
      <c r="AU187" s="4">
        <f>HYPERLINK("http://mlb.mlb.com/team/player.jsp?player_id=607457",607457)</f>
        <v>607457</v>
      </c>
      <c r="AV187">
        <v>1254</v>
      </c>
      <c r="AW187">
        <v>254</v>
      </c>
      <c r="AX187">
        <v>66</v>
      </c>
    </row>
    <row r="188" spans="1:50" x14ac:dyDescent="0.3">
      <c r="A188" s="4">
        <f>HYPERLINK("http://legacy.baseballprospectus.com/p/100191",100191)</f>
        <v>100191</v>
      </c>
      <c r="B188" t="s">
        <v>1628</v>
      </c>
      <c r="C188" t="s">
        <v>108</v>
      </c>
      <c r="D188" s="10">
        <v>33425</v>
      </c>
      <c r="E188" t="s">
        <v>33</v>
      </c>
      <c r="F188" t="s">
        <v>33</v>
      </c>
      <c r="G188">
        <v>71</v>
      </c>
      <c r="H188">
        <v>195</v>
      </c>
      <c r="I188">
        <v>2018</v>
      </c>
      <c r="J188" s="4" t="str">
        <f>HYPERLINK("http://legacy.baseballprospectus.com/fantasy/dc/index.php?tm=CLE","CLE")</f>
        <v>CLE</v>
      </c>
      <c r="K188" t="s">
        <v>95</v>
      </c>
      <c r="L188" t="s">
        <v>34</v>
      </c>
      <c r="M188">
        <v>26</v>
      </c>
      <c r="N188">
        <v>2.9</v>
      </c>
      <c r="O188">
        <v>2.2000000000000002</v>
      </c>
      <c r="P188">
        <v>0</v>
      </c>
      <c r="Q188">
        <v>0</v>
      </c>
      <c r="R188">
        <v>0</v>
      </c>
      <c r="S188">
        <v>1</v>
      </c>
      <c r="T188">
        <v>51</v>
      </c>
      <c r="U188">
        <v>0</v>
      </c>
      <c r="V188" s="9">
        <v>53.666699999999999</v>
      </c>
      <c r="W188">
        <v>227</v>
      </c>
      <c r="X188">
        <v>45</v>
      </c>
      <c r="Y188">
        <v>8</v>
      </c>
      <c r="Z188">
        <v>22</v>
      </c>
      <c r="AA188">
        <v>2</v>
      </c>
      <c r="AB188">
        <v>2</v>
      </c>
      <c r="AC188">
        <v>70</v>
      </c>
      <c r="AD188">
        <v>3.7</v>
      </c>
      <c r="AE188">
        <v>11.7</v>
      </c>
      <c r="AF188" s="5">
        <v>0.35399999999999998</v>
      </c>
      <c r="AG188">
        <v>0.29699999999999999</v>
      </c>
      <c r="AH188">
        <v>1.25</v>
      </c>
      <c r="AI188">
        <v>3.56</v>
      </c>
      <c r="AJ188">
        <v>4.09</v>
      </c>
      <c r="AK188">
        <v>6.5</v>
      </c>
      <c r="AL188">
        <v>0.7</v>
      </c>
      <c r="AM188">
        <v>29</v>
      </c>
      <c r="AN188">
        <v>45</v>
      </c>
      <c r="AO188">
        <v>18</v>
      </c>
      <c r="AP188">
        <v>25</v>
      </c>
      <c r="AQ188" t="s">
        <v>2663</v>
      </c>
      <c r="AR188">
        <v>79</v>
      </c>
      <c r="AS188" t="s">
        <v>35</v>
      </c>
      <c r="AT188" t="s">
        <v>36</v>
      </c>
      <c r="AU188" s="4">
        <f>HYPERLINK("http://mlb.mlb.com/team/player.jsp?player_id=580792",580792)</f>
        <v>580792</v>
      </c>
      <c r="AV188">
        <v>276</v>
      </c>
      <c r="AW188">
        <v>1276</v>
      </c>
      <c r="AX188">
        <v>54.7</v>
      </c>
    </row>
    <row r="189" spans="1:50" x14ac:dyDescent="0.3">
      <c r="A189" s="4">
        <f>HYPERLINK("http://legacy.baseballprospectus.com/p/100323",100323)</f>
        <v>100323</v>
      </c>
      <c r="B189" t="s">
        <v>1193</v>
      </c>
      <c r="C189" t="s">
        <v>234</v>
      </c>
      <c r="D189" s="10">
        <v>33107</v>
      </c>
      <c r="E189" t="s">
        <v>33</v>
      </c>
      <c r="F189" t="s">
        <v>33</v>
      </c>
      <c r="G189">
        <v>75</v>
      </c>
      <c r="H189">
        <v>190</v>
      </c>
      <c r="I189">
        <v>2018</v>
      </c>
      <c r="J189" s="4" t="str">
        <f>HYPERLINK("http://legacy.baseballprospectus.com/fantasy/dc/index.php?tm=SFN","SFN")</f>
        <v>SFN</v>
      </c>
      <c r="K189" t="s">
        <v>100</v>
      </c>
      <c r="L189" t="s">
        <v>34</v>
      </c>
      <c r="M189">
        <v>27</v>
      </c>
      <c r="N189">
        <v>7.3</v>
      </c>
      <c r="O189">
        <v>7.8</v>
      </c>
      <c r="P189">
        <v>11</v>
      </c>
      <c r="Q189">
        <v>0</v>
      </c>
      <c r="R189">
        <v>0</v>
      </c>
      <c r="S189">
        <v>0</v>
      </c>
      <c r="T189">
        <v>23</v>
      </c>
      <c r="U189">
        <v>23</v>
      </c>
      <c r="V189" s="9">
        <v>122</v>
      </c>
      <c r="W189">
        <v>525</v>
      </c>
      <c r="X189">
        <v>120</v>
      </c>
      <c r="Y189">
        <v>13</v>
      </c>
      <c r="Z189">
        <v>44</v>
      </c>
      <c r="AA189">
        <v>2</v>
      </c>
      <c r="AB189">
        <v>4</v>
      </c>
      <c r="AC189">
        <v>103</v>
      </c>
      <c r="AD189">
        <v>3.3</v>
      </c>
      <c r="AE189">
        <v>7.6</v>
      </c>
      <c r="AF189" s="5">
        <v>0.45800000000000002</v>
      </c>
      <c r="AG189">
        <v>0.29799999999999999</v>
      </c>
      <c r="AH189">
        <v>1.36</v>
      </c>
      <c r="AI189">
        <v>3.96</v>
      </c>
      <c r="AJ189">
        <v>4.7300000000000004</v>
      </c>
      <c r="AK189">
        <v>6.7</v>
      </c>
      <c r="AL189">
        <v>0.7</v>
      </c>
      <c r="AM189">
        <v>21</v>
      </c>
      <c r="AN189">
        <v>39</v>
      </c>
      <c r="AO189">
        <v>14</v>
      </c>
      <c r="AP189">
        <v>23</v>
      </c>
      <c r="AQ189" t="s">
        <v>2432</v>
      </c>
      <c r="AR189">
        <v>65</v>
      </c>
      <c r="AS189" t="s">
        <v>35</v>
      </c>
      <c r="AT189" t="s">
        <v>36</v>
      </c>
      <c r="AU189" s="4">
        <f>HYPERLINK("http://mlb.mlb.com/team/player.jsp?player_id=608717",608717)</f>
        <v>608717</v>
      </c>
      <c r="AV189">
        <v>1079</v>
      </c>
      <c r="AW189">
        <v>79</v>
      </c>
      <c r="AX189">
        <v>58.7</v>
      </c>
    </row>
    <row r="190" spans="1:50" x14ac:dyDescent="0.3">
      <c r="A190" s="4">
        <f>HYPERLINK("http://legacy.baseballprospectus.com/p/71010",71010)</f>
        <v>71010</v>
      </c>
      <c r="B190" t="s">
        <v>1485</v>
      </c>
      <c r="C190" t="s">
        <v>1486</v>
      </c>
      <c r="D190" s="10">
        <v>33622</v>
      </c>
      <c r="E190" t="s">
        <v>33</v>
      </c>
      <c r="F190" t="s">
        <v>33</v>
      </c>
      <c r="G190">
        <v>71</v>
      </c>
      <c r="H190">
        <v>195</v>
      </c>
      <c r="I190">
        <v>2018</v>
      </c>
      <c r="J190" s="4" t="str">
        <f>HYPERLINK("http://legacy.baseballprospectus.com/fantasy/dc/index.php?tm=OAK","OAK")</f>
        <v>OAK</v>
      </c>
      <c r="K190" t="s">
        <v>95</v>
      </c>
      <c r="L190" t="s">
        <v>34</v>
      </c>
      <c r="M190">
        <v>26</v>
      </c>
      <c r="N190">
        <v>6.9</v>
      </c>
      <c r="O190">
        <v>7.7</v>
      </c>
      <c r="P190">
        <v>9.6</v>
      </c>
      <c r="Q190">
        <v>0</v>
      </c>
      <c r="R190">
        <v>0</v>
      </c>
      <c r="S190">
        <v>0</v>
      </c>
      <c r="T190">
        <v>23</v>
      </c>
      <c r="U190">
        <v>23</v>
      </c>
      <c r="V190" s="9">
        <v>115</v>
      </c>
      <c r="W190">
        <v>489</v>
      </c>
      <c r="X190">
        <v>107</v>
      </c>
      <c r="Y190">
        <v>22</v>
      </c>
      <c r="Z190">
        <v>42</v>
      </c>
      <c r="AA190" t="s">
        <v>1680</v>
      </c>
      <c r="AB190">
        <v>3</v>
      </c>
      <c r="AC190">
        <v>117</v>
      </c>
      <c r="AD190">
        <v>3.3</v>
      </c>
      <c r="AE190">
        <v>9.1999999999999993</v>
      </c>
      <c r="AF190" s="5">
        <v>0.41183155775070102</v>
      </c>
      <c r="AG190">
        <v>0.28100000000000003</v>
      </c>
      <c r="AH190">
        <v>1.3</v>
      </c>
      <c r="AI190">
        <v>4.92</v>
      </c>
      <c r="AJ190">
        <v>5.13</v>
      </c>
      <c r="AK190">
        <v>6.8</v>
      </c>
      <c r="AL190">
        <v>0.7</v>
      </c>
      <c r="AM190">
        <v>24</v>
      </c>
      <c r="AN190">
        <v>44</v>
      </c>
      <c r="AO190">
        <v>16</v>
      </c>
      <c r="AP190">
        <v>34</v>
      </c>
      <c r="AQ190" t="s">
        <v>2479</v>
      </c>
      <c r="AR190">
        <v>88</v>
      </c>
      <c r="AS190" t="s">
        <v>36</v>
      </c>
      <c r="AT190" t="s">
        <v>36</v>
      </c>
      <c r="AU190" s="4">
        <f>HYPERLINK("http://mlb.mlb.com/team/player.jsp?player_id=605194",605194)</f>
        <v>605194</v>
      </c>
      <c r="AV190">
        <v>46</v>
      </c>
      <c r="AW190">
        <v>1046</v>
      </c>
      <c r="AX190">
        <v>129</v>
      </c>
    </row>
    <row r="191" spans="1:50" x14ac:dyDescent="0.3">
      <c r="A191" s="4">
        <f>HYPERLINK("http://legacy.baseballprospectus.com/p/101384",101384)</f>
        <v>101384</v>
      </c>
      <c r="B191" t="s">
        <v>1293</v>
      </c>
      <c r="C191" t="s">
        <v>150</v>
      </c>
      <c r="D191" s="10">
        <v>34431</v>
      </c>
      <c r="E191" t="s">
        <v>9</v>
      </c>
      <c r="F191" t="s">
        <v>9</v>
      </c>
      <c r="G191">
        <v>75</v>
      </c>
      <c r="H191">
        <v>185</v>
      </c>
      <c r="I191">
        <v>2018</v>
      </c>
      <c r="J191" s="4" t="str">
        <f>HYPERLINK("http://legacy.baseballprospectus.com/fantasy/dc/index.php?tm=MIL","MIL")</f>
        <v>MIL</v>
      </c>
      <c r="K191" t="s">
        <v>100</v>
      </c>
      <c r="L191" t="s">
        <v>34</v>
      </c>
      <c r="M191">
        <v>24</v>
      </c>
      <c r="N191">
        <v>3</v>
      </c>
      <c r="O191">
        <v>2.4</v>
      </c>
      <c r="P191">
        <v>0</v>
      </c>
      <c r="Q191">
        <v>0</v>
      </c>
      <c r="R191">
        <v>0</v>
      </c>
      <c r="S191">
        <v>0</v>
      </c>
      <c r="T191">
        <v>54</v>
      </c>
      <c r="U191">
        <v>0</v>
      </c>
      <c r="V191" s="9">
        <v>57.333300000000001</v>
      </c>
      <c r="W191">
        <v>237</v>
      </c>
      <c r="X191">
        <v>44</v>
      </c>
      <c r="Y191">
        <v>8</v>
      </c>
      <c r="Z191">
        <v>24</v>
      </c>
      <c r="AA191">
        <v>2</v>
      </c>
      <c r="AB191">
        <v>2</v>
      </c>
      <c r="AC191">
        <v>75</v>
      </c>
      <c r="AD191">
        <v>3.8</v>
      </c>
      <c r="AE191">
        <v>11.8</v>
      </c>
      <c r="AF191" s="5">
        <v>0.40200000000000002</v>
      </c>
      <c r="AG191">
        <v>0.28299999999999997</v>
      </c>
      <c r="AH191">
        <v>1.17</v>
      </c>
      <c r="AI191">
        <v>3.51</v>
      </c>
      <c r="AJ191">
        <v>3.87</v>
      </c>
      <c r="AK191">
        <v>6.7</v>
      </c>
      <c r="AL191">
        <v>0.7</v>
      </c>
      <c r="AM191">
        <v>23</v>
      </c>
      <c r="AN191">
        <v>58</v>
      </c>
      <c r="AO191">
        <v>16</v>
      </c>
      <c r="AP191">
        <v>20</v>
      </c>
      <c r="AQ191" t="s">
        <v>2481</v>
      </c>
      <c r="AR191">
        <v>81</v>
      </c>
      <c r="AS191" t="s">
        <v>35</v>
      </c>
      <c r="AT191" t="s">
        <v>35</v>
      </c>
      <c r="AU191" s="4">
        <f>HYPERLINK("http://mlb.mlb.com/team/player.jsp?player_id=623352",623352)</f>
        <v>623352</v>
      </c>
      <c r="AV191">
        <v>1298</v>
      </c>
      <c r="AW191">
        <v>298</v>
      </c>
      <c r="AX191">
        <v>47.7</v>
      </c>
    </row>
    <row r="192" spans="1:50" x14ac:dyDescent="0.3">
      <c r="A192" s="4">
        <f>HYPERLINK("http://legacy.baseballprospectus.com/p/102061",102061)</f>
        <v>102061</v>
      </c>
      <c r="B192" t="s">
        <v>1671</v>
      </c>
      <c r="C192" t="s">
        <v>108</v>
      </c>
      <c r="D192" s="10">
        <v>34014</v>
      </c>
      <c r="E192" t="s">
        <v>33</v>
      </c>
      <c r="F192" t="s">
        <v>33</v>
      </c>
      <c r="G192">
        <v>77</v>
      </c>
      <c r="H192">
        <v>220</v>
      </c>
      <c r="I192">
        <v>2018</v>
      </c>
      <c r="J192" s="4" t="str">
        <f>HYPERLINK("http://legacy.baseballprospectus.com/fantasy/dc/index.php?tm=PHI","PHI")</f>
        <v>PHI</v>
      </c>
      <c r="K192" t="s">
        <v>100</v>
      </c>
      <c r="L192" t="s">
        <v>34</v>
      </c>
      <c r="M192">
        <v>25</v>
      </c>
      <c r="N192">
        <v>6.9</v>
      </c>
      <c r="O192">
        <v>7.5</v>
      </c>
      <c r="P192">
        <v>9</v>
      </c>
      <c r="Q192">
        <v>0</v>
      </c>
      <c r="R192">
        <v>0</v>
      </c>
      <c r="S192">
        <v>0</v>
      </c>
      <c r="T192">
        <v>20</v>
      </c>
      <c r="U192">
        <v>20</v>
      </c>
      <c r="V192" s="9">
        <v>120</v>
      </c>
      <c r="W192">
        <v>512</v>
      </c>
      <c r="X192">
        <v>115</v>
      </c>
      <c r="Y192">
        <v>21</v>
      </c>
      <c r="Z192">
        <v>44</v>
      </c>
      <c r="AA192">
        <v>1</v>
      </c>
      <c r="AB192">
        <v>4</v>
      </c>
      <c r="AC192">
        <v>126</v>
      </c>
      <c r="AD192">
        <v>3.3</v>
      </c>
      <c r="AE192">
        <v>9.5</v>
      </c>
      <c r="AF192" s="5">
        <v>0.433</v>
      </c>
      <c r="AG192">
        <v>0.29599999999999999</v>
      </c>
      <c r="AH192">
        <v>1.33</v>
      </c>
      <c r="AI192">
        <v>4.5199999999999996</v>
      </c>
      <c r="AJ192">
        <v>4.75</v>
      </c>
      <c r="AK192">
        <v>6.4</v>
      </c>
      <c r="AL192">
        <v>0.7</v>
      </c>
      <c r="AM192">
        <v>26</v>
      </c>
      <c r="AN192">
        <v>49</v>
      </c>
      <c r="AO192">
        <v>20</v>
      </c>
      <c r="AP192">
        <v>42</v>
      </c>
      <c r="AQ192" t="s">
        <v>2357</v>
      </c>
      <c r="AR192">
        <v>84</v>
      </c>
      <c r="AS192" t="s">
        <v>35</v>
      </c>
      <c r="AT192" t="s">
        <v>36</v>
      </c>
      <c r="AU192" s="4">
        <f>HYPERLINK("http://mlb.mlb.com/team/player.jsp?player_id=601713",601713)</f>
        <v>601713</v>
      </c>
      <c r="AV192">
        <v>1041</v>
      </c>
      <c r="AW192">
        <v>41</v>
      </c>
      <c r="AX192">
        <v>133</v>
      </c>
    </row>
    <row r="193" spans="1:50" x14ac:dyDescent="0.3">
      <c r="A193" s="4">
        <f>HYPERLINK("http://legacy.baseballprospectus.com/p/102077",102077)</f>
        <v>102077</v>
      </c>
      <c r="B193" t="s">
        <v>1478</v>
      </c>
      <c r="C193" t="s">
        <v>1440</v>
      </c>
      <c r="D193" s="10">
        <v>33228</v>
      </c>
      <c r="E193" t="s">
        <v>33</v>
      </c>
      <c r="F193" t="s">
        <v>33</v>
      </c>
      <c r="G193">
        <v>74</v>
      </c>
      <c r="H193">
        <v>200</v>
      </c>
      <c r="I193">
        <v>2018</v>
      </c>
      <c r="J193" s="4" t="str">
        <f>HYPERLINK("http://legacy.baseballprospectus.com/fantasy/dc/index.php?tm=OAK","OAK")</f>
        <v>OAK</v>
      </c>
      <c r="K193" t="s">
        <v>95</v>
      </c>
      <c r="L193" t="s">
        <v>34</v>
      </c>
      <c r="M193">
        <v>27</v>
      </c>
      <c r="N193">
        <v>7.9</v>
      </c>
      <c r="O193">
        <v>8.6999999999999993</v>
      </c>
      <c r="P193">
        <v>11</v>
      </c>
      <c r="Q193">
        <v>0</v>
      </c>
      <c r="R193">
        <v>0</v>
      </c>
      <c r="S193">
        <v>0</v>
      </c>
      <c r="T193">
        <v>25</v>
      </c>
      <c r="U193">
        <v>25</v>
      </c>
      <c r="V193" s="9">
        <v>132.66669999999999</v>
      </c>
      <c r="W193">
        <v>577</v>
      </c>
      <c r="X193">
        <v>141</v>
      </c>
      <c r="Y193">
        <v>18</v>
      </c>
      <c r="Z193">
        <v>49</v>
      </c>
      <c r="AA193">
        <v>2</v>
      </c>
      <c r="AB193">
        <v>6</v>
      </c>
      <c r="AC193">
        <v>90</v>
      </c>
      <c r="AD193">
        <v>3.3</v>
      </c>
      <c r="AE193">
        <v>6.1</v>
      </c>
      <c r="AF193" s="5">
        <v>0.499</v>
      </c>
      <c r="AG193">
        <v>0.29599999999999999</v>
      </c>
      <c r="AH193">
        <v>1.44</v>
      </c>
      <c r="AI193">
        <v>4.78</v>
      </c>
      <c r="AJ193">
        <v>5.0599999999999996</v>
      </c>
      <c r="AK193">
        <v>6.4</v>
      </c>
      <c r="AL193">
        <v>0.7</v>
      </c>
      <c r="AM193">
        <v>18</v>
      </c>
      <c r="AN193">
        <v>43</v>
      </c>
      <c r="AO193">
        <v>18</v>
      </c>
      <c r="AP193">
        <v>15</v>
      </c>
      <c r="AQ193" t="s">
        <v>2435</v>
      </c>
      <c r="AR193">
        <v>81</v>
      </c>
      <c r="AS193" t="s">
        <v>35</v>
      </c>
      <c r="AT193" t="s">
        <v>36</v>
      </c>
      <c r="AU193" s="4">
        <f>HYPERLINK("http://mlb.mlb.com/team/player.jsp?player_id=608665",608665)</f>
        <v>608665</v>
      </c>
      <c r="AV193">
        <v>52</v>
      </c>
      <c r="AW193">
        <v>1052</v>
      </c>
      <c r="AX193">
        <v>105.3</v>
      </c>
    </row>
    <row r="194" spans="1:50" x14ac:dyDescent="0.3">
      <c r="A194" s="4">
        <f>HYPERLINK("http://legacy.baseballprospectus.com/p/102032",102032)</f>
        <v>102032</v>
      </c>
      <c r="B194" t="s">
        <v>776</v>
      </c>
      <c r="C194" t="s">
        <v>119</v>
      </c>
      <c r="D194" s="10">
        <v>33823</v>
      </c>
      <c r="E194" t="s">
        <v>33</v>
      </c>
      <c r="F194" t="s">
        <v>33</v>
      </c>
      <c r="G194">
        <v>73</v>
      </c>
      <c r="H194">
        <v>220</v>
      </c>
      <c r="I194">
        <v>2018</v>
      </c>
      <c r="J194" s="4" t="str">
        <f>HYPERLINK("http://legacy.baseballprospectus.com/fantasy/dc/index.php?tm=TBA","TBA")</f>
        <v>TBA</v>
      </c>
      <c r="K194" t="s">
        <v>95</v>
      </c>
      <c r="L194" t="s">
        <v>34</v>
      </c>
      <c r="M194">
        <v>25</v>
      </c>
      <c r="N194">
        <v>4.9000000000000004</v>
      </c>
      <c r="O194">
        <v>5.8</v>
      </c>
      <c r="P194">
        <v>8</v>
      </c>
      <c r="Q194">
        <v>0</v>
      </c>
      <c r="R194">
        <v>0</v>
      </c>
      <c r="S194">
        <v>0</v>
      </c>
      <c r="T194">
        <v>17</v>
      </c>
      <c r="U194">
        <v>17</v>
      </c>
      <c r="V194" s="9">
        <v>85</v>
      </c>
      <c r="W194">
        <v>362</v>
      </c>
      <c r="X194">
        <v>76</v>
      </c>
      <c r="Y194">
        <v>15</v>
      </c>
      <c r="Z194">
        <v>34</v>
      </c>
      <c r="AA194" t="s">
        <v>1680</v>
      </c>
      <c r="AB194">
        <v>3</v>
      </c>
      <c r="AC194">
        <v>100</v>
      </c>
      <c r="AD194">
        <v>3.6</v>
      </c>
      <c r="AE194">
        <v>10.6</v>
      </c>
      <c r="AF194" s="5">
        <v>0.39549851417541498</v>
      </c>
      <c r="AG194">
        <v>0.28999999999999998</v>
      </c>
      <c r="AH194">
        <v>1.29</v>
      </c>
      <c r="AI194">
        <v>4.4400000000000004</v>
      </c>
      <c r="AJ194">
        <v>4.92</v>
      </c>
      <c r="AK194">
        <v>6.9</v>
      </c>
      <c r="AL194">
        <v>0.7</v>
      </c>
      <c r="AM194">
        <v>26</v>
      </c>
      <c r="AN194">
        <v>51</v>
      </c>
      <c r="AO194">
        <v>17</v>
      </c>
      <c r="AP194">
        <v>34</v>
      </c>
      <c r="AQ194" t="s">
        <v>2526</v>
      </c>
      <c r="AR194">
        <v>76</v>
      </c>
      <c r="AS194" t="s">
        <v>36</v>
      </c>
      <c r="AT194" t="s">
        <v>35</v>
      </c>
      <c r="AU194" s="4">
        <f>HYPERLINK("http://mlb.mlb.com/team/player.jsp?player_id=592254",592254)</f>
        <v>592254</v>
      </c>
      <c r="AV194">
        <v>125</v>
      </c>
      <c r="AW194">
        <v>1125</v>
      </c>
      <c r="AX194">
        <v>2.7</v>
      </c>
    </row>
    <row r="195" spans="1:50" x14ac:dyDescent="0.3">
      <c r="A195" s="4">
        <f>HYPERLINK("http://legacy.baseballprospectus.com/p/105434",105434)</f>
        <v>105434</v>
      </c>
      <c r="B195" t="s">
        <v>482</v>
      </c>
      <c r="C195" t="s">
        <v>1644</v>
      </c>
      <c r="D195" s="10">
        <v>33971</v>
      </c>
      <c r="E195" t="s">
        <v>33</v>
      </c>
      <c r="F195" t="s">
        <v>33</v>
      </c>
      <c r="G195">
        <v>75</v>
      </c>
      <c r="H195">
        <v>185</v>
      </c>
      <c r="I195">
        <v>2018</v>
      </c>
      <c r="J195" s="4" t="str">
        <f>HYPERLINK("http://legacy.baseballprospectus.com/fantasy/dc/index.php?tm=ARI","ARI")</f>
        <v>ARI</v>
      </c>
      <c r="K195" t="s">
        <v>100</v>
      </c>
      <c r="L195" t="s">
        <v>34</v>
      </c>
      <c r="M195">
        <v>25</v>
      </c>
      <c r="N195">
        <v>2.4</v>
      </c>
      <c r="O195">
        <v>1.8</v>
      </c>
      <c r="P195">
        <v>3.8</v>
      </c>
      <c r="Q195">
        <v>0</v>
      </c>
      <c r="R195">
        <v>0.4</v>
      </c>
      <c r="S195">
        <v>0</v>
      </c>
      <c r="T195">
        <v>14.9</v>
      </c>
      <c r="U195">
        <v>6.3</v>
      </c>
      <c r="V195" s="9">
        <v>37.333300000000001</v>
      </c>
      <c r="W195">
        <v>150</v>
      </c>
      <c r="X195">
        <v>30</v>
      </c>
      <c r="Y195">
        <v>5</v>
      </c>
      <c r="Z195">
        <v>14</v>
      </c>
      <c r="AA195" t="s">
        <v>1680</v>
      </c>
      <c r="AB195">
        <v>1</v>
      </c>
      <c r="AC195">
        <v>49</v>
      </c>
      <c r="AD195">
        <v>3.4</v>
      </c>
      <c r="AE195">
        <v>11.9</v>
      </c>
      <c r="AF195" s="5">
        <v>0.422940224409103</v>
      </c>
      <c r="AG195">
        <v>0.318</v>
      </c>
      <c r="AH195">
        <v>1.19</v>
      </c>
      <c r="AI195">
        <v>3.37</v>
      </c>
      <c r="AJ195">
        <v>4.04</v>
      </c>
      <c r="AK195">
        <v>6.1</v>
      </c>
      <c r="AL195">
        <v>0.7</v>
      </c>
      <c r="AM195">
        <v>12</v>
      </c>
      <c r="AN195">
        <v>16</v>
      </c>
      <c r="AO195">
        <v>2</v>
      </c>
      <c r="AP195">
        <v>12</v>
      </c>
      <c r="AQ195" t="s">
        <v>2812</v>
      </c>
      <c r="AR195">
        <v>20</v>
      </c>
      <c r="AS195" t="s">
        <v>36</v>
      </c>
      <c r="AT195" t="s">
        <v>35</v>
      </c>
      <c r="AU195" s="4">
        <f>HYPERLINK("http://mlb.mlb.com/team/player.jsp?player_id=661255",661255)</f>
        <v>661255</v>
      </c>
      <c r="AV195">
        <v>1756</v>
      </c>
      <c r="AW195">
        <v>756</v>
      </c>
      <c r="AX195">
        <v>0</v>
      </c>
    </row>
    <row r="196" spans="1:50" x14ac:dyDescent="0.3">
      <c r="A196" s="4">
        <f>HYPERLINK("http://legacy.baseballprospectus.com/p/108235",108235)</f>
        <v>108235</v>
      </c>
      <c r="B196" t="s">
        <v>2070</v>
      </c>
      <c r="C196" t="s">
        <v>319</v>
      </c>
      <c r="D196" s="10">
        <v>34214</v>
      </c>
      <c r="E196" t="s">
        <v>9</v>
      </c>
      <c r="F196" t="s">
        <v>9</v>
      </c>
      <c r="G196">
        <v>72</v>
      </c>
      <c r="H196">
        <v>205</v>
      </c>
      <c r="I196">
        <v>2018</v>
      </c>
      <c r="J196" s="4" t="str">
        <f>HYPERLINK("http://legacy.baseballprospectus.com/fantasy/dc/index.php?tm=ATL","ATL")</f>
        <v>ATL</v>
      </c>
      <c r="K196" t="s">
        <v>100</v>
      </c>
      <c r="L196" t="s">
        <v>34</v>
      </c>
      <c r="M196">
        <v>24</v>
      </c>
      <c r="N196">
        <v>2.8</v>
      </c>
      <c r="O196">
        <v>2.4</v>
      </c>
      <c r="P196">
        <v>0</v>
      </c>
      <c r="Q196">
        <v>0</v>
      </c>
      <c r="R196">
        <v>1</v>
      </c>
      <c r="S196">
        <v>1</v>
      </c>
      <c r="T196">
        <v>52</v>
      </c>
      <c r="U196">
        <v>0</v>
      </c>
      <c r="V196" s="9">
        <v>54.666699999999999</v>
      </c>
      <c r="W196">
        <v>231</v>
      </c>
      <c r="X196">
        <v>46</v>
      </c>
      <c r="Y196">
        <v>7</v>
      </c>
      <c r="Z196">
        <v>23</v>
      </c>
      <c r="AA196">
        <v>1</v>
      </c>
      <c r="AB196">
        <v>1</v>
      </c>
      <c r="AC196">
        <v>72</v>
      </c>
      <c r="AD196">
        <v>3.8</v>
      </c>
      <c r="AE196">
        <v>11.8</v>
      </c>
      <c r="AF196" s="5">
        <v>0.41399999999999998</v>
      </c>
      <c r="AG196">
        <v>0.30499999999999999</v>
      </c>
      <c r="AH196">
        <v>1.28</v>
      </c>
      <c r="AI196">
        <v>3.37</v>
      </c>
      <c r="AJ196">
        <v>3.89</v>
      </c>
      <c r="AK196">
        <v>6.3</v>
      </c>
      <c r="AL196">
        <v>0.7</v>
      </c>
      <c r="AM196">
        <v>19</v>
      </c>
      <c r="AN196">
        <v>31</v>
      </c>
      <c r="AO196">
        <v>12</v>
      </c>
      <c r="AP196">
        <v>22</v>
      </c>
      <c r="AQ196" t="s">
        <v>2691</v>
      </c>
      <c r="AR196">
        <v>57</v>
      </c>
      <c r="AS196" t="s">
        <v>35</v>
      </c>
      <c r="AT196" t="s">
        <v>35</v>
      </c>
      <c r="AU196" s="4">
        <f>HYPERLINK("http://mlb.mlb.com/team/player.jsp?player_id=621345",621345)</f>
        <v>621345</v>
      </c>
      <c r="AV196">
        <v>1333</v>
      </c>
      <c r="AW196">
        <v>333</v>
      </c>
      <c r="AX196">
        <v>15</v>
      </c>
    </row>
    <row r="197" spans="1:50" x14ac:dyDescent="0.3">
      <c r="A197" s="4">
        <f>HYPERLINK("http://legacy.baseballprospectus.com/p/1449",1449)</f>
        <v>1449</v>
      </c>
      <c r="B197" t="s">
        <v>921</v>
      </c>
      <c r="C197" t="s">
        <v>501</v>
      </c>
      <c r="D197" s="10">
        <v>28202</v>
      </c>
      <c r="E197" t="s">
        <v>33</v>
      </c>
      <c r="F197" t="s">
        <v>33</v>
      </c>
      <c r="G197">
        <v>71</v>
      </c>
      <c r="H197">
        <v>230</v>
      </c>
      <c r="I197">
        <v>2018</v>
      </c>
      <c r="J197" s="4" t="str">
        <f>HYPERLINK("http://legacy.baseballprospectus.com/fantasy/dc/index.php?tm=MIN","MIN")</f>
        <v>MIN</v>
      </c>
      <c r="K197" t="s">
        <v>95</v>
      </c>
      <c r="L197" t="s">
        <v>34</v>
      </c>
      <c r="M197">
        <v>41</v>
      </c>
      <c r="N197">
        <v>2.7</v>
      </c>
      <c r="O197">
        <v>2.8</v>
      </c>
      <c r="P197">
        <v>0</v>
      </c>
      <c r="Q197">
        <v>0</v>
      </c>
      <c r="R197">
        <v>35</v>
      </c>
      <c r="S197">
        <v>4</v>
      </c>
      <c r="T197">
        <v>55</v>
      </c>
      <c r="U197">
        <v>0</v>
      </c>
      <c r="V197" s="9">
        <v>58.333300000000001</v>
      </c>
      <c r="W197">
        <v>263</v>
      </c>
      <c r="X197">
        <v>57</v>
      </c>
      <c r="Y197">
        <v>6</v>
      </c>
      <c r="Z197">
        <v>30</v>
      </c>
      <c r="AA197">
        <v>3</v>
      </c>
      <c r="AB197">
        <v>3</v>
      </c>
      <c r="AC197">
        <v>54</v>
      </c>
      <c r="AD197">
        <v>4.7</v>
      </c>
      <c r="AE197">
        <v>8.4</v>
      </c>
      <c r="AF197" s="5">
        <v>0.51</v>
      </c>
      <c r="AG197">
        <v>0.30099999999999999</v>
      </c>
      <c r="AH197">
        <v>1.51</v>
      </c>
      <c r="AI197">
        <v>4.16</v>
      </c>
      <c r="AJ197">
        <v>4.3600000000000003</v>
      </c>
      <c r="AK197">
        <v>5.4</v>
      </c>
      <c r="AL197">
        <v>0.6</v>
      </c>
      <c r="AM197">
        <v>16</v>
      </c>
      <c r="AN197">
        <v>38</v>
      </c>
      <c r="AO197">
        <v>20</v>
      </c>
      <c r="AP197">
        <v>10</v>
      </c>
      <c r="AQ197" t="s">
        <v>2486</v>
      </c>
      <c r="AR197">
        <v>64</v>
      </c>
      <c r="AS197" t="s">
        <v>35</v>
      </c>
      <c r="AT197" t="s">
        <v>36</v>
      </c>
      <c r="AU197" s="4">
        <f>HYPERLINK("http://mlb.mlb.com/team/player.jsp?player_id=407845",407845)</f>
        <v>407845</v>
      </c>
      <c r="AV197">
        <v>275</v>
      </c>
      <c r="AW197">
        <v>1275</v>
      </c>
      <c r="AX197">
        <v>55.3</v>
      </c>
    </row>
    <row r="198" spans="1:50" x14ac:dyDescent="0.3">
      <c r="A198" s="4">
        <f>HYPERLINK("http://legacy.baseballprospectus.com/p/50118",50118)</f>
        <v>50118</v>
      </c>
      <c r="B198" t="s">
        <v>870</v>
      </c>
      <c r="C198" t="s">
        <v>487</v>
      </c>
      <c r="D198" s="10">
        <v>32119</v>
      </c>
      <c r="E198" t="s">
        <v>33</v>
      </c>
      <c r="F198" t="s">
        <v>33</v>
      </c>
      <c r="G198">
        <v>78</v>
      </c>
      <c r="H198">
        <v>240</v>
      </c>
      <c r="I198">
        <v>2018</v>
      </c>
      <c r="J198" s="4" t="str">
        <f>HYPERLINK("http://legacy.baseballprospectus.com/fantasy/dc/index.php?tm=CLE","CLE")</f>
        <v>CLE</v>
      </c>
      <c r="K198" t="s">
        <v>95</v>
      </c>
      <c r="L198" t="s">
        <v>34</v>
      </c>
      <c r="M198">
        <v>30</v>
      </c>
      <c r="N198">
        <v>2.2999999999999998</v>
      </c>
      <c r="O198">
        <v>1.9</v>
      </c>
      <c r="P198">
        <v>0</v>
      </c>
      <c r="Q198">
        <v>0</v>
      </c>
      <c r="R198">
        <v>0</v>
      </c>
      <c r="S198">
        <v>0</v>
      </c>
      <c r="T198">
        <v>42</v>
      </c>
      <c r="U198">
        <v>0</v>
      </c>
      <c r="V198" s="9">
        <v>44</v>
      </c>
      <c r="W198">
        <v>188</v>
      </c>
      <c r="X198">
        <v>40</v>
      </c>
      <c r="Y198">
        <v>5</v>
      </c>
      <c r="Z198">
        <v>19</v>
      </c>
      <c r="AA198">
        <v>2</v>
      </c>
      <c r="AB198">
        <v>2</v>
      </c>
      <c r="AC198">
        <v>48</v>
      </c>
      <c r="AD198">
        <v>3.8</v>
      </c>
      <c r="AE198">
        <v>9.8000000000000007</v>
      </c>
      <c r="AF198" s="5">
        <v>0.40400000000000003</v>
      </c>
      <c r="AG198">
        <v>0.29799999999999999</v>
      </c>
      <c r="AH198">
        <v>1.33</v>
      </c>
      <c r="AI198">
        <v>3.62</v>
      </c>
      <c r="AJ198">
        <v>4.13</v>
      </c>
      <c r="AK198">
        <v>5.0999999999999996</v>
      </c>
      <c r="AL198">
        <v>0.6</v>
      </c>
      <c r="AM198">
        <v>14</v>
      </c>
      <c r="AN198">
        <v>44</v>
      </c>
      <c r="AO198">
        <v>28</v>
      </c>
      <c r="AP198">
        <v>9</v>
      </c>
      <c r="AQ198" t="s">
        <v>2488</v>
      </c>
      <c r="AR198">
        <v>90</v>
      </c>
      <c r="AS198" t="s">
        <v>35</v>
      </c>
      <c r="AT198" t="s">
        <v>36</v>
      </c>
      <c r="AU198" s="4">
        <f>HYPERLINK("http://mlb.mlb.com/team/player.jsp?player_id=502083",502083)</f>
        <v>502083</v>
      </c>
      <c r="AV198">
        <v>254</v>
      </c>
      <c r="AW198">
        <v>1254</v>
      </c>
      <c r="AX198">
        <v>62</v>
      </c>
    </row>
    <row r="199" spans="1:50" x14ac:dyDescent="0.3">
      <c r="A199" s="4">
        <f>HYPERLINK("http://legacy.baseballprospectus.com/p/50866",50866)</f>
        <v>50866</v>
      </c>
      <c r="B199" t="s">
        <v>703</v>
      </c>
      <c r="C199" t="s">
        <v>304</v>
      </c>
      <c r="D199" s="10">
        <v>32708</v>
      </c>
      <c r="E199" t="s">
        <v>9</v>
      </c>
      <c r="F199" t="s">
        <v>9</v>
      </c>
      <c r="G199">
        <v>74</v>
      </c>
      <c r="H199">
        <v>225</v>
      </c>
      <c r="I199">
        <v>2018</v>
      </c>
      <c r="J199" s="4" t="str">
        <f>HYPERLINK("http://legacy.baseballprospectus.com/fantasy/dc/index.php?tm=CHA","CHA")</f>
        <v>CHA</v>
      </c>
      <c r="K199" t="s">
        <v>95</v>
      </c>
      <c r="L199" t="s">
        <v>34</v>
      </c>
      <c r="M199">
        <v>28</v>
      </c>
      <c r="N199">
        <v>2.4</v>
      </c>
      <c r="O199">
        <v>2.6</v>
      </c>
      <c r="P199">
        <v>0</v>
      </c>
      <c r="Q199">
        <v>0</v>
      </c>
      <c r="R199">
        <v>0</v>
      </c>
      <c r="S199">
        <v>1</v>
      </c>
      <c r="T199">
        <v>49</v>
      </c>
      <c r="U199">
        <v>0</v>
      </c>
      <c r="V199" s="9">
        <v>52.333300000000001</v>
      </c>
      <c r="W199">
        <v>226</v>
      </c>
      <c r="X199">
        <v>46</v>
      </c>
      <c r="Y199">
        <v>5</v>
      </c>
      <c r="Z199">
        <v>25</v>
      </c>
      <c r="AA199">
        <v>3</v>
      </c>
      <c r="AB199">
        <v>3</v>
      </c>
      <c r="AC199">
        <v>54</v>
      </c>
      <c r="AD199">
        <v>4.3</v>
      </c>
      <c r="AE199">
        <v>9.3000000000000007</v>
      </c>
      <c r="AF199" s="5">
        <v>0.49299999999999999</v>
      </c>
      <c r="AG199">
        <v>0.29099999999999998</v>
      </c>
      <c r="AH199">
        <v>1.35</v>
      </c>
      <c r="AI199">
        <v>3.91</v>
      </c>
      <c r="AJ199">
        <v>4.17</v>
      </c>
      <c r="AK199">
        <v>5.8</v>
      </c>
      <c r="AL199">
        <v>0.6</v>
      </c>
      <c r="AM199">
        <v>22</v>
      </c>
      <c r="AN199">
        <v>43</v>
      </c>
      <c r="AO199">
        <v>26</v>
      </c>
      <c r="AP199">
        <v>18</v>
      </c>
      <c r="AQ199" t="s">
        <v>2489</v>
      </c>
      <c r="AR199">
        <v>92</v>
      </c>
      <c r="AS199" t="s">
        <v>35</v>
      </c>
      <c r="AT199" t="s">
        <v>36</v>
      </c>
      <c r="AU199" s="4">
        <f>HYPERLINK("http://mlb.mlb.com/team/player.jsp?player_id=501593",501593)</f>
        <v>501593</v>
      </c>
      <c r="AV199">
        <v>288</v>
      </c>
      <c r="AW199">
        <v>1288</v>
      </c>
      <c r="AX199">
        <v>46</v>
      </c>
    </row>
    <row r="200" spans="1:50" x14ac:dyDescent="0.3">
      <c r="A200" s="4">
        <f>HYPERLINK("http://legacy.baseballprospectus.com/p/50878",50878)</f>
        <v>50878</v>
      </c>
      <c r="B200" t="s">
        <v>120</v>
      </c>
      <c r="C200" t="s">
        <v>119</v>
      </c>
      <c r="D200" s="10">
        <v>32634</v>
      </c>
      <c r="E200" t="s">
        <v>9</v>
      </c>
      <c r="F200" t="s">
        <v>9</v>
      </c>
      <c r="G200">
        <v>71</v>
      </c>
      <c r="H200">
        <v>190</v>
      </c>
      <c r="I200">
        <v>2018</v>
      </c>
      <c r="J200" s="4" t="str">
        <f>HYPERLINK("http://legacy.baseballprospectus.com/fantasy/dc/index.php?tm=ANA","ANA")</f>
        <v>ANA</v>
      </c>
      <c r="K200" t="s">
        <v>95</v>
      </c>
      <c r="L200" t="s">
        <v>34</v>
      </c>
      <c r="M200">
        <v>29</v>
      </c>
      <c r="N200">
        <v>3.2</v>
      </c>
      <c r="O200">
        <v>3.3</v>
      </c>
      <c r="P200">
        <v>0</v>
      </c>
      <c r="Q200">
        <v>0</v>
      </c>
      <c r="R200">
        <v>0</v>
      </c>
      <c r="S200">
        <v>2</v>
      </c>
      <c r="T200">
        <v>65</v>
      </c>
      <c r="U200">
        <v>0</v>
      </c>
      <c r="V200" s="9">
        <v>69</v>
      </c>
      <c r="W200">
        <v>297</v>
      </c>
      <c r="X200">
        <v>65</v>
      </c>
      <c r="Y200">
        <v>9</v>
      </c>
      <c r="Z200">
        <v>28</v>
      </c>
      <c r="AA200">
        <v>4</v>
      </c>
      <c r="AB200">
        <v>2</v>
      </c>
      <c r="AC200">
        <v>62</v>
      </c>
      <c r="AD200">
        <v>3.6</v>
      </c>
      <c r="AE200">
        <v>8.1</v>
      </c>
      <c r="AF200" s="5">
        <v>0.44500000000000001</v>
      </c>
      <c r="AG200">
        <v>0.28999999999999998</v>
      </c>
      <c r="AH200">
        <v>1.35</v>
      </c>
      <c r="AI200">
        <v>4.25</v>
      </c>
      <c r="AJ200">
        <v>4.5</v>
      </c>
      <c r="AK200">
        <v>5.4</v>
      </c>
      <c r="AL200">
        <v>0.6</v>
      </c>
      <c r="AM200">
        <v>35</v>
      </c>
      <c r="AN200">
        <v>59</v>
      </c>
      <c r="AO200">
        <v>16</v>
      </c>
      <c r="AP200">
        <v>16</v>
      </c>
      <c r="AQ200" t="s">
        <v>2490</v>
      </c>
      <c r="AR200">
        <v>92</v>
      </c>
      <c r="AS200" t="s">
        <v>35</v>
      </c>
      <c r="AT200" t="s">
        <v>36</v>
      </c>
      <c r="AU200" s="4">
        <f>HYPERLINK("http://mlb.mlb.com/team/player.jsp?player_id=501625",501625)</f>
        <v>501625</v>
      </c>
      <c r="AV200">
        <v>286</v>
      </c>
      <c r="AW200">
        <v>1286</v>
      </c>
      <c r="AX200">
        <v>48.7</v>
      </c>
    </row>
    <row r="201" spans="1:50" x14ac:dyDescent="0.3">
      <c r="A201" s="4">
        <f>HYPERLINK("http://legacy.baseballprospectus.com/p/51032",51032)</f>
        <v>51032</v>
      </c>
      <c r="B201" t="s">
        <v>410</v>
      </c>
      <c r="C201" t="s">
        <v>515</v>
      </c>
      <c r="D201" s="10">
        <v>30922</v>
      </c>
      <c r="E201" t="s">
        <v>33</v>
      </c>
      <c r="F201" t="s">
        <v>33</v>
      </c>
      <c r="G201">
        <v>76</v>
      </c>
      <c r="H201">
        <v>250</v>
      </c>
      <c r="I201">
        <v>2018</v>
      </c>
      <c r="J201" s="4" t="str">
        <f>HYPERLINK("http://legacy.baseballprospectus.com/fantasy/dc/index.php?tm=HOU","HOU")</f>
        <v>HOU</v>
      </c>
      <c r="K201" t="s">
        <v>95</v>
      </c>
      <c r="L201" t="s">
        <v>34</v>
      </c>
      <c r="M201">
        <v>33</v>
      </c>
      <c r="N201">
        <v>2.4</v>
      </c>
      <c r="O201">
        <v>2.1</v>
      </c>
      <c r="P201">
        <v>0</v>
      </c>
      <c r="Q201">
        <v>0</v>
      </c>
      <c r="R201">
        <v>3</v>
      </c>
      <c r="S201">
        <v>3</v>
      </c>
      <c r="T201">
        <v>46</v>
      </c>
      <c r="U201">
        <v>0</v>
      </c>
      <c r="V201" s="9">
        <v>48.333300000000001</v>
      </c>
      <c r="W201">
        <v>203</v>
      </c>
      <c r="X201">
        <v>43</v>
      </c>
      <c r="Y201">
        <v>6</v>
      </c>
      <c r="Z201">
        <v>17</v>
      </c>
      <c r="AA201">
        <v>1</v>
      </c>
      <c r="AB201">
        <v>2</v>
      </c>
      <c r="AC201">
        <v>49</v>
      </c>
      <c r="AD201">
        <v>3.2</v>
      </c>
      <c r="AE201">
        <v>9.1999999999999993</v>
      </c>
      <c r="AF201" s="5">
        <v>0.501</v>
      </c>
      <c r="AG201">
        <v>0.28799999999999998</v>
      </c>
      <c r="AH201">
        <v>1.24</v>
      </c>
      <c r="AI201">
        <v>3.66</v>
      </c>
      <c r="AJ201">
        <v>4.07</v>
      </c>
      <c r="AK201">
        <v>5.9</v>
      </c>
      <c r="AL201">
        <v>0.6</v>
      </c>
      <c r="AM201">
        <v>19</v>
      </c>
      <c r="AN201">
        <v>39</v>
      </c>
      <c r="AO201">
        <v>34</v>
      </c>
      <c r="AP201">
        <v>11</v>
      </c>
      <c r="AQ201" t="s">
        <v>2450</v>
      </c>
      <c r="AR201">
        <v>89</v>
      </c>
      <c r="AS201" t="s">
        <v>35</v>
      </c>
      <c r="AT201" t="s">
        <v>36</v>
      </c>
      <c r="AU201" s="4">
        <f>HYPERLINK("http://mlb.mlb.com/team/player.jsp?player_id=501789",501789)</f>
        <v>501789</v>
      </c>
      <c r="AV201">
        <v>290</v>
      </c>
      <c r="AW201">
        <v>1290</v>
      </c>
      <c r="AX201">
        <v>45.3</v>
      </c>
    </row>
    <row r="202" spans="1:50" x14ac:dyDescent="0.3">
      <c r="A202" s="4">
        <f>HYPERLINK("http://legacy.baseballprospectus.com/p/51434",51434)</f>
        <v>51434</v>
      </c>
      <c r="B202" t="s">
        <v>899</v>
      </c>
      <c r="C202" t="s">
        <v>313</v>
      </c>
      <c r="D202" s="10">
        <v>31373</v>
      </c>
      <c r="E202" t="s">
        <v>37</v>
      </c>
      <c r="F202" t="s">
        <v>33</v>
      </c>
      <c r="G202">
        <v>77</v>
      </c>
      <c r="H202">
        <v>220</v>
      </c>
      <c r="I202">
        <v>2018</v>
      </c>
      <c r="J202" s="4" t="str">
        <f>HYPERLINK("http://legacy.baseballprospectus.com/fantasy/dc/index.php?tm=COL","COL")</f>
        <v>COL</v>
      </c>
      <c r="K202" t="s">
        <v>100</v>
      </c>
      <c r="L202" t="s">
        <v>34</v>
      </c>
      <c r="M202">
        <v>32</v>
      </c>
      <c r="N202">
        <v>2.7</v>
      </c>
      <c r="O202">
        <v>2.6</v>
      </c>
      <c r="P202">
        <v>0</v>
      </c>
      <c r="Q202">
        <v>0</v>
      </c>
      <c r="R202">
        <v>5</v>
      </c>
      <c r="S202">
        <v>4</v>
      </c>
      <c r="T202">
        <v>52</v>
      </c>
      <c r="U202">
        <v>0</v>
      </c>
      <c r="V202" s="9">
        <v>55.333300000000001</v>
      </c>
      <c r="W202">
        <v>242</v>
      </c>
      <c r="X202">
        <v>50</v>
      </c>
      <c r="Y202">
        <v>6</v>
      </c>
      <c r="Z202">
        <v>27</v>
      </c>
      <c r="AA202">
        <v>2</v>
      </c>
      <c r="AB202">
        <v>3</v>
      </c>
      <c r="AC202">
        <v>63</v>
      </c>
      <c r="AD202">
        <v>4.4000000000000004</v>
      </c>
      <c r="AE202">
        <v>10.3</v>
      </c>
      <c r="AF202" s="5">
        <v>0.46899999999999997</v>
      </c>
      <c r="AG202">
        <v>0.30599999999999999</v>
      </c>
      <c r="AH202">
        <v>1.41</v>
      </c>
      <c r="AI202">
        <v>3.92</v>
      </c>
      <c r="AJ202">
        <v>4.0999999999999996</v>
      </c>
      <c r="AK202">
        <v>5.0999999999999996</v>
      </c>
      <c r="AL202">
        <v>0.6</v>
      </c>
      <c r="AM202">
        <v>17</v>
      </c>
      <c r="AN202">
        <v>42</v>
      </c>
      <c r="AO202">
        <v>21</v>
      </c>
      <c r="AP202">
        <v>8</v>
      </c>
      <c r="AQ202" t="s">
        <v>2836</v>
      </c>
      <c r="AR202">
        <v>93</v>
      </c>
      <c r="AS202" t="s">
        <v>35</v>
      </c>
      <c r="AT202" t="s">
        <v>36</v>
      </c>
      <c r="AU202" s="4">
        <f>HYPERLINK("http://mlb.mlb.com/team/player.jsp?player_id=493603",493603)</f>
        <v>493603</v>
      </c>
      <c r="AV202">
        <v>1289</v>
      </c>
      <c r="AW202">
        <v>289</v>
      </c>
      <c r="AX202">
        <v>53.3</v>
      </c>
    </row>
    <row r="203" spans="1:50" x14ac:dyDescent="0.3">
      <c r="A203" s="4">
        <f>HYPERLINK("http://legacy.baseballprospectus.com/p/52231",52231)</f>
        <v>52231</v>
      </c>
      <c r="B203" t="s">
        <v>878</v>
      </c>
      <c r="C203" t="s">
        <v>227</v>
      </c>
      <c r="D203" s="10">
        <v>31134</v>
      </c>
      <c r="E203" t="s">
        <v>33</v>
      </c>
      <c r="F203" t="s">
        <v>33</v>
      </c>
      <c r="G203">
        <v>74</v>
      </c>
      <c r="H203">
        <v>210</v>
      </c>
      <c r="I203">
        <v>2018</v>
      </c>
      <c r="J203" s="4" t="str">
        <f>HYPERLINK("http://legacy.baseballprospectus.com/fantasy/dc/index.php?tm=SFN","SFN")</f>
        <v>SFN</v>
      </c>
      <c r="K203" t="s">
        <v>100</v>
      </c>
      <c r="L203" t="s">
        <v>34</v>
      </c>
      <c r="M203">
        <v>33</v>
      </c>
      <c r="N203">
        <v>3.2</v>
      </c>
      <c r="O203">
        <v>2.7</v>
      </c>
      <c r="P203">
        <v>0</v>
      </c>
      <c r="Q203">
        <v>0</v>
      </c>
      <c r="R203">
        <v>33</v>
      </c>
      <c r="S203">
        <v>5</v>
      </c>
      <c r="T203">
        <v>59</v>
      </c>
      <c r="U203">
        <v>0</v>
      </c>
      <c r="V203" s="9">
        <v>62.666699999999999</v>
      </c>
      <c r="W203">
        <v>263</v>
      </c>
      <c r="X203">
        <v>57</v>
      </c>
      <c r="Y203">
        <v>5</v>
      </c>
      <c r="Z203">
        <v>20</v>
      </c>
      <c r="AA203">
        <v>1</v>
      </c>
      <c r="AB203">
        <v>3</v>
      </c>
      <c r="AC203">
        <v>54</v>
      </c>
      <c r="AD203">
        <v>2.9</v>
      </c>
      <c r="AE203">
        <v>7.8</v>
      </c>
      <c r="AF203" s="5">
        <v>0.51200000000000001</v>
      </c>
      <c r="AG203">
        <v>0.29199999999999998</v>
      </c>
      <c r="AH203">
        <v>1.24</v>
      </c>
      <c r="AI203">
        <v>3.34</v>
      </c>
      <c r="AJ203">
        <v>4.09</v>
      </c>
      <c r="AK203">
        <v>5.9</v>
      </c>
      <c r="AL203">
        <v>0.6</v>
      </c>
      <c r="AM203">
        <v>22</v>
      </c>
      <c r="AN203">
        <v>45</v>
      </c>
      <c r="AO203">
        <v>32</v>
      </c>
      <c r="AP203">
        <v>10</v>
      </c>
      <c r="AQ203" t="s">
        <v>2451</v>
      </c>
      <c r="AR203">
        <v>93</v>
      </c>
      <c r="AS203" t="s">
        <v>35</v>
      </c>
      <c r="AT203" t="s">
        <v>36</v>
      </c>
      <c r="AU203" s="4">
        <f>HYPERLINK("http://mlb.mlb.com/team/player.jsp?player_id=453343",453343)</f>
        <v>453343</v>
      </c>
      <c r="AV203">
        <v>1314</v>
      </c>
      <c r="AW203">
        <v>314</v>
      </c>
      <c r="AX203">
        <v>30</v>
      </c>
    </row>
    <row r="204" spans="1:50" x14ac:dyDescent="0.3">
      <c r="A204" s="4">
        <f>HYPERLINK("http://legacy.baseballprospectus.com/p/55695",55695)</f>
        <v>55695</v>
      </c>
      <c r="B204" t="s">
        <v>749</v>
      </c>
      <c r="C204" t="s">
        <v>200</v>
      </c>
      <c r="D204" s="10">
        <v>31595</v>
      </c>
      <c r="E204" t="s">
        <v>33</v>
      </c>
      <c r="F204" t="s">
        <v>9</v>
      </c>
      <c r="G204">
        <v>75</v>
      </c>
      <c r="H204">
        <v>235</v>
      </c>
      <c r="I204">
        <v>2018</v>
      </c>
      <c r="J204" s="4" t="str">
        <f>HYPERLINK("http://legacy.baseballprospectus.com/fantasy/dc/index.php?tm=SLN","SLN")</f>
        <v>SLN</v>
      </c>
      <c r="K204" t="s">
        <v>100</v>
      </c>
      <c r="L204" t="s">
        <v>34</v>
      </c>
      <c r="M204">
        <v>31</v>
      </c>
      <c r="N204">
        <v>3.1</v>
      </c>
      <c r="O204">
        <v>2.8</v>
      </c>
      <c r="P204">
        <v>0</v>
      </c>
      <c r="Q204">
        <v>0</v>
      </c>
      <c r="R204">
        <v>3</v>
      </c>
      <c r="S204">
        <v>4</v>
      </c>
      <c r="T204">
        <v>58</v>
      </c>
      <c r="U204">
        <v>0</v>
      </c>
      <c r="V204" s="9">
        <v>61.666699999999999</v>
      </c>
      <c r="W204">
        <v>268</v>
      </c>
      <c r="X204">
        <v>59</v>
      </c>
      <c r="Y204">
        <v>8</v>
      </c>
      <c r="Z204">
        <v>24</v>
      </c>
      <c r="AA204">
        <v>3</v>
      </c>
      <c r="AB204">
        <v>2</v>
      </c>
      <c r="AC204">
        <v>64</v>
      </c>
      <c r="AD204">
        <v>3.5</v>
      </c>
      <c r="AE204">
        <v>9.4</v>
      </c>
      <c r="AF204" s="5">
        <v>0.46300000000000002</v>
      </c>
      <c r="AG204">
        <v>0.30399999999999999</v>
      </c>
      <c r="AH204">
        <v>1.36</v>
      </c>
      <c r="AI204">
        <v>3.94</v>
      </c>
      <c r="AJ204">
        <v>4.17</v>
      </c>
      <c r="AK204">
        <v>5.3</v>
      </c>
      <c r="AL204">
        <v>0.6</v>
      </c>
      <c r="AM204">
        <v>28</v>
      </c>
      <c r="AN204">
        <v>44</v>
      </c>
      <c r="AO204">
        <v>27</v>
      </c>
      <c r="AP204">
        <v>11</v>
      </c>
      <c r="AQ204" t="s">
        <v>2493</v>
      </c>
      <c r="AR204">
        <v>90</v>
      </c>
      <c r="AS204" t="s">
        <v>35</v>
      </c>
      <c r="AT204" t="s">
        <v>36</v>
      </c>
      <c r="AU204" s="4">
        <f>HYPERLINK("http://mlb.mlb.com/team/player.jsp?player_id=446399",446399)</f>
        <v>446399</v>
      </c>
      <c r="AV204">
        <v>1251</v>
      </c>
      <c r="AW204">
        <v>251</v>
      </c>
      <c r="AX204">
        <v>67.3</v>
      </c>
    </row>
    <row r="205" spans="1:50" x14ac:dyDescent="0.3">
      <c r="A205" s="4">
        <f>HYPERLINK("http://legacy.baseballprospectus.com/p/58318",58318)</f>
        <v>58318</v>
      </c>
      <c r="B205" t="s">
        <v>443</v>
      </c>
      <c r="C205" t="s">
        <v>449</v>
      </c>
      <c r="D205" s="10">
        <v>31884</v>
      </c>
      <c r="E205" t="s">
        <v>9</v>
      </c>
      <c r="F205" t="s">
        <v>9</v>
      </c>
      <c r="G205">
        <v>75</v>
      </c>
      <c r="H205">
        <v>210</v>
      </c>
      <c r="I205">
        <v>2018</v>
      </c>
      <c r="J205" s="4" t="str">
        <f>HYPERLINK("http://legacy.baseballprospectus.com/fantasy/dc/index.php?tm=TBA","TBA")</f>
        <v>TBA</v>
      </c>
      <c r="K205" t="s">
        <v>95</v>
      </c>
      <c r="L205" t="s">
        <v>34</v>
      </c>
      <c r="M205">
        <v>31</v>
      </c>
      <c r="N205">
        <v>3.2</v>
      </c>
      <c r="O205">
        <v>2.8</v>
      </c>
      <c r="P205">
        <v>0</v>
      </c>
      <c r="Q205">
        <v>0</v>
      </c>
      <c r="R205">
        <v>3</v>
      </c>
      <c r="S205">
        <v>4</v>
      </c>
      <c r="T205">
        <v>59</v>
      </c>
      <c r="U205">
        <v>0</v>
      </c>
      <c r="V205" s="9">
        <v>62.333300000000001</v>
      </c>
      <c r="W205">
        <v>273</v>
      </c>
      <c r="X205">
        <v>59</v>
      </c>
      <c r="Y205">
        <v>5</v>
      </c>
      <c r="Z205">
        <v>30</v>
      </c>
      <c r="AA205">
        <v>4</v>
      </c>
      <c r="AB205">
        <v>3</v>
      </c>
      <c r="AC205">
        <v>55</v>
      </c>
      <c r="AD205">
        <v>4.4000000000000004</v>
      </c>
      <c r="AE205">
        <v>7.9</v>
      </c>
      <c r="AF205" s="5">
        <v>0.55200000000000005</v>
      </c>
      <c r="AG205">
        <v>0.29599999999999999</v>
      </c>
      <c r="AH205">
        <v>1.43</v>
      </c>
      <c r="AI205">
        <v>3.9</v>
      </c>
      <c r="AJ205">
        <v>4.4400000000000004</v>
      </c>
      <c r="AK205">
        <v>5.2</v>
      </c>
      <c r="AL205">
        <v>0.6</v>
      </c>
      <c r="AM205">
        <v>29</v>
      </c>
      <c r="AN205">
        <v>45</v>
      </c>
      <c r="AO205">
        <v>26</v>
      </c>
      <c r="AP205">
        <v>16</v>
      </c>
      <c r="AQ205" t="s">
        <v>2498</v>
      </c>
      <c r="AR205">
        <v>88</v>
      </c>
      <c r="AS205" t="s">
        <v>35</v>
      </c>
      <c r="AT205" t="s">
        <v>36</v>
      </c>
      <c r="AU205" s="4">
        <f>HYPERLINK("http://mlb.mlb.com/team/player.jsp?player_id=543359",543359)</f>
        <v>543359</v>
      </c>
      <c r="AV205">
        <v>250</v>
      </c>
      <c r="AW205">
        <v>1250</v>
      </c>
      <c r="AX205">
        <v>62.7</v>
      </c>
    </row>
    <row r="206" spans="1:50" x14ac:dyDescent="0.3">
      <c r="A206" s="4">
        <f>HYPERLINK("http://legacy.baseballprospectus.com/p/58453",58453)</f>
        <v>58453</v>
      </c>
      <c r="B206" t="s">
        <v>881</v>
      </c>
      <c r="C206" t="s">
        <v>363</v>
      </c>
      <c r="D206" s="10">
        <v>31729</v>
      </c>
      <c r="E206" t="s">
        <v>9</v>
      </c>
      <c r="F206" t="s">
        <v>9</v>
      </c>
      <c r="G206">
        <v>72</v>
      </c>
      <c r="H206">
        <v>220</v>
      </c>
      <c r="I206">
        <v>2018</v>
      </c>
      <c r="J206" s="4" t="str">
        <f>HYPERLINK("http://legacy.baseballprospectus.com/fantasy/dc/index.php?tm=MIL","MIL")</f>
        <v>MIL</v>
      </c>
      <c r="K206" t="s">
        <v>100</v>
      </c>
      <c r="L206" t="s">
        <v>34</v>
      </c>
      <c r="M206">
        <v>31</v>
      </c>
      <c r="N206">
        <v>5.3</v>
      </c>
      <c r="O206">
        <v>5.2</v>
      </c>
      <c r="P206">
        <v>8</v>
      </c>
      <c r="Q206">
        <v>0</v>
      </c>
      <c r="R206">
        <v>0</v>
      </c>
      <c r="S206">
        <v>0</v>
      </c>
      <c r="T206">
        <v>16</v>
      </c>
      <c r="U206">
        <v>16</v>
      </c>
      <c r="V206" s="9">
        <v>84.666700000000006</v>
      </c>
      <c r="W206">
        <v>371</v>
      </c>
      <c r="X206">
        <v>85</v>
      </c>
      <c r="Y206">
        <v>10</v>
      </c>
      <c r="Z206">
        <v>35</v>
      </c>
      <c r="AA206">
        <v>2</v>
      </c>
      <c r="AB206">
        <v>3</v>
      </c>
      <c r="AC206">
        <v>72</v>
      </c>
      <c r="AD206">
        <v>3.8</v>
      </c>
      <c r="AE206">
        <v>7.6</v>
      </c>
      <c r="AF206" s="5">
        <v>0.48699999999999999</v>
      </c>
      <c r="AG206">
        <v>0.3</v>
      </c>
      <c r="AH206">
        <v>1.43</v>
      </c>
      <c r="AI206">
        <v>4.29</v>
      </c>
      <c r="AJ206">
        <v>4.59</v>
      </c>
      <c r="AK206">
        <v>5.9</v>
      </c>
      <c r="AL206">
        <v>0.6</v>
      </c>
      <c r="AM206">
        <v>13</v>
      </c>
      <c r="AN206">
        <v>47</v>
      </c>
      <c r="AO206">
        <v>26</v>
      </c>
      <c r="AP206">
        <v>15</v>
      </c>
      <c r="AQ206" t="s">
        <v>2426</v>
      </c>
      <c r="AR206">
        <v>94</v>
      </c>
      <c r="AS206" t="s">
        <v>35</v>
      </c>
      <c r="AT206" t="s">
        <v>36</v>
      </c>
      <c r="AU206" s="4">
        <f>HYPERLINK("http://mlb.mlb.com/team/player.jsp?player_id=489119",489119)</f>
        <v>489119</v>
      </c>
      <c r="AV206">
        <v>0</v>
      </c>
      <c r="AW206">
        <v>0</v>
      </c>
      <c r="AX206">
        <v>157.30000000000001</v>
      </c>
    </row>
    <row r="207" spans="1:50" x14ac:dyDescent="0.3">
      <c r="A207" s="4">
        <f>HYPERLINK("http://legacy.baseballprospectus.com/p/58552",58552)</f>
        <v>58552</v>
      </c>
      <c r="B207" t="s">
        <v>1186</v>
      </c>
      <c r="C207" t="s">
        <v>102</v>
      </c>
      <c r="D207" s="10">
        <v>32492</v>
      </c>
      <c r="E207" t="s">
        <v>33</v>
      </c>
      <c r="F207" t="s">
        <v>33</v>
      </c>
      <c r="G207">
        <v>75</v>
      </c>
      <c r="H207">
        <v>210</v>
      </c>
      <c r="I207">
        <v>2018</v>
      </c>
      <c r="J207" s="4" t="str">
        <f>HYPERLINK("http://legacy.baseballprospectus.com/fantasy/dc/index.php?tm=MIN","MIN")</f>
        <v>MIN</v>
      </c>
      <c r="K207" t="s">
        <v>95</v>
      </c>
      <c r="L207" t="s">
        <v>34</v>
      </c>
      <c r="M207">
        <v>29</v>
      </c>
      <c r="N207">
        <v>2.5</v>
      </c>
      <c r="O207">
        <v>2.5</v>
      </c>
      <c r="P207">
        <v>0</v>
      </c>
      <c r="Q207">
        <v>0</v>
      </c>
      <c r="R207">
        <v>0</v>
      </c>
      <c r="S207">
        <v>1</v>
      </c>
      <c r="T207">
        <v>50</v>
      </c>
      <c r="U207">
        <v>0</v>
      </c>
      <c r="V207" s="9">
        <v>53</v>
      </c>
      <c r="W207">
        <v>231</v>
      </c>
      <c r="X207">
        <v>51</v>
      </c>
      <c r="Y207">
        <v>6</v>
      </c>
      <c r="Z207">
        <v>22</v>
      </c>
      <c r="AA207">
        <v>2</v>
      </c>
      <c r="AB207">
        <v>2</v>
      </c>
      <c r="AC207">
        <v>50</v>
      </c>
      <c r="AD207">
        <v>3.8</v>
      </c>
      <c r="AE207">
        <v>8.5</v>
      </c>
      <c r="AF207" s="5">
        <v>0.45800000000000002</v>
      </c>
      <c r="AG207">
        <v>0.29699999999999999</v>
      </c>
      <c r="AH207">
        <v>1.38</v>
      </c>
      <c r="AI207">
        <v>3.94</v>
      </c>
      <c r="AJ207">
        <v>4.17</v>
      </c>
      <c r="AK207">
        <v>5.9</v>
      </c>
      <c r="AL207">
        <v>0.6</v>
      </c>
      <c r="AM207">
        <v>34</v>
      </c>
      <c r="AN207">
        <v>54</v>
      </c>
      <c r="AO207">
        <v>27</v>
      </c>
      <c r="AP207">
        <v>23</v>
      </c>
      <c r="AQ207" t="s">
        <v>2499</v>
      </c>
      <c r="AR207">
        <v>95</v>
      </c>
      <c r="AS207" t="s">
        <v>35</v>
      </c>
      <c r="AT207" t="s">
        <v>36</v>
      </c>
      <c r="AU207" s="4">
        <f>HYPERLINK("http://mlb.mlb.com/team/player.jsp?player_id=519151",519151)</f>
        <v>519151</v>
      </c>
      <c r="AV207">
        <v>256</v>
      </c>
      <c r="AW207">
        <v>1256</v>
      </c>
      <c r="AX207">
        <v>61.3</v>
      </c>
    </row>
    <row r="208" spans="1:50" x14ac:dyDescent="0.3">
      <c r="A208" s="4">
        <f>HYPERLINK("http://legacy.baseballprospectus.com/p/58933",58933)</f>
        <v>58933</v>
      </c>
      <c r="B208" t="s">
        <v>1167</v>
      </c>
      <c r="C208" t="s">
        <v>113</v>
      </c>
      <c r="D208" s="10">
        <v>33057</v>
      </c>
      <c r="E208" t="s">
        <v>33</v>
      </c>
      <c r="F208" t="s">
        <v>33</v>
      </c>
      <c r="G208">
        <v>77</v>
      </c>
      <c r="H208">
        <v>230</v>
      </c>
      <c r="I208">
        <v>2018</v>
      </c>
      <c r="J208" s="4" t="str">
        <f>HYPERLINK("http://legacy.baseballprospectus.com/fantasy/dc/index.php?tm=KCA","KCA")</f>
        <v>KCA</v>
      </c>
      <c r="K208" t="s">
        <v>95</v>
      </c>
      <c r="L208" t="s">
        <v>34</v>
      </c>
      <c r="M208">
        <v>27</v>
      </c>
      <c r="N208">
        <v>2.4</v>
      </c>
      <c r="O208">
        <v>2.8</v>
      </c>
      <c r="P208">
        <v>0</v>
      </c>
      <c r="Q208">
        <v>0</v>
      </c>
      <c r="R208">
        <v>3</v>
      </c>
      <c r="S208">
        <v>4</v>
      </c>
      <c r="T208">
        <v>54</v>
      </c>
      <c r="U208">
        <v>0</v>
      </c>
      <c r="V208" s="9">
        <v>57</v>
      </c>
      <c r="W208">
        <v>249</v>
      </c>
      <c r="X208">
        <v>56</v>
      </c>
      <c r="Y208">
        <v>6</v>
      </c>
      <c r="Z208">
        <v>23</v>
      </c>
      <c r="AA208">
        <v>2</v>
      </c>
      <c r="AB208">
        <v>2</v>
      </c>
      <c r="AC208">
        <v>53</v>
      </c>
      <c r="AD208">
        <v>3.6</v>
      </c>
      <c r="AE208">
        <v>8.4</v>
      </c>
      <c r="AF208" s="5">
        <v>0.42499999999999999</v>
      </c>
      <c r="AG208">
        <v>0.30399999999999999</v>
      </c>
      <c r="AH208">
        <v>1.4</v>
      </c>
      <c r="AI208">
        <v>4.0999999999999996</v>
      </c>
      <c r="AJ208">
        <v>4.29</v>
      </c>
      <c r="AK208">
        <v>5.6</v>
      </c>
      <c r="AL208">
        <v>0.6</v>
      </c>
      <c r="AM208">
        <v>31</v>
      </c>
      <c r="AN208">
        <v>58</v>
      </c>
      <c r="AO208">
        <v>20</v>
      </c>
      <c r="AP208">
        <v>14</v>
      </c>
      <c r="AQ208" t="s">
        <v>2457</v>
      </c>
      <c r="AR208">
        <v>96</v>
      </c>
      <c r="AS208" t="s">
        <v>35</v>
      </c>
      <c r="AT208" t="s">
        <v>36</v>
      </c>
      <c r="AU208" s="4">
        <f>HYPERLINK("http://mlb.mlb.com/team/player.jsp?player_id=543506",543506)</f>
        <v>543506</v>
      </c>
      <c r="AV208">
        <v>263</v>
      </c>
      <c r="AW208">
        <v>1263</v>
      </c>
      <c r="AX208">
        <v>59.3</v>
      </c>
    </row>
    <row r="209" spans="1:50" x14ac:dyDescent="0.3">
      <c r="A209" s="4">
        <f>HYPERLINK("http://legacy.baseballprospectus.com/p/60504",60504)</f>
        <v>60504</v>
      </c>
      <c r="B209" t="s">
        <v>591</v>
      </c>
      <c r="C209" t="s">
        <v>319</v>
      </c>
      <c r="D209" s="10">
        <v>31675</v>
      </c>
      <c r="E209" t="s">
        <v>33</v>
      </c>
      <c r="F209" t="s">
        <v>33</v>
      </c>
      <c r="G209">
        <v>70</v>
      </c>
      <c r="H209">
        <v>200</v>
      </c>
      <c r="I209">
        <v>2018</v>
      </c>
      <c r="J209" s="4" t="str">
        <f>HYPERLINK("http://legacy.baseballprospectus.com/fantasy/dc/index.php?tm=NYN","NYN")</f>
        <v>NYN</v>
      </c>
      <c r="K209" t="s">
        <v>100</v>
      </c>
      <c r="L209" t="s">
        <v>34</v>
      </c>
      <c r="M209">
        <v>31</v>
      </c>
      <c r="N209">
        <v>3</v>
      </c>
      <c r="O209">
        <v>2.7</v>
      </c>
      <c r="P209">
        <v>0</v>
      </c>
      <c r="Q209">
        <v>0</v>
      </c>
      <c r="R209">
        <v>18</v>
      </c>
      <c r="S209">
        <v>4</v>
      </c>
      <c r="T209">
        <v>57</v>
      </c>
      <c r="U209">
        <v>0</v>
      </c>
      <c r="V209" s="9">
        <v>60.666699999999999</v>
      </c>
      <c r="W209">
        <v>261</v>
      </c>
      <c r="X209">
        <v>52</v>
      </c>
      <c r="Y209">
        <v>6</v>
      </c>
      <c r="Z209">
        <v>29</v>
      </c>
      <c r="AA209">
        <v>2</v>
      </c>
      <c r="AB209">
        <v>3</v>
      </c>
      <c r="AC209">
        <v>67</v>
      </c>
      <c r="AD209">
        <v>4.4000000000000004</v>
      </c>
      <c r="AE209">
        <v>9.9</v>
      </c>
      <c r="AF209" s="5">
        <v>0.42199999999999999</v>
      </c>
      <c r="AG209">
        <v>0.28699999999999998</v>
      </c>
      <c r="AH209">
        <v>1.32</v>
      </c>
      <c r="AI209">
        <v>3.76</v>
      </c>
      <c r="AJ209">
        <v>4.07</v>
      </c>
      <c r="AK209">
        <v>5.8</v>
      </c>
      <c r="AL209">
        <v>0.6</v>
      </c>
      <c r="AM209">
        <v>23</v>
      </c>
      <c r="AN209">
        <v>38</v>
      </c>
      <c r="AO209">
        <v>34</v>
      </c>
      <c r="AP209">
        <v>14</v>
      </c>
      <c r="AQ209" t="s">
        <v>2556</v>
      </c>
      <c r="AR209">
        <v>93</v>
      </c>
      <c r="AS209" t="s">
        <v>35</v>
      </c>
      <c r="AT209" t="s">
        <v>36</v>
      </c>
      <c r="AU209" s="4">
        <f>HYPERLINK("http://mlb.mlb.com/team/player.jsp?player_id=573109",573109)</f>
        <v>573109</v>
      </c>
      <c r="AV209">
        <v>1271</v>
      </c>
      <c r="AW209">
        <v>271</v>
      </c>
      <c r="AX209">
        <v>58.7</v>
      </c>
    </row>
    <row r="210" spans="1:50" x14ac:dyDescent="0.3">
      <c r="A210" s="4">
        <f>HYPERLINK("http://legacy.baseballprospectus.com/p/60619",60619)</f>
        <v>60619</v>
      </c>
      <c r="B210" t="s">
        <v>1154</v>
      </c>
      <c r="C210" t="s">
        <v>277</v>
      </c>
      <c r="D210" s="10">
        <v>32130</v>
      </c>
      <c r="E210" t="s">
        <v>9</v>
      </c>
      <c r="F210" t="s">
        <v>9</v>
      </c>
      <c r="G210">
        <v>71</v>
      </c>
      <c r="H210">
        <v>210</v>
      </c>
      <c r="I210">
        <v>2018</v>
      </c>
      <c r="J210" s="4" t="str">
        <f>HYPERLINK("http://legacy.baseballprospectus.com/fantasy/dc/index.php?tm=TOR","TOR")</f>
        <v>TOR</v>
      </c>
      <c r="K210" t="s">
        <v>95</v>
      </c>
      <c r="L210" t="s">
        <v>34</v>
      </c>
      <c r="M210">
        <v>30</v>
      </c>
      <c r="N210">
        <v>2.6</v>
      </c>
      <c r="O210">
        <v>2.8</v>
      </c>
      <c r="P210">
        <v>0</v>
      </c>
      <c r="Q210">
        <v>0</v>
      </c>
      <c r="R210">
        <v>0</v>
      </c>
      <c r="S210">
        <v>4</v>
      </c>
      <c r="T210">
        <v>54</v>
      </c>
      <c r="U210">
        <v>0</v>
      </c>
      <c r="V210" s="9">
        <v>57.333300000000001</v>
      </c>
      <c r="W210">
        <v>251</v>
      </c>
      <c r="X210">
        <v>54</v>
      </c>
      <c r="Y210">
        <v>6</v>
      </c>
      <c r="Z210">
        <v>26</v>
      </c>
      <c r="AA210">
        <v>3</v>
      </c>
      <c r="AB210">
        <v>4</v>
      </c>
      <c r="AC210">
        <v>57</v>
      </c>
      <c r="AD210">
        <v>4</v>
      </c>
      <c r="AE210">
        <v>9</v>
      </c>
      <c r="AF210" s="5">
        <v>0.503</v>
      </c>
      <c r="AG210">
        <v>0.30399999999999999</v>
      </c>
      <c r="AH210">
        <v>1.41</v>
      </c>
      <c r="AI210">
        <v>3.97</v>
      </c>
      <c r="AJ210">
        <v>4.29</v>
      </c>
      <c r="AK210">
        <v>5.7</v>
      </c>
      <c r="AL210">
        <v>0.6</v>
      </c>
      <c r="AM210">
        <v>30</v>
      </c>
      <c r="AN210">
        <v>48</v>
      </c>
      <c r="AO210">
        <v>25</v>
      </c>
      <c r="AP210">
        <v>15</v>
      </c>
      <c r="AQ210" t="s">
        <v>2460</v>
      </c>
      <c r="AR210">
        <v>85</v>
      </c>
      <c r="AS210" t="s">
        <v>35</v>
      </c>
      <c r="AT210" t="s">
        <v>36</v>
      </c>
      <c r="AU210" s="4">
        <f>HYPERLINK("http://mlb.mlb.com/team/player.jsp?player_id=571901",571901)</f>
        <v>571901</v>
      </c>
      <c r="AV210">
        <v>267</v>
      </c>
      <c r="AW210">
        <v>1267</v>
      </c>
      <c r="AX210">
        <v>57.7</v>
      </c>
    </row>
    <row r="211" spans="1:50" x14ac:dyDescent="0.3">
      <c r="A211" s="4">
        <f>HYPERLINK("http://legacy.baseballprospectus.com/p/65895",65895)</f>
        <v>65895</v>
      </c>
      <c r="B211" t="s">
        <v>274</v>
      </c>
      <c r="C211" t="s">
        <v>552</v>
      </c>
      <c r="D211" s="10">
        <v>32664</v>
      </c>
      <c r="E211" t="s">
        <v>33</v>
      </c>
      <c r="F211" t="s">
        <v>33</v>
      </c>
      <c r="G211">
        <v>78</v>
      </c>
      <c r="H211">
        <v>250</v>
      </c>
      <c r="I211">
        <v>2018</v>
      </c>
      <c r="J211" s="4" t="str">
        <f>HYPERLINK("http://legacy.baseballprospectus.com/fantasy/dc/index.php?tm=MIL","MIL")</f>
        <v>MIL</v>
      </c>
      <c r="K211" t="s">
        <v>100</v>
      </c>
      <c r="L211" t="s">
        <v>34</v>
      </c>
      <c r="M211">
        <v>29</v>
      </c>
      <c r="N211">
        <v>2.2999999999999998</v>
      </c>
      <c r="O211">
        <v>1.8</v>
      </c>
      <c r="P211">
        <v>3</v>
      </c>
      <c r="Q211">
        <v>0</v>
      </c>
      <c r="R211">
        <v>0</v>
      </c>
      <c r="S211">
        <v>0</v>
      </c>
      <c r="T211">
        <v>6</v>
      </c>
      <c r="U211">
        <v>6</v>
      </c>
      <c r="V211" s="9">
        <v>34.333300000000001</v>
      </c>
      <c r="W211">
        <v>144</v>
      </c>
      <c r="X211">
        <v>31</v>
      </c>
      <c r="Y211">
        <v>4</v>
      </c>
      <c r="Z211">
        <v>12</v>
      </c>
      <c r="AA211">
        <v>1</v>
      </c>
      <c r="AB211">
        <v>2</v>
      </c>
      <c r="AC211">
        <v>36</v>
      </c>
      <c r="AD211">
        <v>3.1</v>
      </c>
      <c r="AE211">
        <v>9.3000000000000007</v>
      </c>
      <c r="AF211" s="5">
        <v>0.495</v>
      </c>
      <c r="AG211">
        <v>0.29599999999999999</v>
      </c>
      <c r="AH211">
        <v>1.25</v>
      </c>
      <c r="AI211">
        <v>3.58</v>
      </c>
      <c r="AJ211">
        <v>3.83</v>
      </c>
      <c r="AK211">
        <v>5.0999999999999996</v>
      </c>
      <c r="AL211">
        <v>0.6</v>
      </c>
      <c r="AM211">
        <v>26</v>
      </c>
      <c r="AN211">
        <v>46</v>
      </c>
      <c r="AO211">
        <v>27</v>
      </c>
      <c r="AP211">
        <v>18</v>
      </c>
      <c r="AQ211" t="s">
        <v>2504</v>
      </c>
      <c r="AR211">
        <v>95</v>
      </c>
      <c r="AS211" t="s">
        <v>35</v>
      </c>
      <c r="AT211" t="s">
        <v>36</v>
      </c>
      <c r="AU211" s="4">
        <f>HYPERLINK("http://mlb.mlb.com/team/player.jsp?player_id=519076",519076)</f>
        <v>519076</v>
      </c>
      <c r="AV211">
        <v>1695</v>
      </c>
      <c r="AW211">
        <v>695</v>
      </c>
      <c r="AX211">
        <v>175.3</v>
      </c>
    </row>
    <row r="212" spans="1:50" x14ac:dyDescent="0.3">
      <c r="A212" s="4">
        <f>HYPERLINK("http://legacy.baseballprospectus.com/p/66859",66859)</f>
        <v>66859</v>
      </c>
      <c r="B212" t="s">
        <v>591</v>
      </c>
      <c r="C212" t="s">
        <v>2027</v>
      </c>
      <c r="D212" s="10">
        <v>33957</v>
      </c>
      <c r="E212" t="s">
        <v>33</v>
      </c>
      <c r="F212" t="s">
        <v>33</v>
      </c>
      <c r="G212">
        <v>72</v>
      </c>
      <c r="H212">
        <v>160</v>
      </c>
      <c r="I212">
        <v>2018</v>
      </c>
      <c r="J212" s="4" t="str">
        <f>HYPERLINK("http://legacy.baseballprospectus.com/fantasy/dc/index.php?tm=PHI","PHI")</f>
        <v>PHI</v>
      </c>
      <c r="K212" t="s">
        <v>100</v>
      </c>
      <c r="L212" t="s">
        <v>34</v>
      </c>
      <c r="M212">
        <v>25</v>
      </c>
      <c r="N212">
        <v>3.2</v>
      </c>
      <c r="O212">
        <v>2.9</v>
      </c>
      <c r="P212">
        <v>0</v>
      </c>
      <c r="Q212">
        <v>0</v>
      </c>
      <c r="R212">
        <v>4</v>
      </c>
      <c r="S212">
        <v>4</v>
      </c>
      <c r="T212">
        <v>60</v>
      </c>
      <c r="U212">
        <v>0</v>
      </c>
      <c r="V212" s="9">
        <v>64</v>
      </c>
      <c r="W212">
        <v>270</v>
      </c>
      <c r="X212">
        <v>57</v>
      </c>
      <c r="Y212">
        <v>9</v>
      </c>
      <c r="Z212">
        <v>26</v>
      </c>
      <c r="AA212">
        <v>2</v>
      </c>
      <c r="AB212">
        <v>1</v>
      </c>
      <c r="AC212">
        <v>72</v>
      </c>
      <c r="AD212">
        <v>3.6</v>
      </c>
      <c r="AE212">
        <v>10.199999999999999</v>
      </c>
      <c r="AF212" s="5">
        <v>0.40300000000000002</v>
      </c>
      <c r="AG212">
        <v>0.29699999999999999</v>
      </c>
      <c r="AH212">
        <v>1.3</v>
      </c>
      <c r="AI212">
        <v>4</v>
      </c>
      <c r="AJ212">
        <v>4.1900000000000004</v>
      </c>
      <c r="AK212">
        <v>5.3</v>
      </c>
      <c r="AL212">
        <v>0.6</v>
      </c>
      <c r="AM212">
        <v>30</v>
      </c>
      <c r="AN212">
        <v>47</v>
      </c>
      <c r="AO212">
        <v>30</v>
      </c>
      <c r="AP212">
        <v>23</v>
      </c>
      <c r="AQ212" t="s">
        <v>2461</v>
      </c>
      <c r="AR212">
        <v>87</v>
      </c>
      <c r="AS212" t="s">
        <v>35</v>
      </c>
      <c r="AT212" t="s">
        <v>36</v>
      </c>
      <c r="AU212" s="4">
        <f>HYPERLINK("http://mlb.mlb.com/team/player.jsp?player_id=591693",591693)</f>
        <v>591693</v>
      </c>
      <c r="AV212">
        <v>1275</v>
      </c>
      <c r="AW212">
        <v>275</v>
      </c>
      <c r="AX212">
        <v>57.7</v>
      </c>
    </row>
    <row r="213" spans="1:50" x14ac:dyDescent="0.3">
      <c r="A213" s="4">
        <f>HYPERLINK("http://legacy.baseballprospectus.com/p/50837",50837)</f>
        <v>50837</v>
      </c>
      <c r="B213" t="s">
        <v>239</v>
      </c>
      <c r="C213" t="s">
        <v>748</v>
      </c>
      <c r="D213" s="10">
        <v>32242</v>
      </c>
      <c r="E213" t="s">
        <v>33</v>
      </c>
      <c r="F213" t="s">
        <v>33</v>
      </c>
      <c r="G213">
        <v>77</v>
      </c>
      <c r="H213">
        <v>230</v>
      </c>
      <c r="I213">
        <v>2018</v>
      </c>
      <c r="J213" s="4" t="str">
        <f>HYPERLINK("http://legacy.baseballprospectus.com/fantasy/dc/index.php?tm=OAK","OAK")</f>
        <v>OAK</v>
      </c>
      <c r="K213" t="s">
        <v>95</v>
      </c>
      <c r="L213" t="s">
        <v>34</v>
      </c>
      <c r="M213">
        <v>30</v>
      </c>
      <c r="N213">
        <v>2.9</v>
      </c>
      <c r="O213">
        <v>1.1000000000000001</v>
      </c>
      <c r="P213">
        <v>0</v>
      </c>
      <c r="Q213">
        <v>0</v>
      </c>
      <c r="R213">
        <v>0.7</v>
      </c>
      <c r="S213">
        <v>0</v>
      </c>
      <c r="T213">
        <v>57.5</v>
      </c>
      <c r="U213">
        <v>0</v>
      </c>
      <c r="V213" s="9">
        <v>61</v>
      </c>
      <c r="W213">
        <v>261</v>
      </c>
      <c r="X213">
        <v>55</v>
      </c>
      <c r="Y213">
        <v>9</v>
      </c>
      <c r="Z213">
        <v>25</v>
      </c>
      <c r="AA213" t="s">
        <v>1680</v>
      </c>
      <c r="AB213">
        <v>4</v>
      </c>
      <c r="AC213">
        <v>67</v>
      </c>
      <c r="AD213">
        <v>3.7</v>
      </c>
      <c r="AE213">
        <v>9.9</v>
      </c>
      <c r="AF213" s="5">
        <v>0.42896428704261702</v>
      </c>
      <c r="AG213">
        <v>0.29399999999999998</v>
      </c>
      <c r="AH213">
        <v>1.3</v>
      </c>
      <c r="AI213">
        <v>4.37</v>
      </c>
      <c r="AJ213">
        <v>4.53</v>
      </c>
      <c r="AK213">
        <v>5.4</v>
      </c>
      <c r="AL213">
        <v>0.6</v>
      </c>
      <c r="AM213">
        <v>12</v>
      </c>
      <c r="AN213">
        <v>22</v>
      </c>
      <c r="AO213">
        <v>12</v>
      </c>
      <c r="AP213">
        <v>18</v>
      </c>
      <c r="AQ213" t="s">
        <v>2726</v>
      </c>
      <c r="AR213">
        <v>41</v>
      </c>
      <c r="AS213" t="s">
        <v>36</v>
      </c>
      <c r="AT213" t="s">
        <v>36</v>
      </c>
      <c r="AU213" s="4">
        <f>HYPERLINK("http://mlb.mlb.com/team/player.jsp?player_id=501563",501563)</f>
        <v>501563</v>
      </c>
      <c r="AV213">
        <v>0</v>
      </c>
      <c r="AW213">
        <v>0</v>
      </c>
      <c r="AX213">
        <v>37</v>
      </c>
    </row>
    <row r="214" spans="1:50" x14ac:dyDescent="0.3">
      <c r="A214" s="4">
        <f>HYPERLINK("http://legacy.baseballprospectus.com/p/65810",65810)</f>
        <v>65810</v>
      </c>
      <c r="B214" t="s">
        <v>1481</v>
      </c>
      <c r="C214" t="s">
        <v>142</v>
      </c>
      <c r="D214" s="10">
        <v>32171</v>
      </c>
      <c r="E214" t="s">
        <v>33</v>
      </c>
      <c r="F214" t="s">
        <v>33</v>
      </c>
      <c r="G214">
        <v>73</v>
      </c>
      <c r="H214">
        <v>215</v>
      </c>
      <c r="I214">
        <v>2018</v>
      </c>
      <c r="J214" s="4" t="str">
        <f>HYPERLINK("http://legacy.baseballprospectus.com/fantasy/dc/index.php?tm=TOR","TOR")</f>
        <v>TOR</v>
      </c>
      <c r="K214" t="s">
        <v>95</v>
      </c>
      <c r="L214" t="s">
        <v>34</v>
      </c>
      <c r="M214">
        <v>30</v>
      </c>
      <c r="N214">
        <v>4.0999999999999996</v>
      </c>
      <c r="O214">
        <v>4.3</v>
      </c>
      <c r="P214">
        <v>5.4</v>
      </c>
      <c r="Q214">
        <v>0</v>
      </c>
      <c r="R214">
        <v>0.1</v>
      </c>
      <c r="S214">
        <v>0</v>
      </c>
      <c r="T214">
        <v>22.6</v>
      </c>
      <c r="U214">
        <v>12</v>
      </c>
      <c r="V214" s="9">
        <v>72.333299999999994</v>
      </c>
      <c r="W214">
        <v>321</v>
      </c>
      <c r="X214">
        <v>77</v>
      </c>
      <c r="Y214">
        <v>10</v>
      </c>
      <c r="Z214">
        <v>32</v>
      </c>
      <c r="AA214" t="s">
        <v>1680</v>
      </c>
      <c r="AB214">
        <v>3</v>
      </c>
      <c r="AC214">
        <v>67</v>
      </c>
      <c r="AD214">
        <v>3.9</v>
      </c>
      <c r="AE214">
        <v>8.3000000000000007</v>
      </c>
      <c r="AF214" s="5">
        <v>0.47775089740753102</v>
      </c>
      <c r="AG214">
        <v>0.318</v>
      </c>
      <c r="AH214">
        <v>1.49</v>
      </c>
      <c r="AI214">
        <v>4.6900000000000004</v>
      </c>
      <c r="AJ214">
        <v>4.9000000000000004</v>
      </c>
      <c r="AK214">
        <v>5.9</v>
      </c>
      <c r="AL214">
        <v>0.6</v>
      </c>
      <c r="AM214">
        <v>10</v>
      </c>
      <c r="AN214">
        <v>22</v>
      </c>
      <c r="AO214">
        <v>18</v>
      </c>
      <c r="AP214">
        <v>20</v>
      </c>
      <c r="AQ214" t="s">
        <v>2510</v>
      </c>
      <c r="AR214">
        <v>48</v>
      </c>
      <c r="AS214" t="s">
        <v>36</v>
      </c>
      <c r="AT214" t="s">
        <v>36</v>
      </c>
      <c r="AU214" s="4">
        <f>HYPERLINK("http://mlb.mlb.com/team/player.jsp?player_id=502211",502211)</f>
        <v>502211</v>
      </c>
      <c r="AV214">
        <v>0</v>
      </c>
      <c r="AW214">
        <v>0</v>
      </c>
      <c r="AX214">
        <v>41.3</v>
      </c>
    </row>
    <row r="215" spans="1:50" x14ac:dyDescent="0.3">
      <c r="A215" s="4">
        <f>HYPERLINK("http://legacy.baseballprospectus.com/p/67085",67085)</f>
        <v>67085</v>
      </c>
      <c r="B215" t="s">
        <v>448</v>
      </c>
      <c r="C215" t="s">
        <v>916</v>
      </c>
      <c r="D215" s="10">
        <v>32504</v>
      </c>
      <c r="E215" t="s">
        <v>9</v>
      </c>
      <c r="F215" t="s">
        <v>33</v>
      </c>
      <c r="G215">
        <v>76</v>
      </c>
      <c r="H215">
        <v>230</v>
      </c>
      <c r="I215">
        <v>2018</v>
      </c>
      <c r="J215" s="4" t="str">
        <f>HYPERLINK("http://legacy.baseballprospectus.com/fantasy/dc/index.php?tm=MIN","MIN")</f>
        <v>MIN</v>
      </c>
      <c r="K215" t="s">
        <v>95</v>
      </c>
      <c r="L215" t="s">
        <v>34</v>
      </c>
      <c r="M215">
        <v>29</v>
      </c>
      <c r="N215">
        <v>2.5</v>
      </c>
      <c r="O215">
        <v>2.5</v>
      </c>
      <c r="P215">
        <v>0</v>
      </c>
      <c r="Q215">
        <v>0</v>
      </c>
      <c r="R215">
        <v>5</v>
      </c>
      <c r="S215">
        <v>4</v>
      </c>
      <c r="T215">
        <v>50</v>
      </c>
      <c r="U215">
        <v>0</v>
      </c>
      <c r="V215" s="9">
        <v>53</v>
      </c>
      <c r="W215">
        <v>230</v>
      </c>
      <c r="X215">
        <v>51</v>
      </c>
      <c r="Y215">
        <v>7</v>
      </c>
      <c r="Z215">
        <v>20</v>
      </c>
      <c r="AA215">
        <v>3</v>
      </c>
      <c r="AB215">
        <v>2</v>
      </c>
      <c r="AC215">
        <v>52</v>
      </c>
      <c r="AD215">
        <v>3.5</v>
      </c>
      <c r="AE215">
        <v>8.8000000000000007</v>
      </c>
      <c r="AF215" s="5">
        <v>0.42499999999999999</v>
      </c>
      <c r="AG215">
        <v>0.29399999999999998</v>
      </c>
      <c r="AH215">
        <v>1.35</v>
      </c>
      <c r="AI215">
        <v>3.97</v>
      </c>
      <c r="AJ215">
        <v>4.2</v>
      </c>
      <c r="AK215">
        <v>5.7</v>
      </c>
      <c r="AL215">
        <v>0.6</v>
      </c>
      <c r="AM215">
        <v>19</v>
      </c>
      <c r="AN215">
        <v>42</v>
      </c>
      <c r="AO215">
        <v>39</v>
      </c>
      <c r="AP215">
        <v>13</v>
      </c>
      <c r="AQ215" t="s">
        <v>2462</v>
      </c>
      <c r="AR215">
        <v>96</v>
      </c>
      <c r="AS215" t="s">
        <v>35</v>
      </c>
      <c r="AT215" t="s">
        <v>36</v>
      </c>
      <c r="AU215" s="4">
        <f>HYPERLINK("http://mlb.mlb.com/team/player.jsp?player_id=592665",592665)</f>
        <v>592665</v>
      </c>
      <c r="AV215">
        <v>229</v>
      </c>
      <c r="AW215">
        <v>1229</v>
      </c>
      <c r="AX215">
        <v>76</v>
      </c>
    </row>
    <row r="216" spans="1:50" x14ac:dyDescent="0.3">
      <c r="A216" s="4">
        <f>HYPERLINK("http://legacy.baseballprospectus.com/p/68390",68390)</f>
        <v>68390</v>
      </c>
      <c r="B216" t="s">
        <v>1143</v>
      </c>
      <c r="C216" t="s">
        <v>254</v>
      </c>
      <c r="D216" s="10">
        <v>32371</v>
      </c>
      <c r="E216" t="s">
        <v>33</v>
      </c>
      <c r="F216" t="s">
        <v>33</v>
      </c>
      <c r="G216">
        <v>75</v>
      </c>
      <c r="H216">
        <v>210</v>
      </c>
      <c r="I216">
        <v>2018</v>
      </c>
      <c r="J216" s="4" t="str">
        <f>HYPERLINK("http://legacy.baseballprospectus.com/fantasy/dc/index.php?tm=KCA","KCA")</f>
        <v>KCA</v>
      </c>
      <c r="K216" t="s">
        <v>95</v>
      </c>
      <c r="L216" t="s">
        <v>34</v>
      </c>
      <c r="M216">
        <v>29</v>
      </c>
      <c r="N216">
        <v>1.8</v>
      </c>
      <c r="O216">
        <v>2</v>
      </c>
      <c r="P216">
        <v>0</v>
      </c>
      <c r="Q216">
        <v>0</v>
      </c>
      <c r="R216">
        <v>0</v>
      </c>
      <c r="S216">
        <v>1</v>
      </c>
      <c r="T216">
        <v>39</v>
      </c>
      <c r="U216">
        <v>0</v>
      </c>
      <c r="V216" s="9">
        <v>41.333300000000001</v>
      </c>
      <c r="W216">
        <v>177</v>
      </c>
      <c r="X216">
        <v>36</v>
      </c>
      <c r="Y216">
        <v>5</v>
      </c>
      <c r="Z216">
        <v>18</v>
      </c>
      <c r="AA216">
        <v>1</v>
      </c>
      <c r="AB216">
        <v>1</v>
      </c>
      <c r="AC216">
        <v>47</v>
      </c>
      <c r="AD216">
        <v>4</v>
      </c>
      <c r="AE216">
        <v>10.3</v>
      </c>
      <c r="AF216" s="5">
        <v>0.433</v>
      </c>
      <c r="AG216">
        <v>0.29799999999999999</v>
      </c>
      <c r="AH216">
        <v>1.32</v>
      </c>
      <c r="AI216">
        <v>3.71</v>
      </c>
      <c r="AJ216">
        <v>3.97</v>
      </c>
      <c r="AK216">
        <v>5.5</v>
      </c>
      <c r="AL216">
        <v>0.6</v>
      </c>
      <c r="AM216">
        <v>32</v>
      </c>
      <c r="AN216">
        <v>55</v>
      </c>
      <c r="AO216">
        <v>22</v>
      </c>
      <c r="AP216">
        <v>12</v>
      </c>
      <c r="AQ216" t="s">
        <v>2562</v>
      </c>
      <c r="AR216">
        <v>88</v>
      </c>
      <c r="AS216" t="s">
        <v>35</v>
      </c>
      <c r="AT216" t="s">
        <v>36</v>
      </c>
      <c r="AU216" s="4">
        <f>HYPERLINK("http://mlb.mlb.com/team/player.jsp?player_id=518748",518748)</f>
        <v>518748</v>
      </c>
      <c r="AV216">
        <v>1286</v>
      </c>
      <c r="AW216">
        <v>286</v>
      </c>
      <c r="AX216">
        <v>55.3</v>
      </c>
    </row>
    <row r="217" spans="1:50" x14ac:dyDescent="0.3">
      <c r="A217" s="4">
        <f>HYPERLINK("http://legacy.baseballprospectus.com/p/68702",68702)</f>
        <v>68702</v>
      </c>
      <c r="B217" t="s">
        <v>1589</v>
      </c>
      <c r="C217" t="s">
        <v>204</v>
      </c>
      <c r="D217" s="10">
        <v>32583</v>
      </c>
      <c r="E217" t="s">
        <v>33</v>
      </c>
      <c r="F217" t="s">
        <v>33</v>
      </c>
      <c r="G217">
        <v>76</v>
      </c>
      <c r="H217">
        <v>220</v>
      </c>
      <c r="I217">
        <v>2018</v>
      </c>
      <c r="J217" s="4" t="str">
        <f>HYPERLINK("http://legacy.baseballprospectus.com/fantasy/dc/index.php?tm=OAK","OAK")</f>
        <v>OAK</v>
      </c>
      <c r="K217" t="s">
        <v>95</v>
      </c>
      <c r="L217" t="s">
        <v>34</v>
      </c>
      <c r="M217">
        <v>29</v>
      </c>
      <c r="N217">
        <v>7.7</v>
      </c>
      <c r="O217">
        <v>8.3000000000000007</v>
      </c>
      <c r="P217">
        <v>10</v>
      </c>
      <c r="Q217">
        <v>0</v>
      </c>
      <c r="R217">
        <v>0</v>
      </c>
      <c r="S217">
        <v>0</v>
      </c>
      <c r="T217">
        <v>23</v>
      </c>
      <c r="U217">
        <v>23</v>
      </c>
      <c r="V217" s="9">
        <v>131</v>
      </c>
      <c r="W217">
        <v>581</v>
      </c>
      <c r="X217">
        <v>141</v>
      </c>
      <c r="Y217">
        <v>22</v>
      </c>
      <c r="Z217">
        <v>47</v>
      </c>
      <c r="AA217">
        <v>2</v>
      </c>
      <c r="AB217">
        <v>7</v>
      </c>
      <c r="AC217">
        <v>109</v>
      </c>
      <c r="AD217">
        <v>3.2</v>
      </c>
      <c r="AE217">
        <v>7.5</v>
      </c>
      <c r="AF217" s="5">
        <v>0.495</v>
      </c>
      <c r="AG217">
        <v>0.30099999999999999</v>
      </c>
      <c r="AH217">
        <v>1.45</v>
      </c>
      <c r="AI217">
        <v>4.83</v>
      </c>
      <c r="AJ217">
        <v>5.1100000000000003</v>
      </c>
      <c r="AK217">
        <v>5.6</v>
      </c>
      <c r="AL217">
        <v>0.6</v>
      </c>
      <c r="AM217">
        <v>31</v>
      </c>
      <c r="AN217">
        <v>46</v>
      </c>
      <c r="AO217">
        <v>27</v>
      </c>
      <c r="AP217">
        <v>32</v>
      </c>
      <c r="AQ217" t="s">
        <v>2371</v>
      </c>
      <c r="AR217">
        <v>84</v>
      </c>
      <c r="AS217" t="s">
        <v>35</v>
      </c>
      <c r="AT217" t="s">
        <v>36</v>
      </c>
      <c r="AU217" s="4">
        <f>HYPERLINK("http://mlb.mlb.com/team/player.jsp?player_id=592811",592811)</f>
        <v>592811</v>
      </c>
      <c r="AV217">
        <v>74</v>
      </c>
      <c r="AW217">
        <v>1074</v>
      </c>
      <c r="AX217">
        <v>65.3</v>
      </c>
    </row>
    <row r="218" spans="1:50" x14ac:dyDescent="0.3">
      <c r="A218" s="4">
        <f>HYPERLINK("http://legacy.baseballprospectus.com/p/69837",69837)</f>
        <v>69837</v>
      </c>
      <c r="B218" t="s">
        <v>709</v>
      </c>
      <c r="C218" t="s">
        <v>125</v>
      </c>
      <c r="D218" s="10">
        <v>32977</v>
      </c>
      <c r="E218" t="s">
        <v>33</v>
      </c>
      <c r="F218" t="s">
        <v>33</v>
      </c>
      <c r="G218">
        <v>74</v>
      </c>
      <c r="H218">
        <v>220</v>
      </c>
      <c r="I218">
        <v>2018</v>
      </c>
      <c r="J218" s="4" t="str">
        <f>HYPERLINK("http://legacy.baseballprospectus.com/fantasy/dc/index.php?tm=MIL","MIL")</f>
        <v>MIL</v>
      </c>
      <c r="K218" t="s">
        <v>100</v>
      </c>
      <c r="L218" t="s">
        <v>34</v>
      </c>
      <c r="M218">
        <v>28</v>
      </c>
      <c r="N218">
        <v>2.9</v>
      </c>
      <c r="O218">
        <v>2.2999999999999998</v>
      </c>
      <c r="P218">
        <v>0</v>
      </c>
      <c r="Q218">
        <v>0</v>
      </c>
      <c r="R218">
        <v>0</v>
      </c>
      <c r="S218">
        <v>4</v>
      </c>
      <c r="T218">
        <v>52</v>
      </c>
      <c r="U218">
        <v>0</v>
      </c>
      <c r="V218" s="9">
        <v>54.666699999999999</v>
      </c>
      <c r="W218">
        <v>233</v>
      </c>
      <c r="X218">
        <v>48</v>
      </c>
      <c r="Y218">
        <v>6</v>
      </c>
      <c r="Z218">
        <v>24</v>
      </c>
      <c r="AA218">
        <v>2</v>
      </c>
      <c r="AB218">
        <v>2</v>
      </c>
      <c r="AC218">
        <v>58</v>
      </c>
      <c r="AD218">
        <v>4</v>
      </c>
      <c r="AE218">
        <v>9.5</v>
      </c>
      <c r="AF218" s="5">
        <v>0.49199999999999999</v>
      </c>
      <c r="AG218">
        <v>0.29499999999999998</v>
      </c>
      <c r="AH218">
        <v>1.32</v>
      </c>
      <c r="AI218">
        <v>3.68</v>
      </c>
      <c r="AJ218">
        <v>4.01</v>
      </c>
      <c r="AK218">
        <v>5.6</v>
      </c>
      <c r="AL218">
        <v>0.6</v>
      </c>
      <c r="AM218">
        <v>22</v>
      </c>
      <c r="AN218">
        <v>40</v>
      </c>
      <c r="AO218">
        <v>19</v>
      </c>
      <c r="AP218">
        <v>20</v>
      </c>
      <c r="AQ218" t="s">
        <v>2472</v>
      </c>
      <c r="AR218">
        <v>73</v>
      </c>
      <c r="AS218" t="s">
        <v>35</v>
      </c>
      <c r="AT218" t="s">
        <v>36</v>
      </c>
      <c r="AU218" s="4">
        <f>HYPERLINK("http://mlb.mlb.com/team/player.jsp?player_id=606930",606930)</f>
        <v>606930</v>
      </c>
      <c r="AV218">
        <v>1243</v>
      </c>
      <c r="AW218">
        <v>243</v>
      </c>
      <c r="AX218">
        <v>72</v>
      </c>
    </row>
    <row r="219" spans="1:50" x14ac:dyDescent="0.3">
      <c r="A219" s="4">
        <f>HYPERLINK("http://legacy.baseballprospectus.com/p/68771",68771)</f>
        <v>68771</v>
      </c>
      <c r="B219" t="s">
        <v>1617</v>
      </c>
      <c r="C219" t="s">
        <v>1618</v>
      </c>
      <c r="D219" s="10">
        <v>33600</v>
      </c>
      <c r="E219" t="s">
        <v>37</v>
      </c>
      <c r="F219" t="s">
        <v>33</v>
      </c>
      <c r="G219">
        <v>75</v>
      </c>
      <c r="H219">
        <v>170</v>
      </c>
      <c r="I219">
        <v>2018</v>
      </c>
      <c r="J219" s="4" t="str">
        <f>HYPERLINK("http://legacy.baseballprospectus.com/fantasy/dc/index.php?tm=MIN","MIN")</f>
        <v>MIN</v>
      </c>
      <c r="K219" t="s">
        <v>95</v>
      </c>
      <c r="L219" t="s">
        <v>34</v>
      </c>
      <c r="M219">
        <v>26</v>
      </c>
      <c r="N219">
        <v>7.5</v>
      </c>
      <c r="O219">
        <v>8.5</v>
      </c>
      <c r="P219">
        <v>9</v>
      </c>
      <c r="Q219">
        <v>0</v>
      </c>
      <c r="R219">
        <v>0</v>
      </c>
      <c r="S219">
        <v>0</v>
      </c>
      <c r="T219">
        <v>23.2</v>
      </c>
      <c r="U219">
        <v>23.2</v>
      </c>
      <c r="V219" s="9">
        <v>129</v>
      </c>
      <c r="W219">
        <v>575</v>
      </c>
      <c r="X219">
        <v>142</v>
      </c>
      <c r="Y219">
        <v>22</v>
      </c>
      <c r="Z219">
        <v>48</v>
      </c>
      <c r="AA219" t="s">
        <v>1680</v>
      </c>
      <c r="AB219">
        <v>7</v>
      </c>
      <c r="AC219">
        <v>104</v>
      </c>
      <c r="AD219">
        <v>3.4</v>
      </c>
      <c r="AE219">
        <v>7.3</v>
      </c>
      <c r="AF219" s="5">
        <v>0.47174471616744901</v>
      </c>
      <c r="AG219">
        <v>0.30599999999999999</v>
      </c>
      <c r="AH219">
        <v>1.48</v>
      </c>
      <c r="AI219">
        <v>5.17</v>
      </c>
      <c r="AJ219">
        <v>5.25</v>
      </c>
      <c r="AK219">
        <v>6</v>
      </c>
      <c r="AL219">
        <v>0.6</v>
      </c>
      <c r="AM219">
        <v>25</v>
      </c>
      <c r="AN219">
        <v>38</v>
      </c>
      <c r="AO219">
        <v>11</v>
      </c>
      <c r="AP219">
        <v>30</v>
      </c>
      <c r="AQ219" t="s">
        <v>2381</v>
      </c>
      <c r="AR219">
        <v>55</v>
      </c>
      <c r="AS219" t="s">
        <v>36</v>
      </c>
      <c r="AT219" t="s">
        <v>35</v>
      </c>
      <c r="AU219" s="4">
        <f>HYPERLINK("http://mlb.mlb.com/team/player.jsp?player_id=594867",594867)</f>
        <v>594867</v>
      </c>
      <c r="AV219">
        <v>0</v>
      </c>
      <c r="AW219">
        <v>0</v>
      </c>
      <c r="AX219">
        <v>12.7</v>
      </c>
    </row>
    <row r="220" spans="1:50" x14ac:dyDescent="0.3">
      <c r="A220" s="4">
        <f>HYPERLINK("http://legacy.baseballprospectus.com/p/70334",70334)</f>
        <v>70334</v>
      </c>
      <c r="B220" t="s">
        <v>1596</v>
      </c>
      <c r="C220" t="s">
        <v>225</v>
      </c>
      <c r="D220" s="10">
        <v>33092</v>
      </c>
      <c r="E220" t="s">
        <v>33</v>
      </c>
      <c r="F220" t="s">
        <v>33</v>
      </c>
      <c r="G220">
        <v>75</v>
      </c>
      <c r="H220">
        <v>190</v>
      </c>
      <c r="I220">
        <v>2018</v>
      </c>
      <c r="J220" s="4" t="str">
        <f>HYPERLINK("http://legacy.baseballprospectus.com/fantasy/dc/index.php?tm=SEA","SEA")</f>
        <v>SEA</v>
      </c>
      <c r="K220" t="s">
        <v>95</v>
      </c>
      <c r="L220" t="s">
        <v>34</v>
      </c>
      <c r="M220">
        <v>27</v>
      </c>
      <c r="N220">
        <v>2.5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49.9</v>
      </c>
      <c r="U220">
        <v>0</v>
      </c>
      <c r="V220" s="9">
        <v>52.666699999999999</v>
      </c>
      <c r="W220">
        <v>230</v>
      </c>
      <c r="X220">
        <v>48</v>
      </c>
      <c r="Y220">
        <v>6</v>
      </c>
      <c r="Z220">
        <v>24</v>
      </c>
      <c r="AA220" t="s">
        <v>1680</v>
      </c>
      <c r="AB220">
        <v>4</v>
      </c>
      <c r="AC220">
        <v>56</v>
      </c>
      <c r="AD220">
        <v>4.2</v>
      </c>
      <c r="AE220">
        <v>9.5</v>
      </c>
      <c r="AF220" s="5">
        <v>0.47506052255630399</v>
      </c>
      <c r="AG220">
        <v>0.30199999999999999</v>
      </c>
      <c r="AH220">
        <v>1.37</v>
      </c>
      <c r="AI220">
        <v>4.12</v>
      </c>
      <c r="AJ220">
        <v>4.3600000000000003</v>
      </c>
      <c r="AK220">
        <v>5.4</v>
      </c>
      <c r="AL220">
        <v>0.6</v>
      </c>
      <c r="AM220">
        <v>28</v>
      </c>
      <c r="AN220">
        <v>41</v>
      </c>
      <c r="AO220">
        <v>25</v>
      </c>
      <c r="AP220">
        <v>22</v>
      </c>
      <c r="AQ220" t="s">
        <v>2515</v>
      </c>
      <c r="AR220">
        <v>77</v>
      </c>
      <c r="AS220" t="s">
        <v>36</v>
      </c>
      <c r="AT220" t="s">
        <v>36</v>
      </c>
      <c r="AU220" s="4">
        <f>HYPERLINK("http://mlb.mlb.com/team/player.jsp?player_id=543964",543964)</f>
        <v>543964</v>
      </c>
      <c r="AV220">
        <v>298</v>
      </c>
      <c r="AW220">
        <v>1298</v>
      </c>
      <c r="AX220">
        <v>40.700000000000003</v>
      </c>
    </row>
    <row r="221" spans="1:50" x14ac:dyDescent="0.3">
      <c r="A221" s="4">
        <f>HYPERLINK("http://legacy.baseballprospectus.com/p/101060",101060)</f>
        <v>101060</v>
      </c>
      <c r="B221" t="s">
        <v>1665</v>
      </c>
      <c r="C221" t="s">
        <v>710</v>
      </c>
      <c r="D221" s="10">
        <v>34720</v>
      </c>
      <c r="E221" t="s">
        <v>33</v>
      </c>
      <c r="F221" t="s">
        <v>33</v>
      </c>
      <c r="G221">
        <v>73</v>
      </c>
      <c r="H221">
        <v>180</v>
      </c>
      <c r="I221">
        <v>2018</v>
      </c>
      <c r="J221" s="4" t="str">
        <f>HYPERLINK("http://legacy.baseballprospectus.com/fantasy/dc/index.php?tm=COL","COL")</f>
        <v>COL</v>
      </c>
      <c r="K221" t="s">
        <v>100</v>
      </c>
      <c r="L221" t="s">
        <v>34</v>
      </c>
      <c r="M221">
        <v>23</v>
      </c>
      <c r="N221">
        <v>5.7</v>
      </c>
      <c r="O221">
        <v>6.5</v>
      </c>
      <c r="P221">
        <v>8</v>
      </c>
      <c r="Q221">
        <v>0</v>
      </c>
      <c r="R221">
        <v>0</v>
      </c>
      <c r="S221">
        <v>0</v>
      </c>
      <c r="T221">
        <v>37</v>
      </c>
      <c r="U221">
        <v>16</v>
      </c>
      <c r="V221" s="9">
        <v>102</v>
      </c>
      <c r="W221">
        <v>435</v>
      </c>
      <c r="X221">
        <v>100</v>
      </c>
      <c r="Y221">
        <v>16</v>
      </c>
      <c r="Z221">
        <v>37</v>
      </c>
      <c r="AA221">
        <v>2</v>
      </c>
      <c r="AB221">
        <v>3</v>
      </c>
      <c r="AC221">
        <v>95</v>
      </c>
      <c r="AD221">
        <v>3.3</v>
      </c>
      <c r="AE221">
        <v>8.3000000000000007</v>
      </c>
      <c r="AF221" s="5">
        <v>0.45600000000000002</v>
      </c>
      <c r="AG221">
        <v>0.29499999999999998</v>
      </c>
      <c r="AH221">
        <v>1.34</v>
      </c>
      <c r="AI221">
        <v>4.55</v>
      </c>
      <c r="AJ221">
        <v>4.67</v>
      </c>
      <c r="AK221">
        <v>5.6</v>
      </c>
      <c r="AL221">
        <v>0.6</v>
      </c>
      <c r="AM221">
        <v>21</v>
      </c>
      <c r="AN221">
        <v>49</v>
      </c>
      <c r="AO221">
        <v>19</v>
      </c>
      <c r="AP221">
        <v>28</v>
      </c>
      <c r="AQ221" t="s">
        <v>2355</v>
      </c>
      <c r="AR221">
        <v>81</v>
      </c>
      <c r="AS221" t="s">
        <v>35</v>
      </c>
      <c r="AT221" t="s">
        <v>36</v>
      </c>
      <c r="AU221" s="4">
        <f>HYPERLINK("http://mlb.mlb.com/team/player.jsp?player_id=622608",622608)</f>
        <v>622608</v>
      </c>
      <c r="AV221">
        <v>1038</v>
      </c>
      <c r="AW221">
        <v>38</v>
      </c>
      <c r="AX221">
        <v>134.69999999999999</v>
      </c>
    </row>
    <row r="222" spans="1:50" x14ac:dyDescent="0.3">
      <c r="A222" s="4">
        <f>HYPERLINK("http://legacy.baseballprospectus.com/p/101438",101438)</f>
        <v>101438</v>
      </c>
      <c r="B222" t="s">
        <v>2060</v>
      </c>
      <c r="C222" t="s">
        <v>102</v>
      </c>
      <c r="D222" s="10">
        <v>32847</v>
      </c>
      <c r="E222" t="s">
        <v>33</v>
      </c>
      <c r="F222" t="s">
        <v>33</v>
      </c>
      <c r="G222">
        <v>70</v>
      </c>
      <c r="H222">
        <v>190</v>
      </c>
      <c r="I222">
        <v>2018</v>
      </c>
      <c r="J222" s="4" t="str">
        <f>HYPERLINK("http://legacy.baseballprospectus.com/fantasy/dc/index.php?tm=SEA","SEA")</f>
        <v>SEA</v>
      </c>
      <c r="K222" t="s">
        <v>95</v>
      </c>
      <c r="L222" t="s">
        <v>34</v>
      </c>
      <c r="M222">
        <v>28</v>
      </c>
      <c r="N222">
        <v>2.7</v>
      </c>
      <c r="O222">
        <v>1</v>
      </c>
      <c r="P222">
        <v>0</v>
      </c>
      <c r="Q222">
        <v>0</v>
      </c>
      <c r="R222">
        <v>0.5</v>
      </c>
      <c r="S222">
        <v>0</v>
      </c>
      <c r="T222">
        <v>53.6</v>
      </c>
      <c r="U222">
        <v>0</v>
      </c>
      <c r="V222" s="9">
        <v>56.666699999999999</v>
      </c>
      <c r="W222">
        <v>244</v>
      </c>
      <c r="X222">
        <v>50</v>
      </c>
      <c r="Y222">
        <v>7</v>
      </c>
      <c r="Z222">
        <v>26</v>
      </c>
      <c r="AA222" t="s">
        <v>1680</v>
      </c>
      <c r="AB222">
        <v>2</v>
      </c>
      <c r="AC222">
        <v>59</v>
      </c>
      <c r="AD222">
        <v>4.2</v>
      </c>
      <c r="AE222">
        <v>9.4</v>
      </c>
      <c r="AF222" s="5">
        <v>0.47519639134406999</v>
      </c>
      <c r="AG222">
        <v>0.28699999999999998</v>
      </c>
      <c r="AH222">
        <v>1.34</v>
      </c>
      <c r="AI222">
        <v>4.22</v>
      </c>
      <c r="AJ222">
        <v>4.4800000000000004</v>
      </c>
      <c r="AK222">
        <v>6</v>
      </c>
      <c r="AL222">
        <v>0.6</v>
      </c>
      <c r="AM222">
        <v>17</v>
      </c>
      <c r="AN222">
        <v>24</v>
      </c>
      <c r="AO222">
        <v>20</v>
      </c>
      <c r="AP222">
        <v>20</v>
      </c>
      <c r="AQ222" t="s">
        <v>2483</v>
      </c>
      <c r="AR222">
        <v>48</v>
      </c>
      <c r="AS222" t="s">
        <v>36</v>
      </c>
      <c r="AT222" t="s">
        <v>36</v>
      </c>
      <c r="AU222" s="4">
        <f>HYPERLINK("http://mlb.mlb.com/team/player.jsp?player_id=623439",623439)</f>
        <v>623439</v>
      </c>
      <c r="AV222">
        <v>0</v>
      </c>
      <c r="AW222">
        <v>0</v>
      </c>
      <c r="AX222">
        <v>22</v>
      </c>
    </row>
    <row r="223" spans="1:50" x14ac:dyDescent="0.3">
      <c r="A223" s="4">
        <f>HYPERLINK("http://legacy.baseballprospectus.com/p/103472",103472)</f>
        <v>103472</v>
      </c>
      <c r="B223" t="s">
        <v>2595</v>
      </c>
      <c r="C223" t="s">
        <v>169</v>
      </c>
      <c r="D223" s="10">
        <v>34633</v>
      </c>
      <c r="E223" t="s">
        <v>9</v>
      </c>
      <c r="F223" t="s">
        <v>9</v>
      </c>
      <c r="G223">
        <v>73</v>
      </c>
      <c r="H223">
        <v>168</v>
      </c>
      <c r="I223">
        <v>2018</v>
      </c>
      <c r="J223" s="4" t="str">
        <f>HYPERLINK("http://legacy.baseballprospectus.com/fantasy/dc/index.php?tm=TEX","TEX")</f>
        <v>TEX</v>
      </c>
      <c r="K223" t="s">
        <v>95</v>
      </c>
      <c r="L223" t="s">
        <v>34</v>
      </c>
      <c r="M223">
        <v>23</v>
      </c>
      <c r="N223">
        <v>2</v>
      </c>
      <c r="O223">
        <v>1.5</v>
      </c>
      <c r="P223">
        <v>2</v>
      </c>
      <c r="Q223">
        <v>0</v>
      </c>
      <c r="R223">
        <v>0.6</v>
      </c>
      <c r="S223">
        <v>0</v>
      </c>
      <c r="T223">
        <v>18.600000000000001</v>
      </c>
      <c r="U223">
        <v>4.2</v>
      </c>
      <c r="V223" s="9">
        <v>35</v>
      </c>
      <c r="W223">
        <v>150</v>
      </c>
      <c r="X223">
        <v>33</v>
      </c>
      <c r="Y223">
        <v>6</v>
      </c>
      <c r="Z223">
        <v>15</v>
      </c>
      <c r="AA223" t="s">
        <v>1680</v>
      </c>
      <c r="AB223">
        <v>1</v>
      </c>
      <c r="AC223">
        <v>40</v>
      </c>
      <c r="AD223">
        <v>3.8</v>
      </c>
      <c r="AE223">
        <v>10.4</v>
      </c>
      <c r="AF223" s="5">
        <v>0.46307635307312001</v>
      </c>
      <c r="AG223">
        <v>0.30599999999999999</v>
      </c>
      <c r="AH223">
        <v>1.36</v>
      </c>
      <c r="AI223">
        <v>4.42</v>
      </c>
      <c r="AJ223">
        <v>4.41</v>
      </c>
      <c r="AK223">
        <v>5.5</v>
      </c>
      <c r="AL223">
        <v>0.6</v>
      </c>
      <c r="AM223">
        <v>9</v>
      </c>
      <c r="AN223">
        <v>14</v>
      </c>
      <c r="AO223">
        <v>5</v>
      </c>
      <c r="AP223">
        <v>8</v>
      </c>
      <c r="AQ223" t="s">
        <v>2596</v>
      </c>
      <c r="AR223">
        <v>20</v>
      </c>
      <c r="AS223" t="s">
        <v>36</v>
      </c>
      <c r="AT223" t="s">
        <v>35</v>
      </c>
      <c r="AU223" s="4">
        <f>HYPERLINK("http://mlb.mlb.com/team/player.jsp?player_id=643478",643478)</f>
        <v>643478</v>
      </c>
      <c r="AV223">
        <v>205</v>
      </c>
      <c r="AW223">
        <v>1205</v>
      </c>
      <c r="AX223">
        <v>0</v>
      </c>
    </row>
    <row r="224" spans="1:50" x14ac:dyDescent="0.3">
      <c r="A224" s="4">
        <f>HYPERLINK("http://legacy.baseballprospectus.com/p/104824",104824)</f>
        <v>104824</v>
      </c>
      <c r="B224" t="s">
        <v>1520</v>
      </c>
      <c r="C224" t="s">
        <v>181</v>
      </c>
      <c r="D224" s="10">
        <v>35185</v>
      </c>
      <c r="E224" t="s">
        <v>33</v>
      </c>
      <c r="F224" t="s">
        <v>33</v>
      </c>
      <c r="G224">
        <v>75</v>
      </c>
      <c r="H224">
        <v>205</v>
      </c>
      <c r="I224">
        <v>2018</v>
      </c>
      <c r="J224" s="4" t="str">
        <f>HYPERLINK("http://legacy.baseballprospectus.com/fantasy/dc/index.php?tm=CHA","CHA")</f>
        <v>CHA</v>
      </c>
      <c r="K224" t="s">
        <v>95</v>
      </c>
      <c r="L224" t="s">
        <v>34</v>
      </c>
      <c r="M224">
        <v>22</v>
      </c>
      <c r="N224">
        <v>2.5</v>
      </c>
      <c r="O224">
        <v>2.8</v>
      </c>
      <c r="P224">
        <v>3</v>
      </c>
      <c r="Q224">
        <v>0</v>
      </c>
      <c r="R224">
        <v>0</v>
      </c>
      <c r="S224">
        <v>0</v>
      </c>
      <c r="T224">
        <v>21</v>
      </c>
      <c r="U224">
        <v>6</v>
      </c>
      <c r="V224" s="9">
        <v>47.666699999999999</v>
      </c>
      <c r="W224">
        <v>203</v>
      </c>
      <c r="X224">
        <v>39</v>
      </c>
      <c r="Y224">
        <v>7</v>
      </c>
      <c r="Z224">
        <v>24</v>
      </c>
      <c r="AA224">
        <v>1</v>
      </c>
      <c r="AB224">
        <v>2</v>
      </c>
      <c r="AC224">
        <v>62</v>
      </c>
      <c r="AD224">
        <v>4.5</v>
      </c>
      <c r="AE224">
        <v>11.7</v>
      </c>
      <c r="AF224" s="5">
        <v>0.41</v>
      </c>
      <c r="AG224">
        <v>0.29299999999999998</v>
      </c>
      <c r="AH224">
        <v>1.32</v>
      </c>
      <c r="AI224">
        <v>4.0999999999999996</v>
      </c>
      <c r="AJ224">
        <v>4.3499999999999996</v>
      </c>
      <c r="AK224">
        <v>5.3</v>
      </c>
      <c r="AL224">
        <v>0.6</v>
      </c>
      <c r="AM224">
        <v>17</v>
      </c>
      <c r="AN224">
        <v>31</v>
      </c>
      <c r="AO224">
        <v>6</v>
      </c>
      <c r="AP224">
        <v>19</v>
      </c>
      <c r="AQ224" t="s">
        <v>2594</v>
      </c>
      <c r="AR224">
        <v>50</v>
      </c>
      <c r="AS224" t="s">
        <v>35</v>
      </c>
      <c r="AT224" t="s">
        <v>35</v>
      </c>
      <c r="AU224" s="4">
        <f>HYPERLINK("http://mlb.mlb.com/team/player.jsp?player_id=656629",656629)</f>
        <v>656629</v>
      </c>
      <c r="AV224">
        <v>158</v>
      </c>
      <c r="AW224">
        <v>1158</v>
      </c>
      <c r="AX224">
        <v>0</v>
      </c>
    </row>
    <row r="225" spans="1:50" x14ac:dyDescent="0.3">
      <c r="A225" s="4">
        <f>HYPERLINK("http://legacy.baseballprospectus.com/p/105121",105121)</f>
        <v>105121</v>
      </c>
      <c r="B225" t="s">
        <v>2031</v>
      </c>
      <c r="C225" t="s">
        <v>272</v>
      </c>
      <c r="D225" s="10">
        <v>33222</v>
      </c>
      <c r="E225" t="s">
        <v>33</v>
      </c>
      <c r="F225" t="s">
        <v>33</v>
      </c>
      <c r="G225">
        <v>74</v>
      </c>
      <c r="H225">
        <v>211</v>
      </c>
      <c r="I225">
        <v>2018</v>
      </c>
      <c r="J225" s="4" t="str">
        <f>HYPERLINK("http://legacy.baseballprospectus.com/fantasy/dc/index.php?tm=MIN","MIN")</f>
        <v>MIN</v>
      </c>
      <c r="K225" t="s">
        <v>95</v>
      </c>
      <c r="L225" t="s">
        <v>34</v>
      </c>
      <c r="M225">
        <v>27</v>
      </c>
      <c r="N225">
        <v>2.7</v>
      </c>
      <c r="O225">
        <v>2.8</v>
      </c>
      <c r="P225">
        <v>0</v>
      </c>
      <c r="Q225">
        <v>0</v>
      </c>
      <c r="R225">
        <v>2</v>
      </c>
      <c r="S225">
        <v>4</v>
      </c>
      <c r="T225">
        <v>55</v>
      </c>
      <c r="U225">
        <v>0</v>
      </c>
      <c r="V225" s="9">
        <v>58.333300000000001</v>
      </c>
      <c r="W225">
        <v>252</v>
      </c>
      <c r="X225">
        <v>57</v>
      </c>
      <c r="Y225">
        <v>8</v>
      </c>
      <c r="Z225">
        <v>22</v>
      </c>
      <c r="AA225">
        <v>2</v>
      </c>
      <c r="AB225">
        <v>3</v>
      </c>
      <c r="AC225">
        <v>58</v>
      </c>
      <c r="AD225">
        <v>3.4</v>
      </c>
      <c r="AE225">
        <v>9</v>
      </c>
      <c r="AF225" s="5">
        <v>0.52900000000000003</v>
      </c>
      <c r="AG225">
        <v>0.29899999999999999</v>
      </c>
      <c r="AH225">
        <v>1.36</v>
      </c>
      <c r="AI225">
        <v>4.16</v>
      </c>
      <c r="AJ225">
        <v>4.3600000000000003</v>
      </c>
      <c r="AK225">
        <v>5.4</v>
      </c>
      <c r="AL225">
        <v>0.6</v>
      </c>
      <c r="AM225">
        <v>24</v>
      </c>
      <c r="AN225">
        <v>38</v>
      </c>
      <c r="AO225">
        <v>24</v>
      </c>
      <c r="AP225">
        <v>22</v>
      </c>
      <c r="AQ225" t="s">
        <v>2439</v>
      </c>
      <c r="AR225">
        <v>82</v>
      </c>
      <c r="AS225" t="s">
        <v>35</v>
      </c>
      <c r="AT225" t="s">
        <v>35</v>
      </c>
      <c r="AU225" s="4">
        <f>HYPERLINK("http://mlb.mlb.com/team/player.jsp?player_id=657610",657610)</f>
        <v>657610</v>
      </c>
      <c r="AV225">
        <v>297</v>
      </c>
      <c r="AW225">
        <v>1297</v>
      </c>
      <c r="AX225">
        <v>42</v>
      </c>
    </row>
    <row r="226" spans="1:50" x14ac:dyDescent="0.3">
      <c r="A226" s="4">
        <f>HYPERLINK("http://legacy.baseballprospectus.com/p/107174",107174)</f>
        <v>107174</v>
      </c>
      <c r="B226" t="s">
        <v>2156</v>
      </c>
      <c r="C226" t="s">
        <v>684</v>
      </c>
      <c r="D226" s="10">
        <v>34543</v>
      </c>
      <c r="E226" t="s">
        <v>33</v>
      </c>
      <c r="F226" t="s">
        <v>33</v>
      </c>
      <c r="G226">
        <v>74</v>
      </c>
      <c r="H226">
        <v>175</v>
      </c>
      <c r="I226">
        <v>2018</v>
      </c>
      <c r="J226" s="4" t="str">
        <f>HYPERLINK("http://legacy.baseballprospectus.com/fantasy/dc/index.php?tm=LAN","LAN")</f>
        <v>LAN</v>
      </c>
      <c r="K226" t="s">
        <v>100</v>
      </c>
      <c r="L226" t="s">
        <v>34</v>
      </c>
      <c r="M226">
        <v>23</v>
      </c>
      <c r="N226">
        <v>6.8</v>
      </c>
      <c r="O226">
        <v>5.2</v>
      </c>
      <c r="P226">
        <v>7</v>
      </c>
      <c r="Q226">
        <v>0</v>
      </c>
      <c r="R226">
        <v>0</v>
      </c>
      <c r="S226">
        <v>0</v>
      </c>
      <c r="T226">
        <v>35</v>
      </c>
      <c r="U226">
        <v>15</v>
      </c>
      <c r="V226" s="9">
        <v>100.66670000000001</v>
      </c>
      <c r="W226">
        <v>435</v>
      </c>
      <c r="X226">
        <v>89</v>
      </c>
      <c r="Y226">
        <v>16</v>
      </c>
      <c r="Z226">
        <v>47</v>
      </c>
      <c r="AA226">
        <v>2</v>
      </c>
      <c r="AB226">
        <v>6</v>
      </c>
      <c r="AC226">
        <v>121</v>
      </c>
      <c r="AD226">
        <v>4.2</v>
      </c>
      <c r="AE226">
        <v>10.8</v>
      </c>
      <c r="AF226" s="5">
        <v>0.48699999999999999</v>
      </c>
      <c r="AG226">
        <v>0.29899999999999999</v>
      </c>
      <c r="AH226">
        <v>1.36</v>
      </c>
      <c r="AI226">
        <v>4.16</v>
      </c>
      <c r="AJ226">
        <v>4.67</v>
      </c>
      <c r="AK226">
        <v>5.6</v>
      </c>
      <c r="AL226">
        <v>0.6</v>
      </c>
      <c r="AM226">
        <v>28</v>
      </c>
      <c r="AN226">
        <v>53</v>
      </c>
      <c r="AO226">
        <v>15</v>
      </c>
      <c r="AP226">
        <v>20</v>
      </c>
      <c r="AQ226" t="s">
        <v>2811</v>
      </c>
      <c r="AR226">
        <v>79</v>
      </c>
      <c r="AS226" t="s">
        <v>35</v>
      </c>
      <c r="AT226" t="s">
        <v>35</v>
      </c>
      <c r="AU226" s="4">
        <f>HYPERLINK("http://mlb.mlb.com/team/player.jsp?player_id=621111",621111)</f>
        <v>621111</v>
      </c>
      <c r="AV226">
        <v>1125</v>
      </c>
      <c r="AW226">
        <v>125</v>
      </c>
      <c r="AX226">
        <v>9.3000000000000007</v>
      </c>
    </row>
    <row r="227" spans="1:50" x14ac:dyDescent="0.3">
      <c r="A227" s="4">
        <f>HYPERLINK("http://legacy.baseballprospectus.com/p/107172",107172)</f>
        <v>107172</v>
      </c>
      <c r="B227" t="s">
        <v>2090</v>
      </c>
      <c r="C227" t="s">
        <v>2091</v>
      </c>
      <c r="D227" s="10">
        <v>35644</v>
      </c>
      <c r="E227" t="s">
        <v>33</v>
      </c>
      <c r="F227" t="s">
        <v>33</v>
      </c>
      <c r="G227">
        <v>77</v>
      </c>
      <c r="H227">
        <v>165</v>
      </c>
      <c r="I227">
        <v>2018</v>
      </c>
      <c r="J227" s="4" t="str">
        <f>HYPERLINK("http://legacy.baseballprospectus.com/fantasy/dc/index.php?tm=CLE","CLE")</f>
        <v>CLE</v>
      </c>
      <c r="K227" t="s">
        <v>95</v>
      </c>
      <c r="L227" t="s">
        <v>34</v>
      </c>
      <c r="M227">
        <v>20</v>
      </c>
      <c r="N227">
        <v>6.4</v>
      </c>
      <c r="O227">
        <v>6.7</v>
      </c>
      <c r="P227">
        <v>8.1999999999999993</v>
      </c>
      <c r="Q227">
        <v>0</v>
      </c>
      <c r="R227">
        <v>0</v>
      </c>
      <c r="S227">
        <v>0</v>
      </c>
      <c r="T227">
        <v>19.5</v>
      </c>
      <c r="U227">
        <v>19.5</v>
      </c>
      <c r="V227" s="9">
        <v>105.66670000000001</v>
      </c>
      <c r="W227">
        <v>454</v>
      </c>
      <c r="X227">
        <v>99</v>
      </c>
      <c r="Y227">
        <v>24</v>
      </c>
      <c r="Z227">
        <v>46</v>
      </c>
      <c r="AA227" t="s">
        <v>1680</v>
      </c>
      <c r="AB227">
        <v>1</v>
      </c>
      <c r="AC227">
        <v>141</v>
      </c>
      <c r="AD227">
        <v>3.9</v>
      </c>
      <c r="AE227">
        <v>12</v>
      </c>
      <c r="AF227" s="5">
        <v>0.40225902199745101</v>
      </c>
      <c r="AG227">
        <v>0.309</v>
      </c>
      <c r="AH227">
        <v>1.37</v>
      </c>
      <c r="AI227">
        <v>4.88</v>
      </c>
      <c r="AJ227">
        <v>5.23</v>
      </c>
      <c r="AK227">
        <v>5.2</v>
      </c>
      <c r="AL227">
        <v>0.6</v>
      </c>
      <c r="AM227">
        <v>8</v>
      </c>
      <c r="AN227">
        <v>10</v>
      </c>
      <c r="AO227">
        <v>2</v>
      </c>
      <c r="AP227">
        <v>6</v>
      </c>
      <c r="AQ227" t="s">
        <v>2360</v>
      </c>
      <c r="AR227">
        <v>13</v>
      </c>
      <c r="AS227" t="s">
        <v>36</v>
      </c>
      <c r="AT227" t="s">
        <v>35</v>
      </c>
      <c r="AU227" s="4">
        <f>HYPERLINK("http://mlb.mlb.com/team/player.jsp?player_id=663474",663474)</f>
        <v>663474</v>
      </c>
      <c r="AV227">
        <v>164</v>
      </c>
      <c r="AW227">
        <v>1164</v>
      </c>
      <c r="AX227">
        <v>0</v>
      </c>
    </row>
    <row r="228" spans="1:50" x14ac:dyDescent="0.3">
      <c r="A228" s="4">
        <f>HYPERLINK("http://legacy.baseballprospectus.com/p/46761",46761)</f>
        <v>46761</v>
      </c>
      <c r="B228" t="s">
        <v>2035</v>
      </c>
      <c r="C228" t="s">
        <v>384</v>
      </c>
      <c r="D228" s="10">
        <v>31300</v>
      </c>
      <c r="E228" t="s">
        <v>33</v>
      </c>
      <c r="F228" t="s">
        <v>33</v>
      </c>
      <c r="G228">
        <v>76</v>
      </c>
      <c r="H228">
        <v>215</v>
      </c>
      <c r="I228">
        <v>2018</v>
      </c>
      <c r="J228" s="4" t="str">
        <f>HYPERLINK("http://legacy.baseballprospectus.com/fantasy/dc/index.php?tm=NYN","NYN")</f>
        <v>NYN</v>
      </c>
      <c r="K228" t="s">
        <v>100</v>
      </c>
      <c r="L228" t="s">
        <v>34</v>
      </c>
      <c r="M228">
        <v>32</v>
      </c>
      <c r="N228">
        <v>3</v>
      </c>
      <c r="O228">
        <v>2.8</v>
      </c>
      <c r="P228">
        <v>0</v>
      </c>
      <c r="Q228">
        <v>0</v>
      </c>
      <c r="R228">
        <v>0</v>
      </c>
      <c r="S228">
        <v>1</v>
      </c>
      <c r="T228">
        <v>57</v>
      </c>
      <c r="U228">
        <v>0</v>
      </c>
      <c r="V228" s="9">
        <v>60.666699999999999</v>
      </c>
      <c r="W228">
        <v>258</v>
      </c>
      <c r="X228">
        <v>55</v>
      </c>
      <c r="Y228">
        <v>8</v>
      </c>
      <c r="Z228">
        <v>24</v>
      </c>
      <c r="AA228">
        <v>2</v>
      </c>
      <c r="AB228">
        <v>2</v>
      </c>
      <c r="AC228">
        <v>61</v>
      </c>
      <c r="AD228">
        <v>3.6</v>
      </c>
      <c r="AE228">
        <v>9.1</v>
      </c>
      <c r="AF228" s="5">
        <v>0.441</v>
      </c>
      <c r="AG228">
        <v>0.29499999999999998</v>
      </c>
      <c r="AH228">
        <v>1.32</v>
      </c>
      <c r="AI228">
        <v>4.03</v>
      </c>
      <c r="AJ228">
        <v>4.29</v>
      </c>
      <c r="AK228">
        <v>4.4000000000000004</v>
      </c>
      <c r="AL228">
        <v>0.5</v>
      </c>
      <c r="AM228">
        <v>23</v>
      </c>
      <c r="AN228">
        <v>42</v>
      </c>
      <c r="AO228">
        <v>26</v>
      </c>
      <c r="AP228">
        <v>9</v>
      </c>
      <c r="AQ228" t="s">
        <v>2694</v>
      </c>
      <c r="AR228">
        <v>85</v>
      </c>
      <c r="AS228" t="s">
        <v>35</v>
      </c>
      <c r="AT228" t="s">
        <v>36</v>
      </c>
      <c r="AU228" s="4">
        <f>HYPERLINK("http://mlb.mlb.com/team/player.jsp?player_id=461872",461872)</f>
        <v>461872</v>
      </c>
      <c r="AV228">
        <v>1236</v>
      </c>
      <c r="AW228">
        <v>236</v>
      </c>
      <c r="AX228">
        <v>77.3</v>
      </c>
    </row>
    <row r="229" spans="1:50" x14ac:dyDescent="0.3">
      <c r="A229" s="4">
        <f>HYPERLINK("http://legacy.baseballprospectus.com/p/47078",47078)</f>
        <v>47078</v>
      </c>
      <c r="B229" t="s">
        <v>727</v>
      </c>
      <c r="C229" t="s">
        <v>403</v>
      </c>
      <c r="D229" s="10">
        <v>30565</v>
      </c>
      <c r="E229" t="s">
        <v>9</v>
      </c>
      <c r="F229" t="s">
        <v>9</v>
      </c>
      <c r="G229">
        <v>78</v>
      </c>
      <c r="H229">
        <v>190</v>
      </c>
      <c r="I229">
        <v>2018</v>
      </c>
      <c r="J229" s="4" t="str">
        <f>HYPERLINK("http://legacy.baseballprospectus.com/fantasy/dc/index.php?tm=NYN","NYN")</f>
        <v>NYN</v>
      </c>
      <c r="K229" t="s">
        <v>100</v>
      </c>
      <c r="L229" t="s">
        <v>34</v>
      </c>
      <c r="M229">
        <v>34</v>
      </c>
      <c r="N229">
        <v>2.8</v>
      </c>
      <c r="O229">
        <v>2.5</v>
      </c>
      <c r="P229">
        <v>0</v>
      </c>
      <c r="Q229">
        <v>0</v>
      </c>
      <c r="R229">
        <v>2</v>
      </c>
      <c r="S229">
        <v>4</v>
      </c>
      <c r="T229">
        <v>53</v>
      </c>
      <c r="U229">
        <v>0</v>
      </c>
      <c r="V229" s="9">
        <v>55.666699999999999</v>
      </c>
      <c r="W229">
        <v>242</v>
      </c>
      <c r="X229">
        <v>48</v>
      </c>
      <c r="Y229">
        <v>6</v>
      </c>
      <c r="Z229">
        <v>27</v>
      </c>
      <c r="AA229">
        <v>3</v>
      </c>
      <c r="AB229">
        <v>3</v>
      </c>
      <c r="AC229">
        <v>61</v>
      </c>
      <c r="AD229">
        <v>4.4000000000000004</v>
      </c>
      <c r="AE229">
        <v>9.9</v>
      </c>
      <c r="AF229" s="5">
        <v>0.44900000000000001</v>
      </c>
      <c r="AG229">
        <v>0.29399999999999998</v>
      </c>
      <c r="AH229">
        <v>1.36</v>
      </c>
      <c r="AI229">
        <v>3.86</v>
      </c>
      <c r="AJ229">
        <v>4.1500000000000004</v>
      </c>
      <c r="AK229">
        <v>4.8</v>
      </c>
      <c r="AL229">
        <v>0.5</v>
      </c>
      <c r="AM229">
        <v>7</v>
      </c>
      <c r="AN229">
        <v>24</v>
      </c>
      <c r="AO229">
        <v>51</v>
      </c>
      <c r="AP229">
        <v>5</v>
      </c>
      <c r="AQ229" t="s">
        <v>2695</v>
      </c>
      <c r="AR229">
        <v>91</v>
      </c>
      <c r="AS229" t="s">
        <v>35</v>
      </c>
      <c r="AT229" t="s">
        <v>36</v>
      </c>
      <c r="AU229" s="4">
        <f>HYPERLINK("http://mlb.mlb.com/team/player.jsp?player_id=460283",460283)</f>
        <v>460283</v>
      </c>
      <c r="AV229">
        <v>1296</v>
      </c>
      <c r="AW229">
        <v>296</v>
      </c>
      <c r="AX229">
        <v>49</v>
      </c>
    </row>
    <row r="230" spans="1:50" x14ac:dyDescent="0.3">
      <c r="A230" s="4">
        <f>HYPERLINK("http://legacy.baseballprospectus.com/p/47181",47181)</f>
        <v>47181</v>
      </c>
      <c r="B230" t="s">
        <v>2018</v>
      </c>
      <c r="C230" t="s">
        <v>104</v>
      </c>
      <c r="D230" s="10">
        <v>31451</v>
      </c>
      <c r="E230" t="s">
        <v>33</v>
      </c>
      <c r="F230" t="s">
        <v>33</v>
      </c>
      <c r="G230">
        <v>69</v>
      </c>
      <c r="H230">
        <v>180</v>
      </c>
      <c r="I230">
        <v>2018</v>
      </c>
      <c r="J230" s="4" t="str">
        <f>HYPERLINK("http://legacy.baseballprospectus.com/fantasy/dc/index.php?tm=TEX","TEX")</f>
        <v>TEX</v>
      </c>
      <c r="K230" t="s">
        <v>95</v>
      </c>
      <c r="L230" t="s">
        <v>34</v>
      </c>
      <c r="M230">
        <v>32</v>
      </c>
      <c r="N230">
        <v>2.4</v>
      </c>
      <c r="O230">
        <v>3.1</v>
      </c>
      <c r="P230">
        <v>0</v>
      </c>
      <c r="Q230">
        <v>0</v>
      </c>
      <c r="R230">
        <v>6</v>
      </c>
      <c r="S230">
        <v>4</v>
      </c>
      <c r="T230">
        <v>55</v>
      </c>
      <c r="U230">
        <v>0</v>
      </c>
      <c r="V230" s="9">
        <v>57.666699999999999</v>
      </c>
      <c r="W230">
        <v>252</v>
      </c>
      <c r="X230">
        <v>56</v>
      </c>
      <c r="Y230">
        <v>8</v>
      </c>
      <c r="Z230">
        <v>23</v>
      </c>
      <c r="AA230">
        <v>1</v>
      </c>
      <c r="AB230">
        <v>3</v>
      </c>
      <c r="AC230">
        <v>55</v>
      </c>
      <c r="AD230">
        <v>3.5</v>
      </c>
      <c r="AE230">
        <v>8.6</v>
      </c>
      <c r="AF230" s="5">
        <v>0.42199999999999999</v>
      </c>
      <c r="AG230">
        <v>0.29499999999999998</v>
      </c>
      <c r="AH230">
        <v>1.37</v>
      </c>
      <c r="AI230">
        <v>4.5199999999999996</v>
      </c>
      <c r="AJ230">
        <v>4.45</v>
      </c>
      <c r="AK230">
        <v>4.8</v>
      </c>
      <c r="AL230">
        <v>0.5</v>
      </c>
      <c r="AM230">
        <v>22</v>
      </c>
      <c r="AN230">
        <v>42</v>
      </c>
      <c r="AO230">
        <v>24</v>
      </c>
      <c r="AP230">
        <v>6</v>
      </c>
      <c r="AQ230" t="s">
        <v>2544</v>
      </c>
      <c r="AR230">
        <v>89</v>
      </c>
      <c r="AS230" t="s">
        <v>35</v>
      </c>
      <c r="AT230" t="s">
        <v>36</v>
      </c>
      <c r="AU230" s="4">
        <f>HYPERLINK("http://mlb.mlb.com/team/player.jsp?player_id=456713",456713)</f>
        <v>456713</v>
      </c>
      <c r="AV230">
        <v>280</v>
      </c>
      <c r="AW230">
        <v>1280</v>
      </c>
      <c r="AX230">
        <v>52.3</v>
      </c>
    </row>
    <row r="231" spans="1:50" x14ac:dyDescent="0.3">
      <c r="A231" s="4">
        <f>HYPERLINK("http://legacy.baseballprospectus.com/p/47921",47921)</f>
        <v>47921</v>
      </c>
      <c r="B231" t="s">
        <v>341</v>
      </c>
      <c r="C231" t="s">
        <v>862</v>
      </c>
      <c r="D231" s="10">
        <v>30907</v>
      </c>
      <c r="E231" t="s">
        <v>33</v>
      </c>
      <c r="F231" t="s">
        <v>9</v>
      </c>
      <c r="G231">
        <v>77</v>
      </c>
      <c r="H231">
        <v>215</v>
      </c>
      <c r="I231">
        <v>2018</v>
      </c>
      <c r="J231" s="4" t="str">
        <f>HYPERLINK("http://legacy.baseballprospectus.com/fantasy/dc/index.php?tm=MIL","MIL")</f>
        <v>MIL</v>
      </c>
      <c r="K231" t="s">
        <v>100</v>
      </c>
      <c r="L231" t="s">
        <v>34</v>
      </c>
      <c r="M231">
        <v>33</v>
      </c>
      <c r="N231">
        <v>2.5</v>
      </c>
      <c r="O231">
        <v>2</v>
      </c>
      <c r="P231">
        <v>0</v>
      </c>
      <c r="Q231">
        <v>0</v>
      </c>
      <c r="R231">
        <v>0</v>
      </c>
      <c r="S231">
        <v>1</v>
      </c>
      <c r="T231">
        <v>44</v>
      </c>
      <c r="U231">
        <v>0</v>
      </c>
      <c r="V231" s="9">
        <v>46.666699999999999</v>
      </c>
      <c r="W231">
        <v>202</v>
      </c>
      <c r="X231">
        <v>41</v>
      </c>
      <c r="Y231">
        <v>5</v>
      </c>
      <c r="Z231">
        <v>22</v>
      </c>
      <c r="AA231">
        <v>2</v>
      </c>
      <c r="AB231">
        <v>2</v>
      </c>
      <c r="AC231">
        <v>53</v>
      </c>
      <c r="AD231">
        <v>4.2</v>
      </c>
      <c r="AE231">
        <v>10.1</v>
      </c>
      <c r="AF231" s="5">
        <v>0.47199999999999998</v>
      </c>
      <c r="AG231">
        <v>0.29899999999999999</v>
      </c>
      <c r="AH231">
        <v>1.34</v>
      </c>
      <c r="AI231">
        <v>3.64</v>
      </c>
      <c r="AJ231">
        <v>3.97</v>
      </c>
      <c r="AK231">
        <v>5</v>
      </c>
      <c r="AL231">
        <v>0.5</v>
      </c>
      <c r="AM231">
        <v>23</v>
      </c>
      <c r="AN231">
        <v>46</v>
      </c>
      <c r="AO231">
        <v>26</v>
      </c>
      <c r="AP231">
        <v>8</v>
      </c>
      <c r="AQ231" t="s">
        <v>2615</v>
      </c>
      <c r="AR231">
        <v>92</v>
      </c>
      <c r="AS231" t="s">
        <v>35</v>
      </c>
      <c r="AT231" t="s">
        <v>36</v>
      </c>
      <c r="AU231" s="4">
        <f>HYPERLINK("http://mlb.mlb.com/team/player.jsp?player_id=457429",457429)</f>
        <v>457429</v>
      </c>
      <c r="AV231">
        <v>1325</v>
      </c>
      <c r="AW231">
        <v>325</v>
      </c>
      <c r="AX231">
        <v>21</v>
      </c>
    </row>
    <row r="232" spans="1:50" x14ac:dyDescent="0.3">
      <c r="A232" s="4">
        <f>HYPERLINK("http://legacy.baseballprospectus.com/p/48658",48658)</f>
        <v>48658</v>
      </c>
      <c r="B232" t="s">
        <v>1605</v>
      </c>
      <c r="C232" t="s">
        <v>1606</v>
      </c>
      <c r="D232" s="10">
        <v>31694</v>
      </c>
      <c r="E232" t="s">
        <v>33</v>
      </c>
      <c r="F232" t="s">
        <v>33</v>
      </c>
      <c r="G232">
        <v>77</v>
      </c>
      <c r="H232">
        <v>190</v>
      </c>
      <c r="I232">
        <v>2018</v>
      </c>
      <c r="J232" s="4" t="str">
        <f>HYPERLINK("http://legacy.baseballprospectus.com/fantasy/dc/index.php?tm=TBA","TBA")</f>
        <v>TBA</v>
      </c>
      <c r="K232" t="s">
        <v>95</v>
      </c>
      <c r="L232" t="s">
        <v>34</v>
      </c>
      <c r="M232">
        <v>31</v>
      </c>
      <c r="N232">
        <v>2.4</v>
      </c>
      <c r="O232">
        <v>2</v>
      </c>
      <c r="P232">
        <v>0</v>
      </c>
      <c r="Q232">
        <v>0</v>
      </c>
      <c r="R232">
        <v>0</v>
      </c>
      <c r="S232">
        <v>1</v>
      </c>
      <c r="T232">
        <v>43</v>
      </c>
      <c r="U232">
        <v>0</v>
      </c>
      <c r="V232" s="9">
        <v>45.333300000000001</v>
      </c>
      <c r="W232">
        <v>197</v>
      </c>
      <c r="X232">
        <v>41</v>
      </c>
      <c r="Y232">
        <v>5</v>
      </c>
      <c r="Z232">
        <v>21</v>
      </c>
      <c r="AA232">
        <v>2</v>
      </c>
      <c r="AB232">
        <v>2</v>
      </c>
      <c r="AC232">
        <v>47</v>
      </c>
      <c r="AD232">
        <v>4.2</v>
      </c>
      <c r="AE232">
        <v>9.3000000000000007</v>
      </c>
      <c r="AF232" s="5">
        <v>0.495</v>
      </c>
      <c r="AG232">
        <v>0.29799999999999999</v>
      </c>
      <c r="AH232">
        <v>1.37</v>
      </c>
      <c r="AI232">
        <v>3.78</v>
      </c>
      <c r="AJ232">
        <v>4.34</v>
      </c>
      <c r="AK232">
        <v>4.3</v>
      </c>
      <c r="AL232">
        <v>0.5</v>
      </c>
      <c r="AM232">
        <v>22</v>
      </c>
      <c r="AN232">
        <v>34</v>
      </c>
      <c r="AO232">
        <v>18</v>
      </c>
      <c r="AP232">
        <v>15</v>
      </c>
      <c r="AQ232" t="s">
        <v>2698</v>
      </c>
      <c r="AR232">
        <v>60</v>
      </c>
      <c r="AS232" t="s">
        <v>35</v>
      </c>
      <c r="AT232" t="s">
        <v>36</v>
      </c>
      <c r="AU232" s="4">
        <f>HYPERLINK("http://mlb.mlb.com/team/player.jsp?player_id=475054",475054)</f>
        <v>475054</v>
      </c>
      <c r="AV232">
        <v>332</v>
      </c>
      <c r="AW232">
        <v>1332</v>
      </c>
      <c r="AX232">
        <v>10.7</v>
      </c>
    </row>
    <row r="233" spans="1:50" x14ac:dyDescent="0.3">
      <c r="A233" s="4">
        <f>HYPERLINK("http://legacy.baseballprospectus.com/p/50098",50098)</f>
        <v>50098</v>
      </c>
      <c r="B233" t="s">
        <v>542</v>
      </c>
      <c r="C233" t="s">
        <v>893</v>
      </c>
      <c r="D233" s="10">
        <v>31108</v>
      </c>
      <c r="E233" t="s">
        <v>33</v>
      </c>
      <c r="F233" t="s">
        <v>33</v>
      </c>
      <c r="G233">
        <v>72</v>
      </c>
      <c r="H233">
        <v>215</v>
      </c>
      <c r="I233">
        <v>2018</v>
      </c>
      <c r="J233" s="4" t="str">
        <f>HYPERLINK("http://legacy.baseballprospectus.com/fantasy/dc/index.php?tm=SLN","SLN")</f>
        <v>SLN</v>
      </c>
      <c r="K233" t="s">
        <v>100</v>
      </c>
      <c r="L233" t="s">
        <v>34</v>
      </c>
      <c r="M233">
        <v>33</v>
      </c>
      <c r="N233">
        <v>3.6</v>
      </c>
      <c r="O233">
        <v>3.5</v>
      </c>
      <c r="P233">
        <v>2</v>
      </c>
      <c r="Q233">
        <v>0</v>
      </c>
      <c r="R233">
        <v>0</v>
      </c>
      <c r="S233">
        <v>0</v>
      </c>
      <c r="T233">
        <v>44</v>
      </c>
      <c r="U233">
        <v>5</v>
      </c>
      <c r="V233" s="9">
        <v>66.333299999999994</v>
      </c>
      <c r="W233">
        <v>290</v>
      </c>
      <c r="X233">
        <v>64</v>
      </c>
      <c r="Y233">
        <v>8</v>
      </c>
      <c r="Z233">
        <v>29</v>
      </c>
      <c r="AA233">
        <v>2</v>
      </c>
      <c r="AB233">
        <v>3</v>
      </c>
      <c r="AC233">
        <v>64</v>
      </c>
      <c r="AD233">
        <v>3.9</v>
      </c>
      <c r="AE233">
        <v>8.6999999999999993</v>
      </c>
      <c r="AF233" s="5">
        <v>0.46100000000000002</v>
      </c>
      <c r="AG233">
        <v>0.30399999999999999</v>
      </c>
      <c r="AH233">
        <v>1.42</v>
      </c>
      <c r="AI233">
        <v>4.3</v>
      </c>
      <c r="AJ233">
        <v>4.49</v>
      </c>
      <c r="AK233">
        <v>4.2</v>
      </c>
      <c r="AL233">
        <v>0.5</v>
      </c>
      <c r="AM233">
        <v>15</v>
      </c>
      <c r="AN233">
        <v>52</v>
      </c>
      <c r="AO233">
        <v>16</v>
      </c>
      <c r="AP233">
        <v>13</v>
      </c>
      <c r="AQ233" t="s">
        <v>2508</v>
      </c>
      <c r="AR233">
        <v>88</v>
      </c>
      <c r="AS233" t="s">
        <v>35</v>
      </c>
      <c r="AT233" t="s">
        <v>36</v>
      </c>
      <c r="AU233" s="4">
        <f>HYPERLINK("http://mlb.mlb.com/team/player.jsp?player_id=502032",502032)</f>
        <v>502032</v>
      </c>
      <c r="AV233">
        <v>0</v>
      </c>
      <c r="AW233">
        <v>0</v>
      </c>
      <c r="AX233">
        <v>62</v>
      </c>
    </row>
    <row r="234" spans="1:50" x14ac:dyDescent="0.3">
      <c r="A234" s="4">
        <f>HYPERLINK("http://legacy.baseballprospectus.com/p/50258",50258)</f>
        <v>50258</v>
      </c>
      <c r="B234" t="s">
        <v>817</v>
      </c>
      <c r="C234" t="s">
        <v>432</v>
      </c>
      <c r="D234" s="10">
        <v>30816</v>
      </c>
      <c r="E234" t="s">
        <v>9</v>
      </c>
      <c r="F234" t="s">
        <v>33</v>
      </c>
      <c r="G234">
        <v>75</v>
      </c>
      <c r="H234">
        <v>205</v>
      </c>
      <c r="I234">
        <v>2018</v>
      </c>
      <c r="J234" s="4" t="str">
        <f>HYPERLINK("http://legacy.baseballprospectus.com/fantasy/dc/index.php?tm=SLN","SLN")</f>
        <v>SLN</v>
      </c>
      <c r="K234" t="s">
        <v>100</v>
      </c>
      <c r="L234" t="s">
        <v>34</v>
      </c>
      <c r="M234">
        <v>34</v>
      </c>
      <c r="N234">
        <v>3</v>
      </c>
      <c r="O234">
        <v>2.8</v>
      </c>
      <c r="P234">
        <v>0</v>
      </c>
      <c r="Q234">
        <v>0</v>
      </c>
      <c r="R234">
        <v>30</v>
      </c>
      <c r="S234">
        <v>4</v>
      </c>
      <c r="T234">
        <v>56</v>
      </c>
      <c r="U234">
        <v>0</v>
      </c>
      <c r="V234" s="9">
        <v>59.333300000000001</v>
      </c>
      <c r="W234">
        <v>254</v>
      </c>
      <c r="X234">
        <v>54</v>
      </c>
      <c r="Y234">
        <v>7</v>
      </c>
      <c r="Z234">
        <v>23</v>
      </c>
      <c r="AA234">
        <v>3</v>
      </c>
      <c r="AB234">
        <v>2</v>
      </c>
      <c r="AC234">
        <v>58</v>
      </c>
      <c r="AD234">
        <v>3.6</v>
      </c>
      <c r="AE234">
        <v>8.8000000000000007</v>
      </c>
      <c r="AF234" s="5">
        <v>0.52400000000000002</v>
      </c>
      <c r="AG234">
        <v>0.28999999999999998</v>
      </c>
      <c r="AH234">
        <v>1.31</v>
      </c>
      <c r="AI234">
        <v>3.94</v>
      </c>
      <c r="AJ234">
        <v>4.18</v>
      </c>
      <c r="AK234">
        <v>5</v>
      </c>
      <c r="AL234">
        <v>0.5</v>
      </c>
      <c r="AM234">
        <v>9</v>
      </c>
      <c r="AN234">
        <v>22</v>
      </c>
      <c r="AO234">
        <v>48</v>
      </c>
      <c r="AP234">
        <v>5</v>
      </c>
      <c r="AQ234" t="s">
        <v>2617</v>
      </c>
      <c r="AR234">
        <v>89</v>
      </c>
      <c r="AS234" t="s">
        <v>35</v>
      </c>
      <c r="AT234" t="s">
        <v>36</v>
      </c>
      <c r="AU234" s="4">
        <f>HYPERLINK("http://mlb.mlb.com/team/player.jsp?player_id=502381",502381)</f>
        <v>502381</v>
      </c>
      <c r="AV234">
        <v>1264</v>
      </c>
      <c r="AW234">
        <v>264</v>
      </c>
      <c r="AX234">
        <v>61</v>
      </c>
    </row>
    <row r="235" spans="1:50" x14ac:dyDescent="0.3">
      <c r="A235" s="4">
        <f>HYPERLINK("http://legacy.baseballprospectus.com/p/56519",56519)</f>
        <v>56519</v>
      </c>
      <c r="B235" t="s">
        <v>450</v>
      </c>
      <c r="C235" t="s">
        <v>509</v>
      </c>
      <c r="D235" s="10">
        <v>31440</v>
      </c>
      <c r="E235" t="s">
        <v>33</v>
      </c>
      <c r="F235" t="s">
        <v>33</v>
      </c>
      <c r="G235">
        <v>77</v>
      </c>
      <c r="H235">
        <v>220</v>
      </c>
      <c r="I235">
        <v>2018</v>
      </c>
      <c r="J235" s="4" t="str">
        <f>HYPERLINK("http://legacy.baseballprospectus.com/fantasy/dc/index.php?tm=CHA","CHA")</f>
        <v>CHA</v>
      </c>
      <c r="K235" t="s">
        <v>95</v>
      </c>
      <c r="L235" t="s">
        <v>34</v>
      </c>
      <c r="M235">
        <v>32</v>
      </c>
      <c r="N235">
        <v>1.9</v>
      </c>
      <c r="O235">
        <v>2</v>
      </c>
      <c r="P235">
        <v>0</v>
      </c>
      <c r="Q235">
        <v>0</v>
      </c>
      <c r="R235">
        <v>8</v>
      </c>
      <c r="S235">
        <v>3</v>
      </c>
      <c r="T235">
        <v>40</v>
      </c>
      <c r="U235">
        <v>0</v>
      </c>
      <c r="V235" s="9">
        <v>42</v>
      </c>
      <c r="W235">
        <v>180</v>
      </c>
      <c r="X235">
        <v>37</v>
      </c>
      <c r="Y235">
        <v>5</v>
      </c>
      <c r="Z235">
        <v>18</v>
      </c>
      <c r="AA235">
        <v>1</v>
      </c>
      <c r="AB235">
        <v>3</v>
      </c>
      <c r="AC235">
        <v>46</v>
      </c>
      <c r="AD235">
        <v>3.9</v>
      </c>
      <c r="AE235">
        <v>9.9</v>
      </c>
      <c r="AF235" s="5">
        <v>0.48</v>
      </c>
      <c r="AG235">
        <v>0.29099999999999998</v>
      </c>
      <c r="AH235">
        <v>1.31</v>
      </c>
      <c r="AI235">
        <v>3.99</v>
      </c>
      <c r="AJ235">
        <v>4.24</v>
      </c>
      <c r="AK235">
        <v>4.4000000000000004</v>
      </c>
      <c r="AL235">
        <v>0.5</v>
      </c>
      <c r="AM235">
        <v>23</v>
      </c>
      <c r="AN235">
        <v>38</v>
      </c>
      <c r="AO235">
        <v>27</v>
      </c>
      <c r="AP235">
        <v>4</v>
      </c>
      <c r="AQ235" t="s">
        <v>2494</v>
      </c>
      <c r="AR235">
        <v>93</v>
      </c>
      <c r="AS235" t="s">
        <v>35</v>
      </c>
      <c r="AT235" t="s">
        <v>36</v>
      </c>
      <c r="AU235" s="4">
        <f>HYPERLINK("http://mlb.mlb.com/team/player.jsp?player_id=518858",518858)</f>
        <v>518858</v>
      </c>
      <c r="AV235">
        <v>329</v>
      </c>
      <c r="AW235">
        <v>1329</v>
      </c>
      <c r="AX235">
        <v>11.7</v>
      </c>
    </row>
    <row r="236" spans="1:50" x14ac:dyDescent="0.3">
      <c r="A236" s="4">
        <f>HYPERLINK("http://legacy.baseballprospectus.com/p/57473",57473)</f>
        <v>57473</v>
      </c>
      <c r="B236" t="s">
        <v>522</v>
      </c>
      <c r="C236" t="s">
        <v>104</v>
      </c>
      <c r="D236" s="10">
        <v>32677</v>
      </c>
      <c r="E236" t="s">
        <v>9</v>
      </c>
      <c r="F236" t="s">
        <v>9</v>
      </c>
      <c r="G236">
        <v>75</v>
      </c>
      <c r="H236">
        <v>210</v>
      </c>
      <c r="I236">
        <v>2018</v>
      </c>
      <c r="J236" s="4" t="str">
        <f>HYPERLINK("http://legacy.baseballprospectus.com/fantasy/dc/index.php?tm=TEX","TEX")</f>
        <v>TEX</v>
      </c>
      <c r="K236" t="s">
        <v>95</v>
      </c>
      <c r="L236" t="s">
        <v>34</v>
      </c>
      <c r="M236">
        <v>29</v>
      </c>
      <c r="N236">
        <v>7.7</v>
      </c>
      <c r="O236">
        <v>8.9</v>
      </c>
      <c r="P236">
        <v>10</v>
      </c>
      <c r="Q236">
        <v>0</v>
      </c>
      <c r="R236">
        <v>0</v>
      </c>
      <c r="S236">
        <v>0</v>
      </c>
      <c r="T236">
        <v>24</v>
      </c>
      <c r="U236">
        <v>24</v>
      </c>
      <c r="V236" s="9">
        <v>136.66669999999999</v>
      </c>
      <c r="W236">
        <v>611</v>
      </c>
      <c r="X236">
        <v>146</v>
      </c>
      <c r="Y236">
        <v>24</v>
      </c>
      <c r="Z236">
        <v>57</v>
      </c>
      <c r="AA236">
        <v>2</v>
      </c>
      <c r="AB236">
        <v>7</v>
      </c>
      <c r="AC236">
        <v>117</v>
      </c>
      <c r="AD236">
        <v>3.7</v>
      </c>
      <c r="AE236">
        <v>7.7</v>
      </c>
      <c r="AF236" s="5">
        <v>0.40899999999999997</v>
      </c>
      <c r="AG236">
        <v>0.29899999999999999</v>
      </c>
      <c r="AH236">
        <v>1.49</v>
      </c>
      <c r="AI236">
        <v>5.17</v>
      </c>
      <c r="AJ236">
        <v>5.22</v>
      </c>
      <c r="AK236">
        <v>4.4000000000000004</v>
      </c>
      <c r="AL236">
        <v>0.5</v>
      </c>
      <c r="AM236">
        <v>30</v>
      </c>
      <c r="AN236">
        <v>49</v>
      </c>
      <c r="AO236">
        <v>20</v>
      </c>
      <c r="AP236">
        <v>10</v>
      </c>
      <c r="AQ236" t="s">
        <v>2365</v>
      </c>
      <c r="AR236">
        <v>88</v>
      </c>
      <c r="AS236" t="s">
        <v>35</v>
      </c>
      <c r="AT236" t="s">
        <v>36</v>
      </c>
      <c r="AU236" s="4">
        <f>HYPERLINK("http://mlb.mlb.com/team/player.jsp?player_id=519043",519043)</f>
        <v>519043</v>
      </c>
      <c r="AV236">
        <v>17</v>
      </c>
      <c r="AW236">
        <v>1017</v>
      </c>
      <c r="AX236">
        <v>174.3</v>
      </c>
    </row>
    <row r="237" spans="1:50" x14ac:dyDescent="0.3">
      <c r="A237" s="4">
        <f>HYPERLINK("http://legacy.baseballprospectus.com/p/57806",57806)</f>
        <v>57806</v>
      </c>
      <c r="B237" t="s">
        <v>731</v>
      </c>
      <c r="C237" t="s">
        <v>897</v>
      </c>
      <c r="D237" s="10">
        <v>31790</v>
      </c>
      <c r="E237" t="s">
        <v>33</v>
      </c>
      <c r="F237" t="s">
        <v>33</v>
      </c>
      <c r="G237">
        <v>76</v>
      </c>
      <c r="H237">
        <v>215</v>
      </c>
      <c r="I237">
        <v>2018</v>
      </c>
      <c r="J237" s="4" t="str">
        <f>HYPERLINK("http://legacy.baseballprospectus.com/fantasy/dc/index.php?tm=MIL","MIL")</f>
        <v>MIL</v>
      </c>
      <c r="K237" t="s">
        <v>100</v>
      </c>
      <c r="L237" t="s">
        <v>34</v>
      </c>
      <c r="M237">
        <v>31</v>
      </c>
      <c r="N237">
        <v>2.7</v>
      </c>
      <c r="O237">
        <v>2.2000000000000002</v>
      </c>
      <c r="P237">
        <v>0</v>
      </c>
      <c r="Q237">
        <v>0</v>
      </c>
      <c r="R237">
        <v>0</v>
      </c>
      <c r="S237">
        <v>1</v>
      </c>
      <c r="T237">
        <v>49</v>
      </c>
      <c r="U237">
        <v>0</v>
      </c>
      <c r="V237" s="9">
        <v>52</v>
      </c>
      <c r="W237">
        <v>225</v>
      </c>
      <c r="X237">
        <v>48</v>
      </c>
      <c r="Y237">
        <v>6</v>
      </c>
      <c r="Z237">
        <v>23</v>
      </c>
      <c r="AA237">
        <v>1</v>
      </c>
      <c r="AB237">
        <v>2</v>
      </c>
      <c r="AC237">
        <v>59</v>
      </c>
      <c r="AD237">
        <v>4</v>
      </c>
      <c r="AE237">
        <v>10.1</v>
      </c>
      <c r="AF237" s="5">
        <v>0.46800000000000003</v>
      </c>
      <c r="AG237">
        <v>0.30299999999999999</v>
      </c>
      <c r="AH237">
        <v>1.37</v>
      </c>
      <c r="AI237">
        <v>3.85</v>
      </c>
      <c r="AJ237">
        <v>4.1399999999999997</v>
      </c>
      <c r="AK237">
        <v>4.5999999999999996</v>
      </c>
      <c r="AL237">
        <v>0.5</v>
      </c>
      <c r="AM237">
        <v>14</v>
      </c>
      <c r="AN237">
        <v>23</v>
      </c>
      <c r="AO237">
        <v>34</v>
      </c>
      <c r="AP237">
        <v>21</v>
      </c>
      <c r="AQ237" t="s">
        <v>2549</v>
      </c>
      <c r="AR237">
        <v>62</v>
      </c>
      <c r="AS237" t="s">
        <v>35</v>
      </c>
      <c r="AT237" t="s">
        <v>36</v>
      </c>
      <c r="AU237" s="4">
        <f>HYPERLINK("http://mlb.mlb.com/team/player.jsp?player_id=543118",543118)</f>
        <v>543118</v>
      </c>
      <c r="AV237">
        <v>1283</v>
      </c>
      <c r="AW237">
        <v>283</v>
      </c>
      <c r="AX237">
        <v>56</v>
      </c>
    </row>
    <row r="238" spans="1:50" x14ac:dyDescent="0.3">
      <c r="A238" s="4">
        <f>HYPERLINK("http://legacy.baseballprospectus.com/p/58241",58241)</f>
        <v>58241</v>
      </c>
      <c r="B238" t="s">
        <v>754</v>
      </c>
      <c r="C238" t="s">
        <v>258</v>
      </c>
      <c r="D238" s="10">
        <v>32858</v>
      </c>
      <c r="E238" t="s">
        <v>33</v>
      </c>
      <c r="F238" t="s">
        <v>33</v>
      </c>
      <c r="G238">
        <v>72</v>
      </c>
      <c r="H238">
        <v>185</v>
      </c>
      <c r="I238">
        <v>2018</v>
      </c>
      <c r="J238" s="4" t="str">
        <f>HYPERLINK("http://legacy.baseballprospectus.com/fantasy/dc/index.php?tm=CHN","CHN")</f>
        <v>CHN</v>
      </c>
      <c r="K238" t="s">
        <v>100</v>
      </c>
      <c r="L238" t="s">
        <v>34</v>
      </c>
      <c r="M238">
        <v>28</v>
      </c>
      <c r="N238">
        <v>8.4</v>
      </c>
      <c r="O238">
        <v>7.7</v>
      </c>
      <c r="P238">
        <v>11</v>
      </c>
      <c r="Q238">
        <v>0</v>
      </c>
      <c r="R238">
        <v>0</v>
      </c>
      <c r="S238">
        <v>0</v>
      </c>
      <c r="T238">
        <v>24</v>
      </c>
      <c r="U238">
        <v>24</v>
      </c>
      <c r="V238" s="9">
        <v>127.33329999999999</v>
      </c>
      <c r="W238">
        <v>549</v>
      </c>
      <c r="X238">
        <v>122</v>
      </c>
      <c r="Y238">
        <v>19</v>
      </c>
      <c r="Z238">
        <v>57</v>
      </c>
      <c r="AA238">
        <v>3</v>
      </c>
      <c r="AB238">
        <v>6</v>
      </c>
      <c r="AC238">
        <v>109</v>
      </c>
      <c r="AD238">
        <v>4</v>
      </c>
      <c r="AE238">
        <v>7.7</v>
      </c>
      <c r="AF238" s="5">
        <v>0.52</v>
      </c>
      <c r="AG238">
        <v>0.28699999999999998</v>
      </c>
      <c r="AH238">
        <v>1.39</v>
      </c>
      <c r="AI238">
        <v>4.75</v>
      </c>
      <c r="AJ238">
        <v>4.95</v>
      </c>
      <c r="AK238">
        <v>4.2</v>
      </c>
      <c r="AL238">
        <v>0.5</v>
      </c>
      <c r="AM238">
        <v>13</v>
      </c>
      <c r="AN238">
        <v>38</v>
      </c>
      <c r="AO238">
        <v>32</v>
      </c>
      <c r="AP238">
        <v>9</v>
      </c>
      <c r="AQ238" t="s">
        <v>2321</v>
      </c>
      <c r="AR238">
        <v>94</v>
      </c>
      <c r="AS238" t="s">
        <v>35</v>
      </c>
      <c r="AT238" t="s">
        <v>36</v>
      </c>
      <c r="AU238" s="4">
        <f>HYPERLINK("http://mlb.mlb.com/team/player.jsp?player_id=543022",543022)</f>
        <v>543022</v>
      </c>
      <c r="AV238">
        <v>1033</v>
      </c>
      <c r="AW238">
        <v>33</v>
      </c>
      <c r="AX238">
        <v>147.69999999999999</v>
      </c>
    </row>
    <row r="239" spans="1:50" x14ac:dyDescent="0.3">
      <c r="A239" s="4">
        <f>HYPERLINK("http://legacy.baseballprospectus.com/p/58661",58661)</f>
        <v>58661</v>
      </c>
      <c r="B239" t="s">
        <v>944</v>
      </c>
      <c r="C239" t="s">
        <v>126</v>
      </c>
      <c r="D239" s="10">
        <v>32089</v>
      </c>
      <c r="E239" t="s">
        <v>37</v>
      </c>
      <c r="F239" t="s">
        <v>33</v>
      </c>
      <c r="G239">
        <v>73</v>
      </c>
      <c r="H239">
        <v>220</v>
      </c>
      <c r="I239">
        <v>2018</v>
      </c>
      <c r="J239" s="4" t="str">
        <f>HYPERLINK("http://legacy.baseballprospectus.com/fantasy/dc/index.php?tm=COL","COL")</f>
        <v>COL</v>
      </c>
      <c r="K239" t="s">
        <v>100</v>
      </c>
      <c r="L239" t="s">
        <v>34</v>
      </c>
      <c r="M239">
        <v>30</v>
      </c>
      <c r="N239">
        <v>2.7</v>
      </c>
      <c r="O239">
        <v>2.6</v>
      </c>
      <c r="P239">
        <v>0</v>
      </c>
      <c r="Q239">
        <v>0</v>
      </c>
      <c r="R239">
        <v>0</v>
      </c>
      <c r="S239">
        <v>1</v>
      </c>
      <c r="T239">
        <v>52</v>
      </c>
      <c r="U239">
        <v>0</v>
      </c>
      <c r="V239" s="9">
        <v>55.333300000000001</v>
      </c>
      <c r="W239">
        <v>238</v>
      </c>
      <c r="X239">
        <v>53</v>
      </c>
      <c r="Y239">
        <v>6</v>
      </c>
      <c r="Z239">
        <v>23</v>
      </c>
      <c r="AA239">
        <v>2</v>
      </c>
      <c r="AB239">
        <v>1</v>
      </c>
      <c r="AC239">
        <v>51</v>
      </c>
      <c r="AD239">
        <v>3.7</v>
      </c>
      <c r="AE239">
        <v>8.4</v>
      </c>
      <c r="AF239" s="5">
        <v>0.51100000000000001</v>
      </c>
      <c r="AG239">
        <v>0.29799999999999999</v>
      </c>
      <c r="AH239">
        <v>1.37</v>
      </c>
      <c r="AI239">
        <v>4.0999999999999996</v>
      </c>
      <c r="AJ239">
        <v>4.24</v>
      </c>
      <c r="AK239">
        <v>4.3</v>
      </c>
      <c r="AL239">
        <v>0.5</v>
      </c>
      <c r="AM239">
        <v>28</v>
      </c>
      <c r="AN239">
        <v>53</v>
      </c>
      <c r="AO239">
        <v>29</v>
      </c>
      <c r="AP239">
        <v>13</v>
      </c>
      <c r="AQ239" t="s">
        <v>2500</v>
      </c>
      <c r="AR239">
        <v>96</v>
      </c>
      <c r="AS239" t="s">
        <v>35</v>
      </c>
      <c r="AT239" t="s">
        <v>36</v>
      </c>
      <c r="AU239" s="4">
        <f>HYPERLINK("http://mlb.mlb.com/team/player.jsp?player_id=543766",543766)</f>
        <v>543766</v>
      </c>
      <c r="AV239">
        <v>1237</v>
      </c>
      <c r="AW239">
        <v>237</v>
      </c>
      <c r="AX239">
        <v>76.7</v>
      </c>
    </row>
    <row r="240" spans="1:50" x14ac:dyDescent="0.3">
      <c r="A240" s="4">
        <f>HYPERLINK("http://legacy.baseballprospectus.com/p/59639",59639)</f>
        <v>59639</v>
      </c>
      <c r="B240" t="s">
        <v>795</v>
      </c>
      <c r="C240" t="s">
        <v>142</v>
      </c>
      <c r="D240" s="10">
        <v>31213</v>
      </c>
      <c r="E240" t="s">
        <v>33</v>
      </c>
      <c r="F240" t="s">
        <v>33</v>
      </c>
      <c r="G240">
        <v>74</v>
      </c>
      <c r="H240">
        <v>200</v>
      </c>
      <c r="I240">
        <v>2018</v>
      </c>
      <c r="J240" s="4" t="str">
        <f>HYPERLINK("http://legacy.baseballprospectus.com/fantasy/dc/index.php?tm=DET","DET")</f>
        <v>DET</v>
      </c>
      <c r="K240" t="s">
        <v>95</v>
      </c>
      <c r="L240" t="s">
        <v>34</v>
      </c>
      <c r="M240">
        <v>33</v>
      </c>
      <c r="N240">
        <v>5.2</v>
      </c>
      <c r="O240">
        <v>7.4</v>
      </c>
      <c r="P240">
        <v>8</v>
      </c>
      <c r="Q240">
        <v>0</v>
      </c>
      <c r="R240">
        <v>0</v>
      </c>
      <c r="S240">
        <v>0</v>
      </c>
      <c r="T240">
        <v>19</v>
      </c>
      <c r="U240">
        <v>19</v>
      </c>
      <c r="V240" s="9">
        <v>100.66670000000001</v>
      </c>
      <c r="W240">
        <v>447</v>
      </c>
      <c r="X240">
        <v>106</v>
      </c>
      <c r="Y240">
        <v>16</v>
      </c>
      <c r="Z240">
        <v>38</v>
      </c>
      <c r="AA240">
        <v>2</v>
      </c>
      <c r="AB240">
        <v>6</v>
      </c>
      <c r="AC240">
        <v>85</v>
      </c>
      <c r="AD240">
        <v>3.4</v>
      </c>
      <c r="AE240">
        <v>7.6</v>
      </c>
      <c r="AF240" s="5">
        <v>0.43</v>
      </c>
      <c r="AG240">
        <v>0.29699999999999999</v>
      </c>
      <c r="AH240">
        <v>1.44</v>
      </c>
      <c r="AI240">
        <v>4.9000000000000004</v>
      </c>
      <c r="AJ240">
        <v>5.0599999999999996</v>
      </c>
      <c r="AK240">
        <v>4.8</v>
      </c>
      <c r="AL240">
        <v>0.5</v>
      </c>
      <c r="AM240">
        <v>15</v>
      </c>
      <c r="AN240">
        <v>43</v>
      </c>
      <c r="AO240">
        <v>22</v>
      </c>
      <c r="AP240">
        <v>16</v>
      </c>
      <c r="AQ240" t="s">
        <v>2502</v>
      </c>
      <c r="AR240">
        <v>84</v>
      </c>
      <c r="AS240" t="s">
        <v>35</v>
      </c>
      <c r="AT240" t="s">
        <v>36</v>
      </c>
      <c r="AU240" s="4">
        <f>HYPERLINK("http://mlb.mlb.com/team/player.jsp?player_id=571666",571666)</f>
        <v>571666</v>
      </c>
      <c r="AV240">
        <v>29</v>
      </c>
      <c r="AW240">
        <v>1029</v>
      </c>
      <c r="AX240">
        <v>153.30000000000001</v>
      </c>
    </row>
    <row r="241" spans="1:50" x14ac:dyDescent="0.3">
      <c r="A241" s="4">
        <f>HYPERLINK("http://legacy.baseballprospectus.com/p/60031",60031)</f>
        <v>60031</v>
      </c>
      <c r="B241" t="s">
        <v>931</v>
      </c>
      <c r="C241" t="s">
        <v>234</v>
      </c>
      <c r="D241" s="10">
        <v>31707</v>
      </c>
      <c r="E241" t="s">
        <v>9</v>
      </c>
      <c r="F241" t="s">
        <v>9</v>
      </c>
      <c r="G241">
        <v>74</v>
      </c>
      <c r="H241">
        <v>195</v>
      </c>
      <c r="I241">
        <v>2018</v>
      </c>
      <c r="J241" s="4" t="str">
        <f>HYPERLINK("http://legacy.baseballprospectus.com/fantasy/dc/index.php?tm=COL","COL")</f>
        <v>COL</v>
      </c>
      <c r="K241" t="s">
        <v>100</v>
      </c>
      <c r="L241" t="s">
        <v>34</v>
      </c>
      <c r="M241">
        <v>31</v>
      </c>
      <c r="N241">
        <v>2.7</v>
      </c>
      <c r="O241">
        <v>2.6</v>
      </c>
      <c r="P241">
        <v>0</v>
      </c>
      <c r="Q241">
        <v>0</v>
      </c>
      <c r="R241">
        <v>0</v>
      </c>
      <c r="S241">
        <v>0</v>
      </c>
      <c r="T241">
        <v>52</v>
      </c>
      <c r="U241">
        <v>0</v>
      </c>
      <c r="V241" s="9">
        <v>55.333300000000001</v>
      </c>
      <c r="W241">
        <v>238</v>
      </c>
      <c r="X241">
        <v>55</v>
      </c>
      <c r="Y241">
        <v>6</v>
      </c>
      <c r="Z241">
        <v>21</v>
      </c>
      <c r="AA241">
        <v>3</v>
      </c>
      <c r="AB241">
        <v>2</v>
      </c>
      <c r="AC241">
        <v>48</v>
      </c>
      <c r="AD241">
        <v>3.4</v>
      </c>
      <c r="AE241">
        <v>7.8</v>
      </c>
      <c r="AF241" s="5">
        <v>0.53800000000000003</v>
      </c>
      <c r="AG241">
        <v>0.30099999999999999</v>
      </c>
      <c r="AH241">
        <v>1.37</v>
      </c>
      <c r="AI241">
        <v>3.96</v>
      </c>
      <c r="AJ241">
        <v>4.13</v>
      </c>
      <c r="AK241">
        <v>4.9000000000000004</v>
      </c>
      <c r="AL241">
        <v>0.5</v>
      </c>
      <c r="AM241">
        <v>15</v>
      </c>
      <c r="AN241">
        <v>36</v>
      </c>
      <c r="AO241">
        <v>22</v>
      </c>
      <c r="AP241">
        <v>18</v>
      </c>
      <c r="AQ241" t="s">
        <v>2459</v>
      </c>
      <c r="AR241">
        <v>73</v>
      </c>
      <c r="AS241" t="s">
        <v>35</v>
      </c>
      <c r="AT241" t="s">
        <v>36</v>
      </c>
      <c r="AU241" s="4">
        <f>HYPERLINK("http://mlb.mlb.com/team/player.jsp?player_id=543734",543734)</f>
        <v>543734</v>
      </c>
      <c r="AV241">
        <v>1232</v>
      </c>
      <c r="AW241">
        <v>232</v>
      </c>
      <c r="AX241">
        <v>85</v>
      </c>
    </row>
    <row r="242" spans="1:50" x14ac:dyDescent="0.3">
      <c r="A242" s="4">
        <f>HYPERLINK("http://legacy.baseballprospectus.com/p/60841",60841)</f>
        <v>60841</v>
      </c>
      <c r="B242" t="s">
        <v>923</v>
      </c>
      <c r="C242" t="s">
        <v>924</v>
      </c>
      <c r="D242" s="10">
        <v>33262</v>
      </c>
      <c r="E242" t="s">
        <v>33</v>
      </c>
      <c r="F242" t="s">
        <v>9</v>
      </c>
      <c r="G242">
        <v>75</v>
      </c>
      <c r="H242">
        <v>215</v>
      </c>
      <c r="I242">
        <v>2018</v>
      </c>
      <c r="J242" s="4" t="str">
        <f>HYPERLINK("http://legacy.baseballprospectus.com/fantasy/dc/index.php?tm=WAS","WAS")</f>
        <v>WAS</v>
      </c>
      <c r="K242" t="s">
        <v>100</v>
      </c>
      <c r="L242" t="s">
        <v>34</v>
      </c>
      <c r="M242">
        <v>27</v>
      </c>
      <c r="N242">
        <v>2.7</v>
      </c>
      <c r="O242">
        <v>2.2000000000000002</v>
      </c>
      <c r="P242">
        <v>0</v>
      </c>
      <c r="Q242">
        <v>0</v>
      </c>
      <c r="R242">
        <v>0</v>
      </c>
      <c r="S242">
        <v>1</v>
      </c>
      <c r="T242">
        <v>49</v>
      </c>
      <c r="U242">
        <v>0</v>
      </c>
      <c r="V242" s="9">
        <v>52</v>
      </c>
      <c r="W242">
        <v>224</v>
      </c>
      <c r="X242">
        <v>48</v>
      </c>
      <c r="Y242">
        <v>7</v>
      </c>
      <c r="Z242">
        <v>23</v>
      </c>
      <c r="AA242">
        <v>2</v>
      </c>
      <c r="AB242">
        <v>2</v>
      </c>
      <c r="AC242">
        <v>58</v>
      </c>
      <c r="AD242">
        <v>3.9</v>
      </c>
      <c r="AE242">
        <v>10.1</v>
      </c>
      <c r="AF242" s="5">
        <v>0.41899999999999998</v>
      </c>
      <c r="AG242">
        <v>0.30099999999999999</v>
      </c>
      <c r="AH242">
        <v>1.35</v>
      </c>
      <c r="AI242">
        <v>3.82</v>
      </c>
      <c r="AJ242">
        <v>4.1399999999999997</v>
      </c>
      <c r="AK242">
        <v>4.5999999999999996</v>
      </c>
      <c r="AL242">
        <v>0.5</v>
      </c>
      <c r="AM242">
        <v>36</v>
      </c>
      <c r="AN242">
        <v>58</v>
      </c>
      <c r="AO242">
        <v>18</v>
      </c>
      <c r="AP242">
        <v>21</v>
      </c>
      <c r="AQ242" t="s">
        <v>2557</v>
      </c>
      <c r="AR242">
        <v>88</v>
      </c>
      <c r="AS242" t="s">
        <v>35</v>
      </c>
      <c r="AT242" t="s">
        <v>36</v>
      </c>
      <c r="AU242" s="4">
        <f>HYPERLINK("http://mlb.mlb.com/team/player.jsp?player_id=544836",544836)</f>
        <v>544836</v>
      </c>
      <c r="AV242">
        <v>1284</v>
      </c>
      <c r="AW242">
        <v>284</v>
      </c>
      <c r="AX242">
        <v>55.7</v>
      </c>
    </row>
    <row r="243" spans="1:50" x14ac:dyDescent="0.3">
      <c r="A243" s="4">
        <f>HYPERLINK("http://legacy.baseballprospectus.com/p/60921",60921)</f>
        <v>60921</v>
      </c>
      <c r="B243" t="s">
        <v>2014</v>
      </c>
      <c r="C243" t="s">
        <v>449</v>
      </c>
      <c r="D243" s="10">
        <v>32478</v>
      </c>
      <c r="E243" t="s">
        <v>33</v>
      </c>
      <c r="F243" t="s">
        <v>33</v>
      </c>
      <c r="G243">
        <v>74</v>
      </c>
      <c r="H243">
        <v>220</v>
      </c>
      <c r="I243">
        <v>2018</v>
      </c>
      <c r="J243" s="4" t="str">
        <f>HYPERLINK("http://legacy.baseballprospectus.com/fantasy/dc/index.php?tm=MIA","MIA")</f>
        <v>MIA</v>
      </c>
      <c r="K243" t="s">
        <v>100</v>
      </c>
      <c r="L243" t="s">
        <v>34</v>
      </c>
      <c r="M243">
        <v>29</v>
      </c>
      <c r="N243">
        <v>7</v>
      </c>
      <c r="O243">
        <v>11.1</v>
      </c>
      <c r="P243">
        <v>12</v>
      </c>
      <c r="Q243">
        <v>0</v>
      </c>
      <c r="R243">
        <v>0</v>
      </c>
      <c r="S243">
        <v>0</v>
      </c>
      <c r="T243">
        <v>26</v>
      </c>
      <c r="U243">
        <v>26</v>
      </c>
      <c r="V243" s="9">
        <v>148.33330000000001</v>
      </c>
      <c r="W243">
        <v>636</v>
      </c>
      <c r="X243">
        <v>143</v>
      </c>
      <c r="Y243">
        <v>25</v>
      </c>
      <c r="Z243">
        <v>53</v>
      </c>
      <c r="AA243">
        <v>3</v>
      </c>
      <c r="AB243">
        <v>6</v>
      </c>
      <c r="AC243">
        <v>138</v>
      </c>
      <c r="AD243">
        <v>3.2</v>
      </c>
      <c r="AE243">
        <v>8.4</v>
      </c>
      <c r="AF243" s="5">
        <v>0.36799999999999999</v>
      </c>
      <c r="AG243">
        <v>0.28699999999999998</v>
      </c>
      <c r="AH243">
        <v>1.31</v>
      </c>
      <c r="AI243">
        <v>4.62</v>
      </c>
      <c r="AJ243">
        <v>4.9400000000000004</v>
      </c>
      <c r="AK243">
        <v>5</v>
      </c>
      <c r="AL243">
        <v>0.5</v>
      </c>
      <c r="AM243">
        <v>28</v>
      </c>
      <c r="AN243">
        <v>50</v>
      </c>
      <c r="AO243">
        <v>20</v>
      </c>
      <c r="AP243">
        <v>17</v>
      </c>
      <c r="AQ243" t="s">
        <v>2367</v>
      </c>
      <c r="AR243">
        <v>91</v>
      </c>
      <c r="AS243" t="s">
        <v>35</v>
      </c>
      <c r="AT243" t="s">
        <v>36</v>
      </c>
      <c r="AU243" s="4">
        <f>HYPERLINK("http://mlb.mlb.com/team/player.jsp?player_id=573185",573185)</f>
        <v>573185</v>
      </c>
      <c r="AV243">
        <v>1013</v>
      </c>
      <c r="AW243">
        <v>13</v>
      </c>
      <c r="AX243">
        <v>181.7</v>
      </c>
    </row>
    <row r="244" spans="1:50" x14ac:dyDescent="0.3">
      <c r="A244" s="4">
        <f>HYPERLINK("http://legacy.baseballprospectus.com/p/66311",66311)</f>
        <v>66311</v>
      </c>
      <c r="B244" t="s">
        <v>1166</v>
      </c>
      <c r="C244" t="s">
        <v>119</v>
      </c>
      <c r="D244" s="10">
        <v>33493</v>
      </c>
      <c r="E244" t="s">
        <v>33</v>
      </c>
      <c r="F244" t="s">
        <v>33</v>
      </c>
      <c r="G244">
        <v>74</v>
      </c>
      <c r="H244">
        <v>200</v>
      </c>
      <c r="I244">
        <v>2018</v>
      </c>
      <c r="J244" s="4" t="str">
        <f>HYPERLINK("http://legacy.baseballprospectus.com/fantasy/dc/index.php?tm=MIA","MIA")</f>
        <v>MIA</v>
      </c>
      <c r="K244" t="s">
        <v>100</v>
      </c>
      <c r="L244" t="s">
        <v>34</v>
      </c>
      <c r="M244">
        <v>26</v>
      </c>
      <c r="N244">
        <v>7.4</v>
      </c>
      <c r="O244">
        <v>11.4</v>
      </c>
      <c r="P244">
        <v>11</v>
      </c>
      <c r="Q244">
        <v>0</v>
      </c>
      <c r="R244">
        <v>0</v>
      </c>
      <c r="S244">
        <v>0</v>
      </c>
      <c r="T244">
        <v>26</v>
      </c>
      <c r="U244">
        <v>26</v>
      </c>
      <c r="V244" s="9">
        <v>156</v>
      </c>
      <c r="W244">
        <v>675</v>
      </c>
      <c r="X244">
        <v>155</v>
      </c>
      <c r="Y244">
        <v>21</v>
      </c>
      <c r="Z244">
        <v>61</v>
      </c>
      <c r="AA244">
        <v>4</v>
      </c>
      <c r="AB244">
        <v>8</v>
      </c>
      <c r="AC244">
        <v>121</v>
      </c>
      <c r="AD244">
        <v>3.5</v>
      </c>
      <c r="AE244">
        <v>7</v>
      </c>
      <c r="AF244" s="5">
        <v>0.45800000000000002</v>
      </c>
      <c r="AG244">
        <v>0.28899999999999998</v>
      </c>
      <c r="AH244">
        <v>1.37</v>
      </c>
      <c r="AI244">
        <v>4.6500000000000004</v>
      </c>
      <c r="AJ244">
        <v>4.97</v>
      </c>
      <c r="AK244">
        <v>4.8</v>
      </c>
      <c r="AL244">
        <v>0.5</v>
      </c>
      <c r="AM244">
        <v>28</v>
      </c>
      <c r="AN244">
        <v>53</v>
      </c>
      <c r="AO244">
        <v>7</v>
      </c>
      <c r="AP244">
        <v>19</v>
      </c>
      <c r="AQ244" t="s">
        <v>2559</v>
      </c>
      <c r="AR244">
        <v>90</v>
      </c>
      <c r="AS244" t="s">
        <v>35</v>
      </c>
      <c r="AT244" t="s">
        <v>36</v>
      </c>
      <c r="AU244" s="4">
        <f>HYPERLINK("http://mlb.mlb.com/team/player.jsp?player_id=570632",570632)</f>
        <v>570632</v>
      </c>
      <c r="AV244">
        <v>1019</v>
      </c>
      <c r="AW244">
        <v>19</v>
      </c>
      <c r="AX244">
        <v>169.7</v>
      </c>
    </row>
    <row r="245" spans="1:50" x14ac:dyDescent="0.3">
      <c r="A245" s="4">
        <f>HYPERLINK("http://legacy.baseballprospectus.com/p/49766",49766)</f>
        <v>49766</v>
      </c>
      <c r="B245" t="s">
        <v>866</v>
      </c>
      <c r="C245" t="s">
        <v>254</v>
      </c>
      <c r="D245" s="10">
        <v>31128</v>
      </c>
      <c r="E245" t="s">
        <v>33</v>
      </c>
      <c r="F245" t="s">
        <v>33</v>
      </c>
      <c r="G245">
        <v>78</v>
      </c>
      <c r="H245">
        <v>260</v>
      </c>
      <c r="I245">
        <v>2018</v>
      </c>
      <c r="J245" s="4" t="str">
        <f>HYPERLINK("http://legacy.baseballprospectus.com/fantasy/dc/index.php?tm=LAN","LAN")</f>
        <v>LAN</v>
      </c>
      <c r="K245" t="s">
        <v>100</v>
      </c>
      <c r="L245" t="s">
        <v>34</v>
      </c>
      <c r="M245">
        <v>33</v>
      </c>
      <c r="N245">
        <v>7</v>
      </c>
      <c r="O245">
        <v>5.9</v>
      </c>
      <c r="P245">
        <v>8.9</v>
      </c>
      <c r="Q245">
        <v>0</v>
      </c>
      <c r="R245">
        <v>0.6</v>
      </c>
      <c r="S245">
        <v>0</v>
      </c>
      <c r="T245">
        <v>32.700000000000003</v>
      </c>
      <c r="U245">
        <v>18.8</v>
      </c>
      <c r="V245" s="9">
        <v>110.66670000000001</v>
      </c>
      <c r="W245">
        <v>470</v>
      </c>
      <c r="X245">
        <v>104</v>
      </c>
      <c r="Y245">
        <v>13</v>
      </c>
      <c r="Z245">
        <v>47</v>
      </c>
      <c r="AA245" t="s">
        <v>1680</v>
      </c>
      <c r="AB245">
        <v>11</v>
      </c>
      <c r="AC245">
        <v>97</v>
      </c>
      <c r="AD245">
        <v>3.8</v>
      </c>
      <c r="AE245">
        <v>7.9</v>
      </c>
      <c r="AF245" s="5">
        <v>0.49171504378318698</v>
      </c>
      <c r="AG245">
        <v>0.30199999999999999</v>
      </c>
      <c r="AH245">
        <v>1.37</v>
      </c>
      <c r="AI245">
        <v>4.45</v>
      </c>
      <c r="AJ245">
        <v>5.14</v>
      </c>
      <c r="AK245">
        <v>4.9000000000000004</v>
      </c>
      <c r="AL245">
        <v>0.5</v>
      </c>
      <c r="AM245">
        <v>12</v>
      </c>
      <c r="AN245">
        <v>37</v>
      </c>
      <c r="AO245">
        <v>17</v>
      </c>
      <c r="AP245">
        <v>9</v>
      </c>
      <c r="AQ245" t="s">
        <v>2865</v>
      </c>
      <c r="AR245">
        <v>76</v>
      </c>
      <c r="AS245" t="s">
        <v>36</v>
      </c>
      <c r="AT245" t="s">
        <v>35</v>
      </c>
      <c r="AU245" s="4">
        <f>HYPERLINK("http://mlb.mlb.com/team/player.jsp?player_id=475416",475416)</f>
        <v>475416</v>
      </c>
      <c r="AV245">
        <v>0</v>
      </c>
      <c r="AW245">
        <v>0</v>
      </c>
      <c r="AX245">
        <v>0</v>
      </c>
    </row>
    <row r="246" spans="1:50" x14ac:dyDescent="0.3">
      <c r="A246" s="4">
        <f>HYPERLINK("http://legacy.baseballprospectus.com/p/51845",51845)</f>
        <v>51845</v>
      </c>
      <c r="B246" t="s">
        <v>2423</v>
      </c>
      <c r="C246" t="s">
        <v>439</v>
      </c>
      <c r="D246" s="10">
        <v>31123</v>
      </c>
      <c r="E246" t="s">
        <v>33</v>
      </c>
      <c r="F246" t="s">
        <v>33</v>
      </c>
      <c r="G246">
        <v>74</v>
      </c>
      <c r="H246">
        <v>200</v>
      </c>
      <c r="I246">
        <v>2018</v>
      </c>
      <c r="J246" s="4" t="str">
        <f>HYPERLINK("http://legacy.baseballprospectus.com/fantasy/dc/index.php?tm=TOR","TOR")</f>
        <v>TOR</v>
      </c>
      <c r="K246" t="s">
        <v>95</v>
      </c>
      <c r="L246" t="s">
        <v>34</v>
      </c>
      <c r="M246">
        <v>33</v>
      </c>
      <c r="N246">
        <v>4.9000000000000004</v>
      </c>
      <c r="O246">
        <v>5</v>
      </c>
      <c r="P246">
        <v>5.5</v>
      </c>
      <c r="Q246">
        <v>0</v>
      </c>
      <c r="R246">
        <v>0.1</v>
      </c>
      <c r="S246">
        <v>0</v>
      </c>
      <c r="T246">
        <v>26.2</v>
      </c>
      <c r="U246">
        <v>12.8</v>
      </c>
      <c r="V246" s="9">
        <v>89.333299999999994</v>
      </c>
      <c r="W246">
        <v>391</v>
      </c>
      <c r="X246">
        <v>100</v>
      </c>
      <c r="Y246">
        <v>13</v>
      </c>
      <c r="Z246">
        <v>28</v>
      </c>
      <c r="AA246" t="s">
        <v>1680</v>
      </c>
      <c r="AB246">
        <v>4</v>
      </c>
      <c r="AC246">
        <v>66</v>
      </c>
      <c r="AD246">
        <v>2.8</v>
      </c>
      <c r="AE246">
        <v>6.7</v>
      </c>
      <c r="AF246" s="5">
        <v>0.497594654560089</v>
      </c>
      <c r="AG246">
        <v>0.311</v>
      </c>
      <c r="AH246">
        <v>1.43</v>
      </c>
      <c r="AI246">
        <v>4.9000000000000004</v>
      </c>
      <c r="AJ246">
        <v>5.13</v>
      </c>
      <c r="AK246">
        <v>4.8</v>
      </c>
      <c r="AL246">
        <v>0.5</v>
      </c>
      <c r="AM246">
        <v>7</v>
      </c>
      <c r="AN246">
        <v>12</v>
      </c>
      <c r="AO246">
        <v>6</v>
      </c>
      <c r="AP246">
        <v>7</v>
      </c>
      <c r="AQ246" t="s">
        <v>2424</v>
      </c>
      <c r="AR246">
        <v>21</v>
      </c>
      <c r="AS246" t="s">
        <v>36</v>
      </c>
      <c r="AT246" t="s">
        <v>36</v>
      </c>
      <c r="AU246" s="4">
        <f>HYPERLINK("http://mlb.mlb.com/team/player.jsp?player_id=491624",491624)</f>
        <v>491624</v>
      </c>
      <c r="AV246">
        <v>0</v>
      </c>
      <c r="AW246">
        <v>0</v>
      </c>
      <c r="AX246">
        <v>30.7</v>
      </c>
    </row>
    <row r="247" spans="1:50" x14ac:dyDescent="0.3">
      <c r="A247" s="4">
        <f>HYPERLINK("http://legacy.baseballprospectus.com/p/57708",57708)</f>
        <v>57708</v>
      </c>
      <c r="B247" t="s">
        <v>837</v>
      </c>
      <c r="C247" t="s">
        <v>302</v>
      </c>
      <c r="D247" s="10">
        <v>31371</v>
      </c>
      <c r="E247" t="s">
        <v>33</v>
      </c>
      <c r="F247" t="s">
        <v>33</v>
      </c>
      <c r="G247">
        <v>70</v>
      </c>
      <c r="H247">
        <v>205</v>
      </c>
      <c r="I247">
        <v>2018</v>
      </c>
      <c r="J247" s="4" t="str">
        <f>HYPERLINK("http://legacy.baseballprospectus.com/fantasy/dc/index.php?tm=COL","COL")</f>
        <v>COL</v>
      </c>
      <c r="K247" t="s">
        <v>100</v>
      </c>
      <c r="L247" t="s">
        <v>34</v>
      </c>
      <c r="M247">
        <v>32</v>
      </c>
      <c r="N247">
        <v>2</v>
      </c>
      <c r="O247">
        <v>0.8</v>
      </c>
      <c r="P247">
        <v>0</v>
      </c>
      <c r="Q247">
        <v>0</v>
      </c>
      <c r="R247">
        <v>25.5</v>
      </c>
      <c r="S247">
        <v>0</v>
      </c>
      <c r="T247">
        <v>37.9</v>
      </c>
      <c r="U247">
        <v>0</v>
      </c>
      <c r="V247" s="9">
        <v>40</v>
      </c>
      <c r="W247">
        <v>166</v>
      </c>
      <c r="X247">
        <v>35</v>
      </c>
      <c r="Y247">
        <v>4</v>
      </c>
      <c r="Z247">
        <v>18</v>
      </c>
      <c r="AA247" t="s">
        <v>1680</v>
      </c>
      <c r="AB247">
        <v>1</v>
      </c>
      <c r="AC247">
        <v>45</v>
      </c>
      <c r="AD247">
        <v>4</v>
      </c>
      <c r="AE247">
        <v>10.1</v>
      </c>
      <c r="AF247" s="5">
        <v>0.44535166025161699</v>
      </c>
      <c r="AG247">
        <v>0.314</v>
      </c>
      <c r="AH247">
        <v>1.31</v>
      </c>
      <c r="AI247">
        <v>3.64</v>
      </c>
      <c r="AJ247">
        <v>4.01</v>
      </c>
      <c r="AK247">
        <v>4.4000000000000004</v>
      </c>
      <c r="AL247">
        <v>0.5</v>
      </c>
      <c r="AM247">
        <v>18</v>
      </c>
      <c r="AN247">
        <v>39</v>
      </c>
      <c r="AO247">
        <v>23</v>
      </c>
      <c r="AP247">
        <v>8</v>
      </c>
      <c r="AQ247" t="s">
        <v>2642</v>
      </c>
      <c r="AR247">
        <v>92</v>
      </c>
      <c r="AS247" t="s">
        <v>36</v>
      </c>
      <c r="AT247" t="s">
        <v>36</v>
      </c>
      <c r="AU247" s="4">
        <f>HYPERLINK("http://mlb.mlb.com/team/player.jsp?player_id=518813",518813)</f>
        <v>518813</v>
      </c>
      <c r="AV247">
        <v>0</v>
      </c>
      <c r="AW247">
        <v>0</v>
      </c>
      <c r="AX247">
        <v>57.3</v>
      </c>
    </row>
    <row r="248" spans="1:50" x14ac:dyDescent="0.3">
      <c r="A248" s="4">
        <f>HYPERLINK("http://legacy.baseballprospectus.com/p/68438",68438)</f>
        <v>68438</v>
      </c>
      <c r="B248" t="s">
        <v>1301</v>
      </c>
      <c r="C248" t="s">
        <v>258</v>
      </c>
      <c r="D248" s="10">
        <v>32194</v>
      </c>
      <c r="E248" t="s">
        <v>9</v>
      </c>
      <c r="F248" t="s">
        <v>9</v>
      </c>
      <c r="G248">
        <v>76</v>
      </c>
      <c r="H248">
        <v>210</v>
      </c>
      <c r="I248">
        <v>2018</v>
      </c>
      <c r="J248" s="4" t="str">
        <f>HYPERLINK("http://legacy.baseballprospectus.com/fantasy/dc/index.php?tm=SLN","SLN")</f>
        <v>SLN</v>
      </c>
      <c r="K248" t="s">
        <v>100</v>
      </c>
      <c r="L248" t="s">
        <v>34</v>
      </c>
      <c r="M248">
        <v>30</v>
      </c>
      <c r="N248">
        <v>3.1</v>
      </c>
      <c r="O248">
        <v>2.8</v>
      </c>
      <c r="P248">
        <v>0</v>
      </c>
      <c r="Q248">
        <v>0</v>
      </c>
      <c r="R248">
        <v>5</v>
      </c>
      <c r="S248">
        <v>4</v>
      </c>
      <c r="T248">
        <v>58</v>
      </c>
      <c r="U248">
        <v>0</v>
      </c>
      <c r="V248" s="9">
        <v>61.666699999999999</v>
      </c>
      <c r="W248">
        <v>262</v>
      </c>
      <c r="X248">
        <v>55</v>
      </c>
      <c r="Y248">
        <v>8</v>
      </c>
      <c r="Z248">
        <v>24</v>
      </c>
      <c r="AA248">
        <v>2</v>
      </c>
      <c r="AB248">
        <v>4</v>
      </c>
      <c r="AC248">
        <v>65</v>
      </c>
      <c r="AD248">
        <v>3.4</v>
      </c>
      <c r="AE248">
        <v>9.4</v>
      </c>
      <c r="AF248" s="5">
        <v>0.43</v>
      </c>
      <c r="AG248">
        <v>0.29199999999999998</v>
      </c>
      <c r="AH248">
        <v>1.28</v>
      </c>
      <c r="AI248">
        <v>4.05</v>
      </c>
      <c r="AJ248">
        <v>4.2699999999999996</v>
      </c>
      <c r="AK248">
        <v>4.5999999999999996</v>
      </c>
      <c r="AL248">
        <v>0.5</v>
      </c>
      <c r="AM248">
        <v>17</v>
      </c>
      <c r="AN248">
        <v>48</v>
      </c>
      <c r="AO248">
        <v>15</v>
      </c>
      <c r="AP248">
        <v>14</v>
      </c>
      <c r="AQ248" t="s">
        <v>2513</v>
      </c>
      <c r="AR248">
        <v>82</v>
      </c>
      <c r="AS248" t="s">
        <v>35</v>
      </c>
      <c r="AT248" t="s">
        <v>36</v>
      </c>
      <c r="AU248" s="4">
        <f>HYPERLINK("http://mlb.mlb.com/team/player.jsp?player_id=544928",544928)</f>
        <v>544928</v>
      </c>
      <c r="AV248">
        <v>1288</v>
      </c>
      <c r="AW248">
        <v>288</v>
      </c>
      <c r="AX248">
        <v>54</v>
      </c>
    </row>
    <row r="249" spans="1:50" x14ac:dyDescent="0.3">
      <c r="A249" s="4">
        <f>HYPERLINK("http://legacy.baseballprospectus.com/p/68691",68691)</f>
        <v>68691</v>
      </c>
      <c r="B249" t="s">
        <v>1498</v>
      </c>
      <c r="C249" t="s">
        <v>1499</v>
      </c>
      <c r="D249" s="10">
        <v>33445</v>
      </c>
      <c r="E249" t="s">
        <v>33</v>
      </c>
      <c r="F249" t="s">
        <v>33</v>
      </c>
      <c r="G249">
        <v>76</v>
      </c>
      <c r="H249">
        <v>215</v>
      </c>
      <c r="I249">
        <v>2018</v>
      </c>
      <c r="J249" s="4" t="str">
        <f>HYPERLINK("http://legacy.baseballprospectus.com/fantasy/dc/index.php?tm=TBA","TBA")</f>
        <v>TBA</v>
      </c>
      <c r="K249" t="s">
        <v>95</v>
      </c>
      <c r="L249" t="s">
        <v>34</v>
      </c>
      <c r="M249">
        <v>26</v>
      </c>
      <c r="N249">
        <v>2.6</v>
      </c>
      <c r="O249">
        <v>2.2000000000000002</v>
      </c>
      <c r="P249">
        <v>0</v>
      </c>
      <c r="Q249">
        <v>0</v>
      </c>
      <c r="R249">
        <v>2</v>
      </c>
      <c r="S249">
        <v>3</v>
      </c>
      <c r="T249">
        <v>48</v>
      </c>
      <c r="U249">
        <v>0</v>
      </c>
      <c r="V249" s="9">
        <v>51</v>
      </c>
      <c r="W249">
        <v>216</v>
      </c>
      <c r="X249">
        <v>43</v>
      </c>
      <c r="Y249">
        <v>7</v>
      </c>
      <c r="Z249">
        <v>23</v>
      </c>
      <c r="AA249">
        <v>2</v>
      </c>
      <c r="AB249">
        <v>2</v>
      </c>
      <c r="AC249">
        <v>60</v>
      </c>
      <c r="AD249">
        <v>4</v>
      </c>
      <c r="AE249">
        <v>10.6</v>
      </c>
      <c r="AF249" s="5">
        <v>0.44600000000000001</v>
      </c>
      <c r="AG249">
        <v>0.29099999999999998</v>
      </c>
      <c r="AH249">
        <v>1.28</v>
      </c>
      <c r="AI249">
        <v>3.79</v>
      </c>
      <c r="AJ249">
        <v>4.3600000000000003</v>
      </c>
      <c r="AK249">
        <v>4.7</v>
      </c>
      <c r="AL249">
        <v>0.5</v>
      </c>
      <c r="AM249">
        <v>18</v>
      </c>
      <c r="AN249">
        <v>29</v>
      </c>
      <c r="AO249">
        <v>21</v>
      </c>
      <c r="AP249">
        <v>42</v>
      </c>
      <c r="AQ249" t="s">
        <v>2649</v>
      </c>
      <c r="AR249">
        <v>60</v>
      </c>
      <c r="AS249" t="s">
        <v>35</v>
      </c>
      <c r="AT249" t="s">
        <v>35</v>
      </c>
      <c r="AU249" s="4">
        <f>HYPERLINK("http://mlb.mlb.com/team/player.jsp?player_id=592773",592773)</f>
        <v>592773</v>
      </c>
      <c r="AV249">
        <v>320</v>
      </c>
      <c r="AW249">
        <v>1320</v>
      </c>
      <c r="AX249">
        <v>20</v>
      </c>
    </row>
    <row r="250" spans="1:50" x14ac:dyDescent="0.3">
      <c r="A250" s="4">
        <f>HYPERLINK("http://legacy.baseballprospectus.com/p/70349",70349)</f>
        <v>70349</v>
      </c>
      <c r="B250" t="s">
        <v>756</v>
      </c>
      <c r="C250" t="s">
        <v>225</v>
      </c>
      <c r="D250" s="10">
        <v>32694</v>
      </c>
      <c r="E250" t="s">
        <v>9</v>
      </c>
      <c r="F250" t="s">
        <v>9</v>
      </c>
      <c r="G250">
        <v>76</v>
      </c>
      <c r="H250">
        <v>214</v>
      </c>
      <c r="I250">
        <v>2018</v>
      </c>
      <c r="J250" s="4" t="str">
        <f>HYPERLINK("http://legacy.baseballprospectus.com/fantasy/dc/index.php?tm=LAN","LAN")</f>
        <v>LAN</v>
      </c>
      <c r="K250" t="s">
        <v>100</v>
      </c>
      <c r="L250" t="s">
        <v>34</v>
      </c>
      <c r="M250">
        <v>28</v>
      </c>
      <c r="N250">
        <v>2.5</v>
      </c>
      <c r="O250">
        <v>1.8</v>
      </c>
      <c r="P250">
        <v>0</v>
      </c>
      <c r="Q250">
        <v>0</v>
      </c>
      <c r="R250">
        <v>0</v>
      </c>
      <c r="S250">
        <v>1</v>
      </c>
      <c r="T250">
        <v>42</v>
      </c>
      <c r="U250">
        <v>0</v>
      </c>
      <c r="V250" s="9">
        <v>44.666699999999999</v>
      </c>
      <c r="W250">
        <v>188</v>
      </c>
      <c r="X250">
        <v>37</v>
      </c>
      <c r="Y250">
        <v>5</v>
      </c>
      <c r="Z250">
        <v>19</v>
      </c>
      <c r="AA250">
        <v>2</v>
      </c>
      <c r="AB250">
        <v>2</v>
      </c>
      <c r="AC250">
        <v>51</v>
      </c>
      <c r="AD250">
        <v>3.8</v>
      </c>
      <c r="AE250">
        <v>10.3</v>
      </c>
      <c r="AF250" s="5">
        <v>0.441</v>
      </c>
      <c r="AG250">
        <v>0.28399999999999997</v>
      </c>
      <c r="AH250">
        <v>1.23</v>
      </c>
      <c r="AI250">
        <v>3.57</v>
      </c>
      <c r="AJ250">
        <v>4.0999999999999996</v>
      </c>
      <c r="AK250">
        <v>4.0999999999999996</v>
      </c>
      <c r="AL250">
        <v>0.5</v>
      </c>
      <c r="AM250">
        <v>22</v>
      </c>
      <c r="AN250">
        <v>47</v>
      </c>
      <c r="AO250">
        <v>25</v>
      </c>
      <c r="AP250">
        <v>6</v>
      </c>
      <c r="AQ250" t="s">
        <v>2654</v>
      </c>
      <c r="AR250">
        <v>89</v>
      </c>
      <c r="AS250" t="s">
        <v>35</v>
      </c>
      <c r="AT250" t="s">
        <v>36</v>
      </c>
      <c r="AU250" s="4">
        <f>HYPERLINK("http://mlb.mlb.com/team/player.jsp?player_id=571561",571561)</f>
        <v>571561</v>
      </c>
      <c r="AV250">
        <v>1304</v>
      </c>
      <c r="AW250">
        <v>304</v>
      </c>
      <c r="AX250">
        <v>42.7</v>
      </c>
    </row>
    <row r="251" spans="1:50" x14ac:dyDescent="0.3">
      <c r="A251" s="4">
        <f>HYPERLINK("http://legacy.baseballprospectus.com/p/70812",70812)</f>
        <v>70812</v>
      </c>
      <c r="B251" t="s">
        <v>637</v>
      </c>
      <c r="C251" t="s">
        <v>746</v>
      </c>
      <c r="D251" s="10">
        <v>32800</v>
      </c>
      <c r="E251" t="s">
        <v>33</v>
      </c>
      <c r="F251" t="s">
        <v>33</v>
      </c>
      <c r="G251">
        <v>78</v>
      </c>
      <c r="H251">
        <v>215</v>
      </c>
      <c r="I251">
        <v>2018</v>
      </c>
      <c r="J251" s="4" t="str">
        <f>HYPERLINK("http://legacy.baseballprospectus.com/fantasy/dc/index.php?tm=BOS","BOS")</f>
        <v>BOS</v>
      </c>
      <c r="K251" t="s">
        <v>95</v>
      </c>
      <c r="L251" t="s">
        <v>34</v>
      </c>
      <c r="M251">
        <v>28</v>
      </c>
      <c r="N251">
        <v>2.4</v>
      </c>
      <c r="O251">
        <v>2.4</v>
      </c>
      <c r="P251">
        <v>0</v>
      </c>
      <c r="Q251">
        <v>0</v>
      </c>
      <c r="R251">
        <v>0</v>
      </c>
      <c r="S251">
        <v>1</v>
      </c>
      <c r="T251">
        <v>48</v>
      </c>
      <c r="U251">
        <v>0</v>
      </c>
      <c r="V251" s="9">
        <v>51</v>
      </c>
      <c r="W251">
        <v>226</v>
      </c>
      <c r="X251">
        <v>49</v>
      </c>
      <c r="Y251">
        <v>5</v>
      </c>
      <c r="Z251">
        <v>25</v>
      </c>
      <c r="AA251">
        <v>2</v>
      </c>
      <c r="AB251">
        <v>1</v>
      </c>
      <c r="AC251">
        <v>50</v>
      </c>
      <c r="AD251">
        <v>4.4000000000000004</v>
      </c>
      <c r="AE251">
        <v>8.8000000000000007</v>
      </c>
      <c r="AF251" s="5">
        <v>0.51400000000000001</v>
      </c>
      <c r="AG251">
        <v>0.307</v>
      </c>
      <c r="AH251">
        <v>1.48</v>
      </c>
      <c r="AI251">
        <v>3.83</v>
      </c>
      <c r="AJ251">
        <v>4.37</v>
      </c>
      <c r="AK251">
        <v>4.5999999999999996</v>
      </c>
      <c r="AL251">
        <v>0.5</v>
      </c>
      <c r="AM251">
        <v>34</v>
      </c>
      <c r="AN251">
        <v>48</v>
      </c>
      <c r="AO251">
        <v>20</v>
      </c>
      <c r="AP251">
        <v>16</v>
      </c>
      <c r="AQ251" t="s">
        <v>2579</v>
      </c>
      <c r="AR251">
        <v>84</v>
      </c>
      <c r="AS251" t="s">
        <v>35</v>
      </c>
      <c r="AT251" t="s">
        <v>36</v>
      </c>
      <c r="AU251" s="4">
        <f>HYPERLINK("http://mlb.mlb.com/team/player.jsp?player_id=605476",605476)</f>
        <v>605476</v>
      </c>
      <c r="AV251">
        <v>336</v>
      </c>
      <c r="AW251">
        <v>1336</v>
      </c>
      <c r="AX251">
        <v>6.7</v>
      </c>
    </row>
    <row r="252" spans="1:50" x14ac:dyDescent="0.3">
      <c r="A252" s="4">
        <f>HYPERLINK("http://legacy.baseballprospectus.com/p/99954",99954)</f>
        <v>99954</v>
      </c>
      <c r="B252" t="s">
        <v>922</v>
      </c>
      <c r="C252" t="s">
        <v>391</v>
      </c>
      <c r="D252" s="10">
        <v>33224</v>
      </c>
      <c r="E252" t="s">
        <v>9</v>
      </c>
      <c r="F252" t="s">
        <v>9</v>
      </c>
      <c r="G252">
        <v>75</v>
      </c>
      <c r="H252">
        <v>170</v>
      </c>
      <c r="I252">
        <v>2018</v>
      </c>
      <c r="J252" s="4" t="str">
        <f>HYPERLINK("http://legacy.baseballprospectus.com/fantasy/dc/index.php?tm=MIN","MIN")</f>
        <v>MIN</v>
      </c>
      <c r="K252" t="s">
        <v>95</v>
      </c>
      <c r="L252" t="s">
        <v>34</v>
      </c>
      <c r="M252">
        <v>27</v>
      </c>
      <c r="N252">
        <v>2.2000000000000002</v>
      </c>
      <c r="O252">
        <v>2.2999999999999998</v>
      </c>
      <c r="P252">
        <v>0</v>
      </c>
      <c r="Q252">
        <v>0</v>
      </c>
      <c r="R252">
        <v>0</v>
      </c>
      <c r="S252">
        <v>1</v>
      </c>
      <c r="T252">
        <v>45</v>
      </c>
      <c r="U252">
        <v>0</v>
      </c>
      <c r="V252" s="9">
        <v>47.666699999999999</v>
      </c>
      <c r="W252">
        <v>209</v>
      </c>
      <c r="X252">
        <v>47</v>
      </c>
      <c r="Y252">
        <v>6</v>
      </c>
      <c r="Z252">
        <v>20</v>
      </c>
      <c r="AA252">
        <v>3</v>
      </c>
      <c r="AB252">
        <v>3</v>
      </c>
      <c r="AC252">
        <v>43</v>
      </c>
      <c r="AD252">
        <v>3.7</v>
      </c>
      <c r="AE252">
        <v>8.1</v>
      </c>
      <c r="AF252" s="5">
        <v>0.47299999999999998</v>
      </c>
      <c r="AG252">
        <v>0.30399999999999999</v>
      </c>
      <c r="AH252">
        <v>1.43</v>
      </c>
      <c r="AI252">
        <v>4.13</v>
      </c>
      <c r="AJ252">
        <v>4.33</v>
      </c>
      <c r="AK252">
        <v>4.5</v>
      </c>
      <c r="AL252">
        <v>0.5</v>
      </c>
      <c r="AM252">
        <v>28</v>
      </c>
      <c r="AN252">
        <v>43</v>
      </c>
      <c r="AO252">
        <v>16</v>
      </c>
      <c r="AP252">
        <v>22</v>
      </c>
      <c r="AQ252" t="s">
        <v>2520</v>
      </c>
      <c r="AR252">
        <v>77</v>
      </c>
      <c r="AS252" t="s">
        <v>35</v>
      </c>
      <c r="AT252" t="s">
        <v>36</v>
      </c>
      <c r="AU252" s="4">
        <f>HYPERLINK("http://mlb.mlb.com/team/player.jsp?player_id=573124",573124)</f>
        <v>573124</v>
      </c>
      <c r="AV252">
        <v>274</v>
      </c>
      <c r="AW252">
        <v>1274</v>
      </c>
      <c r="AX252">
        <v>55.7</v>
      </c>
    </row>
    <row r="253" spans="1:50" x14ac:dyDescent="0.3">
      <c r="A253" s="4">
        <f>HYPERLINK("http://legacy.baseballprospectus.com/p/69302",69302)</f>
        <v>69302</v>
      </c>
      <c r="B253" t="s">
        <v>742</v>
      </c>
      <c r="C253" t="s">
        <v>1275</v>
      </c>
      <c r="D253" s="10">
        <v>31975</v>
      </c>
      <c r="E253" t="s">
        <v>33</v>
      </c>
      <c r="F253" t="s">
        <v>33</v>
      </c>
      <c r="G253">
        <v>74</v>
      </c>
      <c r="H253">
        <v>215</v>
      </c>
      <c r="I253">
        <v>2018</v>
      </c>
      <c r="J253" s="4" t="str">
        <f>HYPERLINK("http://legacy.baseballprospectus.com/fantasy/dc/index.php?tm=CLE","CLE")</f>
        <v>CLE</v>
      </c>
      <c r="K253" t="s">
        <v>95</v>
      </c>
      <c r="L253" t="s">
        <v>34</v>
      </c>
      <c r="M253">
        <v>30</v>
      </c>
      <c r="N253">
        <v>2.2000000000000002</v>
      </c>
      <c r="O253">
        <v>1.2</v>
      </c>
      <c r="P253">
        <v>1</v>
      </c>
      <c r="Q253">
        <v>0</v>
      </c>
      <c r="R253">
        <v>0.1</v>
      </c>
      <c r="S253">
        <v>0</v>
      </c>
      <c r="T253">
        <v>35</v>
      </c>
      <c r="U253">
        <v>2</v>
      </c>
      <c r="V253" s="9">
        <v>42.666699999999999</v>
      </c>
      <c r="W253">
        <v>188</v>
      </c>
      <c r="X253">
        <v>40</v>
      </c>
      <c r="Y253">
        <v>6</v>
      </c>
      <c r="Z253">
        <v>20</v>
      </c>
      <c r="AA253" t="s">
        <v>1680</v>
      </c>
      <c r="AB253">
        <v>1</v>
      </c>
      <c r="AC253">
        <v>49</v>
      </c>
      <c r="AD253">
        <v>4.3</v>
      </c>
      <c r="AE253">
        <v>10.4</v>
      </c>
      <c r="AF253" s="5">
        <v>0.44435310363769498</v>
      </c>
      <c r="AG253">
        <v>0.312</v>
      </c>
      <c r="AH253">
        <v>1.41</v>
      </c>
      <c r="AI253">
        <v>4.1900000000000004</v>
      </c>
      <c r="AJ253">
        <v>4.49</v>
      </c>
      <c r="AK253">
        <v>4.3</v>
      </c>
      <c r="AL253">
        <v>0.5</v>
      </c>
      <c r="AM253">
        <v>14</v>
      </c>
      <c r="AN253">
        <v>23</v>
      </c>
      <c r="AO253">
        <v>17</v>
      </c>
      <c r="AP253">
        <v>21</v>
      </c>
      <c r="AQ253" t="s">
        <v>2785</v>
      </c>
      <c r="AR253">
        <v>47</v>
      </c>
      <c r="AS253" t="s">
        <v>36</v>
      </c>
      <c r="AT253" t="s">
        <v>35</v>
      </c>
      <c r="AU253" s="4">
        <f>HYPERLINK("http://mlb.mlb.com/team/player.jsp?player_id=599998",599998)</f>
        <v>599998</v>
      </c>
      <c r="AV253">
        <v>0</v>
      </c>
      <c r="AW253">
        <v>0</v>
      </c>
      <c r="AX253">
        <v>13.7</v>
      </c>
    </row>
    <row r="254" spans="1:50" x14ac:dyDescent="0.3">
      <c r="A254" s="4">
        <f>HYPERLINK("http://legacy.baseballprospectus.com/p/101988",101988)</f>
        <v>101988</v>
      </c>
      <c r="B254" t="s">
        <v>1518</v>
      </c>
      <c r="C254" t="s">
        <v>1519</v>
      </c>
      <c r="D254" s="10">
        <v>35277</v>
      </c>
      <c r="E254" t="s">
        <v>9</v>
      </c>
      <c r="F254" t="s">
        <v>9</v>
      </c>
      <c r="G254">
        <v>75</v>
      </c>
      <c r="H254">
        <v>210</v>
      </c>
      <c r="I254">
        <v>2018</v>
      </c>
      <c r="J254" s="4" t="str">
        <f>HYPERLINK("http://legacy.baseballprospectus.com/fantasy/dc/index.php?tm=ATL","ATL")</f>
        <v>ATL</v>
      </c>
      <c r="K254" t="s">
        <v>100</v>
      </c>
      <c r="L254" t="s">
        <v>34</v>
      </c>
      <c r="M254">
        <v>21</v>
      </c>
      <c r="N254">
        <v>6</v>
      </c>
      <c r="O254">
        <v>7.2</v>
      </c>
      <c r="P254">
        <v>9</v>
      </c>
      <c r="Q254">
        <v>0</v>
      </c>
      <c r="R254">
        <v>0</v>
      </c>
      <c r="S254">
        <v>0</v>
      </c>
      <c r="T254">
        <v>19</v>
      </c>
      <c r="U254">
        <v>19</v>
      </c>
      <c r="V254" s="9">
        <v>108.33329999999999</v>
      </c>
      <c r="W254">
        <v>472</v>
      </c>
      <c r="X254">
        <v>105</v>
      </c>
      <c r="Y254">
        <v>20</v>
      </c>
      <c r="Z254">
        <v>46</v>
      </c>
      <c r="AA254">
        <v>2</v>
      </c>
      <c r="AB254">
        <v>2</v>
      </c>
      <c r="AC254">
        <v>126</v>
      </c>
      <c r="AD254">
        <v>3.8</v>
      </c>
      <c r="AE254">
        <v>10.5</v>
      </c>
      <c r="AF254" s="5">
        <v>0.44700000000000001</v>
      </c>
      <c r="AG254">
        <v>0.30499999999999999</v>
      </c>
      <c r="AH254">
        <v>1.41</v>
      </c>
      <c r="AI254">
        <v>4.3600000000000003</v>
      </c>
      <c r="AJ254">
        <v>4.8600000000000003</v>
      </c>
      <c r="AK254">
        <v>4.5</v>
      </c>
      <c r="AL254">
        <v>0.5</v>
      </c>
      <c r="AM254">
        <v>8</v>
      </c>
      <c r="AN254">
        <v>21</v>
      </c>
      <c r="AO254">
        <v>9</v>
      </c>
      <c r="AP254">
        <v>21</v>
      </c>
      <c r="AQ254" t="s">
        <v>2380</v>
      </c>
      <c r="AR254">
        <v>37</v>
      </c>
      <c r="AS254" t="s">
        <v>35</v>
      </c>
      <c r="AT254" t="s">
        <v>35</v>
      </c>
      <c r="AU254" s="4">
        <f>HYPERLINK("http://mlb.mlb.com/team/player.jsp?player_id=627894",627894)</f>
        <v>627894</v>
      </c>
      <c r="AV254">
        <v>1103</v>
      </c>
      <c r="AW254">
        <v>103</v>
      </c>
      <c r="AX254">
        <v>29.3</v>
      </c>
    </row>
    <row r="255" spans="1:50" x14ac:dyDescent="0.3">
      <c r="A255" s="4">
        <f>HYPERLINK("http://legacy.baseballprospectus.com/p/102625",102625)</f>
        <v>102625</v>
      </c>
      <c r="B255" t="s">
        <v>444</v>
      </c>
      <c r="C255" t="s">
        <v>169</v>
      </c>
      <c r="D255" s="10">
        <v>34716</v>
      </c>
      <c r="E255" t="s">
        <v>33</v>
      </c>
      <c r="F255" t="s">
        <v>33</v>
      </c>
      <c r="G255">
        <v>75</v>
      </c>
      <c r="H255">
        <v>220</v>
      </c>
      <c r="I255">
        <v>2018</v>
      </c>
      <c r="J255" s="4" t="str">
        <f>HYPERLINK("http://legacy.baseballprospectus.com/fantasy/dc/index.php?tm=DET","DET")</f>
        <v>DET</v>
      </c>
      <c r="K255" t="s">
        <v>95</v>
      </c>
      <c r="L255" t="s">
        <v>34</v>
      </c>
      <c r="M255">
        <v>23</v>
      </c>
      <c r="N255">
        <v>2.2999999999999998</v>
      </c>
      <c r="O255">
        <v>2.9</v>
      </c>
      <c r="P255">
        <v>0</v>
      </c>
      <c r="Q255">
        <v>0</v>
      </c>
      <c r="R255">
        <v>0</v>
      </c>
      <c r="S255">
        <v>4</v>
      </c>
      <c r="T255">
        <v>52</v>
      </c>
      <c r="U255">
        <v>0</v>
      </c>
      <c r="V255" s="9">
        <v>55.333300000000001</v>
      </c>
      <c r="W255">
        <v>241</v>
      </c>
      <c r="X255">
        <v>50</v>
      </c>
      <c r="Y255">
        <v>10</v>
      </c>
      <c r="Z255">
        <v>25</v>
      </c>
      <c r="AA255">
        <v>2</v>
      </c>
      <c r="AB255">
        <v>2</v>
      </c>
      <c r="AC255">
        <v>69</v>
      </c>
      <c r="AD255">
        <v>4</v>
      </c>
      <c r="AE255">
        <v>11.2</v>
      </c>
      <c r="AF255" s="5">
        <v>0.378</v>
      </c>
      <c r="AG255">
        <v>0.30299999999999999</v>
      </c>
      <c r="AH255">
        <v>1.37</v>
      </c>
      <c r="AI255">
        <v>4.4800000000000004</v>
      </c>
      <c r="AJ255">
        <v>4.51</v>
      </c>
      <c r="AK255">
        <v>4.3</v>
      </c>
      <c r="AL255">
        <v>0.5</v>
      </c>
      <c r="AM255">
        <v>18</v>
      </c>
      <c r="AN255">
        <v>25</v>
      </c>
      <c r="AO255">
        <v>14</v>
      </c>
      <c r="AP255">
        <v>22</v>
      </c>
      <c r="AQ255" t="s">
        <v>4938</v>
      </c>
      <c r="AR255">
        <v>46</v>
      </c>
      <c r="AS255" t="s">
        <v>35</v>
      </c>
      <c r="AT255" t="s">
        <v>35</v>
      </c>
      <c r="AU255" s="4">
        <f>HYPERLINK("http://mlb.mlb.com/team/player.jsp?player_id=641729",641729)</f>
        <v>641729</v>
      </c>
      <c r="AV255">
        <v>321</v>
      </c>
      <c r="AW255">
        <v>1321</v>
      </c>
      <c r="AX255">
        <v>19</v>
      </c>
    </row>
    <row r="256" spans="1:50" x14ac:dyDescent="0.3">
      <c r="A256" s="4">
        <f>HYPERLINK("http://legacy.baseballprospectus.com/p/103318",103318)</f>
        <v>103318</v>
      </c>
      <c r="B256" t="s">
        <v>1568</v>
      </c>
      <c r="C256" t="s">
        <v>808</v>
      </c>
      <c r="D256" s="10">
        <v>33723</v>
      </c>
      <c r="E256" t="s">
        <v>9</v>
      </c>
      <c r="F256" t="s">
        <v>9</v>
      </c>
      <c r="G256">
        <v>72</v>
      </c>
      <c r="H256">
        <v>200</v>
      </c>
      <c r="I256">
        <v>2018</v>
      </c>
      <c r="J256" s="4" t="str">
        <f>HYPERLINK("http://legacy.baseballprospectus.com/fantasy/dc/index.php?tm=PIT","PIT")</f>
        <v>PIT</v>
      </c>
      <c r="K256" t="s">
        <v>100</v>
      </c>
      <c r="L256" t="s">
        <v>34</v>
      </c>
      <c r="M256">
        <v>26</v>
      </c>
      <c r="N256">
        <v>4.5999999999999996</v>
      </c>
      <c r="O256">
        <v>5.0999999999999996</v>
      </c>
      <c r="P256">
        <v>5</v>
      </c>
      <c r="Q256">
        <v>0</v>
      </c>
      <c r="R256">
        <v>0</v>
      </c>
      <c r="S256">
        <v>0</v>
      </c>
      <c r="T256">
        <v>36</v>
      </c>
      <c r="U256">
        <v>10</v>
      </c>
      <c r="V256" s="9">
        <v>87</v>
      </c>
      <c r="W256">
        <v>377</v>
      </c>
      <c r="X256">
        <v>85</v>
      </c>
      <c r="Y256">
        <v>11</v>
      </c>
      <c r="Z256">
        <v>35</v>
      </c>
      <c r="AA256">
        <v>2</v>
      </c>
      <c r="AB256">
        <v>4</v>
      </c>
      <c r="AC256">
        <v>74</v>
      </c>
      <c r="AD256">
        <v>3.6</v>
      </c>
      <c r="AE256">
        <v>7.7</v>
      </c>
      <c r="AF256" s="5">
        <v>0.45700000000000002</v>
      </c>
      <c r="AG256">
        <v>0.29299999999999998</v>
      </c>
      <c r="AH256">
        <v>1.37</v>
      </c>
      <c r="AI256">
        <v>4.41</v>
      </c>
      <c r="AJ256">
        <v>4.7</v>
      </c>
      <c r="AK256">
        <v>4.3</v>
      </c>
      <c r="AL256">
        <v>0.5</v>
      </c>
      <c r="AM256">
        <v>27</v>
      </c>
      <c r="AN256">
        <v>55</v>
      </c>
      <c r="AO256">
        <v>18</v>
      </c>
      <c r="AP256">
        <v>29</v>
      </c>
      <c r="AQ256" t="s">
        <v>2359</v>
      </c>
      <c r="AR256">
        <v>84</v>
      </c>
      <c r="AS256" t="s">
        <v>35</v>
      </c>
      <c r="AT256" t="s">
        <v>36</v>
      </c>
      <c r="AU256" s="4">
        <f>HYPERLINK("http://mlb.mlb.com/team/player.jsp?player_id=643230",643230)</f>
        <v>643230</v>
      </c>
      <c r="AV256">
        <v>1092</v>
      </c>
      <c r="AW256">
        <v>92</v>
      </c>
      <c r="AX256">
        <v>34.700000000000003</v>
      </c>
    </row>
    <row r="257" spans="1:50" x14ac:dyDescent="0.3">
      <c r="A257" s="4">
        <f>HYPERLINK("http://legacy.baseballprospectus.com/p/103484",103484)</f>
        <v>103484</v>
      </c>
      <c r="B257" t="s">
        <v>1783</v>
      </c>
      <c r="C257" t="s">
        <v>136</v>
      </c>
      <c r="D257" s="10">
        <v>32751</v>
      </c>
      <c r="E257" t="s">
        <v>33</v>
      </c>
      <c r="F257" t="s">
        <v>33</v>
      </c>
      <c r="G257">
        <v>70</v>
      </c>
      <c r="H257">
        <v>180</v>
      </c>
      <c r="I257">
        <v>2018</v>
      </c>
      <c r="J257" s="4" t="str">
        <f>HYPERLINK("http://legacy.baseballprospectus.com/fantasy/dc/index.php?tm=TBA","TBA")</f>
        <v>TBA</v>
      </c>
      <c r="K257" t="s">
        <v>95</v>
      </c>
      <c r="L257" t="s">
        <v>34</v>
      </c>
      <c r="M257">
        <v>28</v>
      </c>
      <c r="N257">
        <v>5.3</v>
      </c>
      <c r="O257">
        <v>6.2</v>
      </c>
      <c r="P257">
        <v>8</v>
      </c>
      <c r="Q257">
        <v>0</v>
      </c>
      <c r="R257">
        <v>0</v>
      </c>
      <c r="S257">
        <v>0</v>
      </c>
      <c r="T257">
        <v>18</v>
      </c>
      <c r="U257">
        <v>18</v>
      </c>
      <c r="V257" s="9">
        <v>90</v>
      </c>
      <c r="W257">
        <v>391</v>
      </c>
      <c r="X257">
        <v>94</v>
      </c>
      <c r="Y257">
        <v>14</v>
      </c>
      <c r="Z257">
        <v>29</v>
      </c>
      <c r="AA257">
        <v>2</v>
      </c>
      <c r="AB257">
        <v>4</v>
      </c>
      <c r="AC257">
        <v>76</v>
      </c>
      <c r="AD257">
        <v>2.9</v>
      </c>
      <c r="AE257">
        <v>7.6</v>
      </c>
      <c r="AF257" s="5">
        <v>0.45300000000000001</v>
      </c>
      <c r="AG257">
        <v>0.3</v>
      </c>
      <c r="AH257">
        <v>1.39</v>
      </c>
      <c r="AI257">
        <v>4.37</v>
      </c>
      <c r="AJ257">
        <v>5.05</v>
      </c>
      <c r="AK257">
        <v>4.5</v>
      </c>
      <c r="AL257">
        <v>0.5</v>
      </c>
      <c r="AM257">
        <v>22</v>
      </c>
      <c r="AN257">
        <v>41</v>
      </c>
      <c r="AO257">
        <v>14</v>
      </c>
      <c r="AP257">
        <v>32</v>
      </c>
      <c r="AQ257" t="s">
        <v>2528</v>
      </c>
      <c r="AR257">
        <v>61</v>
      </c>
      <c r="AS257" t="s">
        <v>35</v>
      </c>
      <c r="AT257" t="s">
        <v>36</v>
      </c>
      <c r="AU257" s="4">
        <f>HYPERLINK("http://mlb.mlb.com/team/player.jsp?player_id=643493",643493)</f>
        <v>643493</v>
      </c>
      <c r="AV257">
        <v>64</v>
      </c>
      <c r="AW257">
        <v>1064</v>
      </c>
      <c r="AX257">
        <v>83</v>
      </c>
    </row>
    <row r="258" spans="1:50" x14ac:dyDescent="0.3">
      <c r="A258" s="4">
        <f>HYPERLINK("http://legacy.baseballprospectus.com/p/107263",107263)</f>
        <v>107263</v>
      </c>
      <c r="B258" t="s">
        <v>2047</v>
      </c>
      <c r="C258" t="s">
        <v>113</v>
      </c>
      <c r="D258" s="10">
        <v>34488</v>
      </c>
      <c r="E258" t="s">
        <v>9</v>
      </c>
      <c r="F258" t="s">
        <v>9</v>
      </c>
      <c r="G258">
        <v>75</v>
      </c>
      <c r="H258">
        <v>180</v>
      </c>
      <c r="I258">
        <v>2018</v>
      </c>
      <c r="J258" s="4" t="str">
        <f>HYPERLINK("http://legacy.baseballprospectus.com/fantasy/dc/index.php?tm=PIT","PIT")</f>
        <v>PIT</v>
      </c>
      <c r="K258" t="s">
        <v>100</v>
      </c>
      <c r="L258" t="s">
        <v>34</v>
      </c>
      <c r="M258">
        <v>24</v>
      </c>
      <c r="N258">
        <v>4.7</v>
      </c>
      <c r="O258">
        <v>4.8</v>
      </c>
      <c r="P258">
        <v>7.1</v>
      </c>
      <c r="Q258">
        <v>0</v>
      </c>
      <c r="R258">
        <v>0</v>
      </c>
      <c r="S258">
        <v>0</v>
      </c>
      <c r="T258">
        <v>15</v>
      </c>
      <c r="U258">
        <v>15</v>
      </c>
      <c r="V258" s="9">
        <v>76.666700000000006</v>
      </c>
      <c r="W258">
        <v>321</v>
      </c>
      <c r="X258">
        <v>76</v>
      </c>
      <c r="Y258">
        <v>11</v>
      </c>
      <c r="Z258">
        <v>30</v>
      </c>
      <c r="AA258" t="s">
        <v>1680</v>
      </c>
      <c r="AB258">
        <v>3</v>
      </c>
      <c r="AC258">
        <v>74</v>
      </c>
      <c r="AD258">
        <v>3.5</v>
      </c>
      <c r="AE258">
        <v>8.6999999999999993</v>
      </c>
      <c r="AF258" s="5">
        <v>0.48916149139404203</v>
      </c>
      <c r="AG258">
        <v>0.316</v>
      </c>
      <c r="AH258">
        <v>1.38</v>
      </c>
      <c r="AI258">
        <v>4.5199999999999996</v>
      </c>
      <c r="AJ258">
        <v>5.07</v>
      </c>
      <c r="AK258">
        <v>4.4000000000000004</v>
      </c>
      <c r="AL258">
        <v>0.5</v>
      </c>
      <c r="AM258">
        <v>8</v>
      </c>
      <c r="AN258">
        <v>21</v>
      </c>
      <c r="AO258">
        <v>13</v>
      </c>
      <c r="AP258">
        <v>29</v>
      </c>
      <c r="AQ258" t="s">
        <v>4937</v>
      </c>
      <c r="AR258">
        <v>40</v>
      </c>
      <c r="AS258" t="s">
        <v>36</v>
      </c>
      <c r="AT258" t="s">
        <v>35</v>
      </c>
      <c r="AU258" s="4">
        <f>HYPERLINK("http://mlb.mlb.com/team/player.jsp?player_id=663399",663399)</f>
        <v>663399</v>
      </c>
      <c r="AV258">
        <v>0</v>
      </c>
      <c r="AW258">
        <v>0</v>
      </c>
      <c r="AX258">
        <v>0</v>
      </c>
    </row>
    <row r="259" spans="1:50" x14ac:dyDescent="0.3">
      <c r="A259" s="4">
        <f>HYPERLINK("http://legacy.baseballprospectus.com/p/109107",109107)</f>
        <v>109107</v>
      </c>
      <c r="B259" t="s">
        <v>1456</v>
      </c>
      <c r="C259" t="s">
        <v>1439</v>
      </c>
      <c r="D259" s="10">
        <v>35688</v>
      </c>
      <c r="E259" t="s">
        <v>33</v>
      </c>
      <c r="F259" t="s">
        <v>33</v>
      </c>
      <c r="G259">
        <v>79</v>
      </c>
      <c r="H259">
        <v>240</v>
      </c>
      <c r="I259">
        <v>2018</v>
      </c>
      <c r="J259" s="4" t="str">
        <f>HYPERLINK("http://legacy.baseballprospectus.com/fantasy/dc/index.php?tm=HOU","HOU")</f>
        <v>HOU</v>
      </c>
      <c r="K259" t="s">
        <v>95</v>
      </c>
      <c r="L259" t="s">
        <v>34</v>
      </c>
      <c r="M259">
        <v>20</v>
      </c>
      <c r="N259">
        <v>4.0999999999999996</v>
      </c>
      <c r="O259">
        <v>4</v>
      </c>
      <c r="P259">
        <v>5.9</v>
      </c>
      <c r="Q259">
        <v>0</v>
      </c>
      <c r="R259">
        <v>0.4</v>
      </c>
      <c r="S259">
        <v>0</v>
      </c>
      <c r="T259">
        <v>23.4</v>
      </c>
      <c r="U259">
        <v>13.4</v>
      </c>
      <c r="V259" s="9">
        <v>65.333299999999994</v>
      </c>
      <c r="W259">
        <v>282</v>
      </c>
      <c r="X259">
        <v>60</v>
      </c>
      <c r="Y259">
        <v>13</v>
      </c>
      <c r="Z259">
        <v>31</v>
      </c>
      <c r="AA259" t="s">
        <v>1680</v>
      </c>
      <c r="AB259">
        <v>2</v>
      </c>
      <c r="AC259">
        <v>89</v>
      </c>
      <c r="AD259">
        <v>4.2</v>
      </c>
      <c r="AE259">
        <v>12.3</v>
      </c>
      <c r="AF259" s="5">
        <v>0.405641108751297</v>
      </c>
      <c r="AG259">
        <v>0.31900000000000001</v>
      </c>
      <c r="AH259">
        <v>1.39</v>
      </c>
      <c r="AI259">
        <v>4.7</v>
      </c>
      <c r="AJ259">
        <v>5.01</v>
      </c>
      <c r="AK259">
        <v>4.4000000000000004</v>
      </c>
      <c r="AL259">
        <v>0.5</v>
      </c>
      <c r="AM259">
        <v>8</v>
      </c>
      <c r="AN259">
        <v>10</v>
      </c>
      <c r="AO259">
        <v>3</v>
      </c>
      <c r="AP259">
        <v>5</v>
      </c>
      <c r="AQ259" t="s">
        <v>2980</v>
      </c>
      <c r="AR259">
        <v>13</v>
      </c>
      <c r="AS259" t="s">
        <v>36</v>
      </c>
      <c r="AT259" t="s">
        <v>35</v>
      </c>
      <c r="AU259" s="4">
        <f>HYPERLINK("http://mlb.mlb.com/team/player.jsp?player_id=666215",666215)</f>
        <v>666215</v>
      </c>
      <c r="AV259">
        <v>213</v>
      </c>
      <c r="AW259">
        <v>1213</v>
      </c>
      <c r="AX259">
        <v>0</v>
      </c>
    </row>
    <row r="260" spans="1:50" x14ac:dyDescent="0.3">
      <c r="A260" s="4">
        <f>HYPERLINK("http://legacy.baseballprospectus.com/p/109150",109150)</f>
        <v>109150</v>
      </c>
      <c r="B260" t="s">
        <v>2484</v>
      </c>
      <c r="C260" t="s">
        <v>538</v>
      </c>
      <c r="D260" s="10">
        <v>34606</v>
      </c>
      <c r="E260" t="s">
        <v>33</v>
      </c>
      <c r="F260" t="s">
        <v>33</v>
      </c>
      <c r="G260">
        <v>73</v>
      </c>
      <c r="H260">
        <v>190</v>
      </c>
      <c r="I260">
        <v>2018</v>
      </c>
      <c r="J260" s="4" t="str">
        <f>HYPERLINK("http://legacy.baseballprospectus.com/fantasy/dc/index.php?tm=CHN","CHN")</f>
        <v>CHN</v>
      </c>
      <c r="K260" t="s">
        <v>100</v>
      </c>
      <c r="L260" t="s">
        <v>34</v>
      </c>
      <c r="M260">
        <v>23</v>
      </c>
      <c r="N260">
        <v>6</v>
      </c>
      <c r="O260">
        <v>5.4</v>
      </c>
      <c r="P260">
        <v>8.4</v>
      </c>
      <c r="Q260">
        <v>0</v>
      </c>
      <c r="R260">
        <v>0</v>
      </c>
      <c r="S260">
        <v>0</v>
      </c>
      <c r="T260">
        <v>18.600000000000001</v>
      </c>
      <c r="U260">
        <v>18.600000000000001</v>
      </c>
      <c r="V260" s="9">
        <v>89.666700000000006</v>
      </c>
      <c r="W260">
        <v>384</v>
      </c>
      <c r="X260">
        <v>90</v>
      </c>
      <c r="Y260">
        <v>14</v>
      </c>
      <c r="Z260">
        <v>40</v>
      </c>
      <c r="AA260" t="s">
        <v>1680</v>
      </c>
      <c r="AB260">
        <v>4</v>
      </c>
      <c r="AC260">
        <v>92</v>
      </c>
      <c r="AD260">
        <v>4</v>
      </c>
      <c r="AE260">
        <v>9.1999999999999993</v>
      </c>
      <c r="AF260" s="5">
        <v>0.43251979351043701</v>
      </c>
      <c r="AG260">
        <v>0.32300000000000001</v>
      </c>
      <c r="AH260">
        <v>1.45</v>
      </c>
      <c r="AI260">
        <v>4.62</v>
      </c>
      <c r="AJ260">
        <v>5.08</v>
      </c>
      <c r="AK260">
        <v>5</v>
      </c>
      <c r="AL260">
        <v>0.5</v>
      </c>
      <c r="AM260">
        <v>6</v>
      </c>
      <c r="AN260">
        <v>10</v>
      </c>
      <c r="AO260">
        <v>3</v>
      </c>
      <c r="AP260">
        <v>11</v>
      </c>
      <c r="AQ260" t="s">
        <v>2485</v>
      </c>
      <c r="AR260">
        <v>17</v>
      </c>
      <c r="AS260" t="s">
        <v>36</v>
      </c>
      <c r="AT260" t="s">
        <v>35</v>
      </c>
      <c r="AU260" s="4">
        <f>HYPERLINK("http://mlb.mlb.com/team/player.jsp?player_id=641672",641672)</f>
        <v>641672</v>
      </c>
      <c r="AV260">
        <v>0</v>
      </c>
      <c r="AW260">
        <v>0</v>
      </c>
      <c r="AX260">
        <v>0</v>
      </c>
    </row>
    <row r="261" spans="1:50" x14ac:dyDescent="0.3">
      <c r="A261" s="4">
        <f>HYPERLINK("http://legacy.baseballprospectus.com/p/109172",109172)</f>
        <v>109172</v>
      </c>
      <c r="B261" t="s">
        <v>2444</v>
      </c>
      <c r="C261" t="s">
        <v>181</v>
      </c>
      <c r="D261" s="10">
        <v>34451</v>
      </c>
      <c r="E261" t="s">
        <v>33</v>
      </c>
      <c r="F261" t="s">
        <v>33</v>
      </c>
      <c r="G261">
        <v>73</v>
      </c>
      <c r="H261">
        <v>185</v>
      </c>
      <c r="I261">
        <v>2018</v>
      </c>
      <c r="J261" s="4" t="str">
        <f>HYPERLINK("http://legacy.baseballprospectus.com/fantasy/dc/index.php?tm=CHN","CHN")</f>
        <v>CHN</v>
      </c>
      <c r="K261" t="s">
        <v>100</v>
      </c>
      <c r="L261" t="s">
        <v>34</v>
      </c>
      <c r="M261">
        <v>24</v>
      </c>
      <c r="N261">
        <v>4.5</v>
      </c>
      <c r="O261">
        <v>3.4</v>
      </c>
      <c r="P261">
        <v>4.9000000000000004</v>
      </c>
      <c r="Q261">
        <v>0</v>
      </c>
      <c r="R261">
        <v>0.6</v>
      </c>
      <c r="S261">
        <v>0</v>
      </c>
      <c r="T261">
        <v>25.2</v>
      </c>
      <c r="U261">
        <v>10.4</v>
      </c>
      <c r="V261" s="9">
        <v>72.333299999999994</v>
      </c>
      <c r="W261">
        <v>298</v>
      </c>
      <c r="X261">
        <v>69</v>
      </c>
      <c r="Y261">
        <v>13</v>
      </c>
      <c r="Z261">
        <v>25</v>
      </c>
      <c r="AA261" t="s">
        <v>1680</v>
      </c>
      <c r="AB261">
        <v>2</v>
      </c>
      <c r="AC261">
        <v>79</v>
      </c>
      <c r="AD261">
        <v>3.1</v>
      </c>
      <c r="AE261">
        <v>9.9</v>
      </c>
      <c r="AF261" s="5">
        <v>0.43011233210563599</v>
      </c>
      <c r="AG261">
        <v>0.314</v>
      </c>
      <c r="AH261">
        <v>1.3</v>
      </c>
      <c r="AI261">
        <v>4.47</v>
      </c>
      <c r="AJ261">
        <v>4.9000000000000004</v>
      </c>
      <c r="AK261">
        <v>4.9000000000000004</v>
      </c>
      <c r="AL261">
        <v>0.5</v>
      </c>
      <c r="AM261">
        <v>16</v>
      </c>
      <c r="AN261">
        <v>28</v>
      </c>
      <c r="AO261">
        <v>18</v>
      </c>
      <c r="AP261">
        <v>39</v>
      </c>
      <c r="AQ261" t="s">
        <v>2445</v>
      </c>
      <c r="AR261">
        <v>51</v>
      </c>
      <c r="AS261" t="s">
        <v>36</v>
      </c>
      <c r="AT261" t="s">
        <v>35</v>
      </c>
      <c r="AU261" s="4">
        <f>HYPERLINK("http://mlb.mlb.com/team/player.jsp?player_id=621074",621074)</f>
        <v>621074</v>
      </c>
      <c r="AV261">
        <v>0</v>
      </c>
      <c r="AW261">
        <v>0</v>
      </c>
      <c r="AX261">
        <v>0</v>
      </c>
    </row>
    <row r="262" spans="1:50" x14ac:dyDescent="0.3">
      <c r="A262" s="4">
        <f>HYPERLINK("http://legacy.baseballprospectus.com/p/37595",37595)</f>
        <v>37595</v>
      </c>
      <c r="B262" t="s">
        <v>445</v>
      </c>
      <c r="C262" t="s">
        <v>664</v>
      </c>
      <c r="D262" s="10">
        <v>30494</v>
      </c>
      <c r="E262" t="s">
        <v>33</v>
      </c>
      <c r="F262" t="s">
        <v>33</v>
      </c>
      <c r="G262">
        <v>78</v>
      </c>
      <c r="H262">
        <v>250</v>
      </c>
      <c r="I262">
        <v>2018</v>
      </c>
      <c r="J262" s="4" t="str">
        <f>HYPERLINK("http://legacy.baseballprospectus.com/fantasy/dc/index.php?tm=ANA","ANA")</f>
        <v>ANA</v>
      </c>
      <c r="K262" t="s">
        <v>95</v>
      </c>
      <c r="L262" t="s">
        <v>34</v>
      </c>
      <c r="M262">
        <v>35</v>
      </c>
      <c r="N262">
        <v>2.6</v>
      </c>
      <c r="O262">
        <v>2.8</v>
      </c>
      <c r="P262">
        <v>0</v>
      </c>
      <c r="Q262">
        <v>0</v>
      </c>
      <c r="R262">
        <v>4</v>
      </c>
      <c r="S262">
        <v>4</v>
      </c>
      <c r="T262">
        <v>54</v>
      </c>
      <c r="U262">
        <v>0</v>
      </c>
      <c r="V262" s="9">
        <v>57.666699999999999</v>
      </c>
      <c r="W262">
        <v>254</v>
      </c>
      <c r="X262">
        <v>59</v>
      </c>
      <c r="Y262">
        <v>7</v>
      </c>
      <c r="Z262">
        <v>25</v>
      </c>
      <c r="AA262">
        <v>3</v>
      </c>
      <c r="AB262">
        <v>3</v>
      </c>
      <c r="AC262">
        <v>49</v>
      </c>
      <c r="AD262">
        <v>3.9</v>
      </c>
      <c r="AE262">
        <v>7.6</v>
      </c>
      <c r="AF262" s="5">
        <v>0.51600000000000001</v>
      </c>
      <c r="AG262">
        <v>0.30599999999999999</v>
      </c>
      <c r="AH262">
        <v>1.47</v>
      </c>
      <c r="AI262">
        <v>4.34</v>
      </c>
      <c r="AJ262">
        <v>4.57</v>
      </c>
      <c r="AK262">
        <v>4.0999999999999996</v>
      </c>
      <c r="AL262">
        <v>0.4</v>
      </c>
      <c r="AM262">
        <v>25</v>
      </c>
      <c r="AN262">
        <v>43</v>
      </c>
      <c r="AO262">
        <v>22</v>
      </c>
      <c r="AP262">
        <v>13</v>
      </c>
      <c r="AQ262" t="s">
        <v>2612</v>
      </c>
      <c r="AR262">
        <v>79</v>
      </c>
      <c r="AS262" t="s">
        <v>35</v>
      </c>
      <c r="AT262" t="s">
        <v>36</v>
      </c>
      <c r="AU262" s="4">
        <f>HYPERLINK("http://mlb.mlb.com/team/player.jsp?player_id=462382",462382)</f>
        <v>462382</v>
      </c>
      <c r="AV262">
        <v>271</v>
      </c>
      <c r="AW262">
        <v>1271</v>
      </c>
      <c r="AX262">
        <v>56.7</v>
      </c>
    </row>
    <row r="263" spans="1:50" x14ac:dyDescent="0.3">
      <c r="A263" s="4">
        <f>HYPERLINK("http://legacy.baseballprospectus.com/p/49543",49543)</f>
        <v>49543</v>
      </c>
      <c r="B263" t="s">
        <v>925</v>
      </c>
      <c r="C263" t="s">
        <v>517</v>
      </c>
      <c r="D263" s="10">
        <v>30379</v>
      </c>
      <c r="E263" t="s">
        <v>33</v>
      </c>
      <c r="F263" t="s">
        <v>33</v>
      </c>
      <c r="G263">
        <v>71</v>
      </c>
      <c r="H263">
        <v>185</v>
      </c>
      <c r="I263">
        <v>2018</v>
      </c>
      <c r="J263" s="4" t="str">
        <f>HYPERLINK("http://legacy.baseballprospectus.com/fantasy/dc/index.php?tm=TBA","TBA")</f>
        <v>TBA</v>
      </c>
      <c r="K263" t="s">
        <v>95</v>
      </c>
      <c r="L263" t="s">
        <v>34</v>
      </c>
      <c r="M263">
        <v>35</v>
      </c>
      <c r="N263">
        <v>2.9</v>
      </c>
      <c r="O263">
        <v>2.5</v>
      </c>
      <c r="P263">
        <v>0</v>
      </c>
      <c r="Q263">
        <v>0</v>
      </c>
      <c r="R263">
        <v>0</v>
      </c>
      <c r="S263">
        <v>1</v>
      </c>
      <c r="T263">
        <v>54</v>
      </c>
      <c r="U263">
        <v>0</v>
      </c>
      <c r="V263" s="9">
        <v>56.666699999999999</v>
      </c>
      <c r="W263">
        <v>243</v>
      </c>
      <c r="X263">
        <v>50</v>
      </c>
      <c r="Y263">
        <v>7</v>
      </c>
      <c r="Z263">
        <v>24</v>
      </c>
      <c r="AA263">
        <v>2</v>
      </c>
      <c r="AB263">
        <v>2</v>
      </c>
      <c r="AC263">
        <v>59</v>
      </c>
      <c r="AD263">
        <v>3.8</v>
      </c>
      <c r="AE263">
        <v>9.4</v>
      </c>
      <c r="AF263" s="5">
        <v>0.41399999999999998</v>
      </c>
      <c r="AG263">
        <v>0.28799999999999998</v>
      </c>
      <c r="AH263">
        <v>1.31</v>
      </c>
      <c r="AI263">
        <v>4.05</v>
      </c>
      <c r="AJ263">
        <v>4.57</v>
      </c>
      <c r="AK263">
        <v>4</v>
      </c>
      <c r="AL263">
        <v>0.4</v>
      </c>
      <c r="AM263">
        <v>21</v>
      </c>
      <c r="AN263">
        <v>45</v>
      </c>
      <c r="AO263">
        <v>29</v>
      </c>
      <c r="AP263">
        <v>13</v>
      </c>
      <c r="AQ263" t="s">
        <v>2862</v>
      </c>
      <c r="AR263">
        <v>89</v>
      </c>
      <c r="AS263" t="s">
        <v>35</v>
      </c>
      <c r="AT263" t="s">
        <v>36</v>
      </c>
      <c r="AU263" s="4">
        <f>HYPERLINK("http://mlb.mlb.com/team/player.jsp?player_id=489265",489265)</f>
        <v>489265</v>
      </c>
      <c r="AV263">
        <v>0</v>
      </c>
      <c r="AW263">
        <v>0</v>
      </c>
      <c r="AX263">
        <v>55.7</v>
      </c>
    </row>
    <row r="264" spans="1:50" x14ac:dyDescent="0.3">
      <c r="A264" s="4">
        <f>HYPERLINK("http://legacy.baseballprospectus.com/p/49727",49727)</f>
        <v>49727</v>
      </c>
      <c r="B264" t="s">
        <v>359</v>
      </c>
      <c r="C264" t="s">
        <v>304</v>
      </c>
      <c r="D264" s="10">
        <v>31807</v>
      </c>
      <c r="E264" t="s">
        <v>33</v>
      </c>
      <c r="F264" t="s">
        <v>33</v>
      </c>
      <c r="G264">
        <v>75</v>
      </c>
      <c r="H264">
        <v>230</v>
      </c>
      <c r="I264">
        <v>2018</v>
      </c>
      <c r="J264" s="4" t="str">
        <f>HYPERLINK("http://legacy.baseballprospectus.com/fantasy/dc/index.php?tm=PHI","PHI")</f>
        <v>PHI</v>
      </c>
      <c r="K264" t="s">
        <v>100</v>
      </c>
      <c r="L264" t="s">
        <v>34</v>
      </c>
      <c r="M264">
        <v>31</v>
      </c>
      <c r="N264">
        <v>3.1</v>
      </c>
      <c r="O264">
        <v>3</v>
      </c>
      <c r="P264">
        <v>0</v>
      </c>
      <c r="Q264">
        <v>0</v>
      </c>
      <c r="R264">
        <v>3</v>
      </c>
      <c r="S264">
        <v>4</v>
      </c>
      <c r="T264">
        <v>60</v>
      </c>
      <c r="U264">
        <v>0</v>
      </c>
      <c r="V264" s="9">
        <v>64</v>
      </c>
      <c r="W264">
        <v>279</v>
      </c>
      <c r="X264">
        <v>61</v>
      </c>
      <c r="Y264">
        <v>7</v>
      </c>
      <c r="Z264">
        <v>30</v>
      </c>
      <c r="AA264">
        <v>3</v>
      </c>
      <c r="AB264">
        <v>3</v>
      </c>
      <c r="AC264">
        <v>59</v>
      </c>
      <c r="AD264">
        <v>4.2</v>
      </c>
      <c r="AE264">
        <v>8.1999999999999993</v>
      </c>
      <c r="AF264" s="5">
        <v>0.54800000000000004</v>
      </c>
      <c r="AG264">
        <v>0.29899999999999999</v>
      </c>
      <c r="AH264">
        <v>1.43</v>
      </c>
      <c r="AI264">
        <v>4.34</v>
      </c>
      <c r="AJ264">
        <v>4.45</v>
      </c>
      <c r="AK264">
        <v>3.6</v>
      </c>
      <c r="AL264">
        <v>0.4</v>
      </c>
      <c r="AM264">
        <v>25</v>
      </c>
      <c r="AN264">
        <v>37</v>
      </c>
      <c r="AO264">
        <v>27</v>
      </c>
      <c r="AP264">
        <v>21</v>
      </c>
      <c r="AQ264" t="s">
        <v>2699</v>
      </c>
      <c r="AR264">
        <v>81</v>
      </c>
      <c r="AS264" t="s">
        <v>35</v>
      </c>
      <c r="AT264" t="s">
        <v>36</v>
      </c>
      <c r="AU264" s="4">
        <f>HYPERLINK("http://mlb.mlb.com/team/player.jsp?player_id=472610",472610)</f>
        <v>472610</v>
      </c>
      <c r="AV264">
        <v>1245</v>
      </c>
      <c r="AW264">
        <v>245</v>
      </c>
      <c r="AX264">
        <v>71.3</v>
      </c>
    </row>
    <row r="265" spans="1:50" x14ac:dyDescent="0.3">
      <c r="A265" s="4">
        <f>HYPERLINK("http://legacy.baseballprospectus.com/p/50058",50058)</f>
        <v>50058</v>
      </c>
      <c r="B265" t="s">
        <v>1803</v>
      </c>
      <c r="C265" t="s">
        <v>102</v>
      </c>
      <c r="D265" s="10">
        <v>31821</v>
      </c>
      <c r="E265" t="s">
        <v>9</v>
      </c>
      <c r="F265" t="s">
        <v>9</v>
      </c>
      <c r="G265">
        <v>76</v>
      </c>
      <c r="H265">
        <v>258</v>
      </c>
      <c r="I265">
        <v>2018</v>
      </c>
      <c r="J265" s="4" t="str">
        <f>HYPERLINK("http://legacy.baseballprospectus.com/fantasy/dc/index.php?tm=OAK","OAK")</f>
        <v>OAK</v>
      </c>
      <c r="K265" t="s">
        <v>95</v>
      </c>
      <c r="L265" t="s">
        <v>34</v>
      </c>
      <c r="M265">
        <v>31</v>
      </c>
      <c r="N265">
        <v>2.4</v>
      </c>
      <c r="O265">
        <v>2.7</v>
      </c>
      <c r="P265">
        <v>0</v>
      </c>
      <c r="Q265">
        <v>0</v>
      </c>
      <c r="R265">
        <v>0</v>
      </c>
      <c r="S265">
        <v>1</v>
      </c>
      <c r="T265">
        <v>52</v>
      </c>
      <c r="U265">
        <v>0</v>
      </c>
      <c r="V265" s="9">
        <v>54.666699999999999</v>
      </c>
      <c r="W265">
        <v>235</v>
      </c>
      <c r="X265">
        <v>48</v>
      </c>
      <c r="Y265">
        <v>8</v>
      </c>
      <c r="Z265">
        <v>25</v>
      </c>
      <c r="AA265">
        <v>2</v>
      </c>
      <c r="AB265">
        <v>3</v>
      </c>
      <c r="AC265">
        <v>58</v>
      </c>
      <c r="AD265">
        <v>4.0999999999999996</v>
      </c>
      <c r="AE265">
        <v>9.5</v>
      </c>
      <c r="AF265" s="5">
        <v>0.34899999999999998</v>
      </c>
      <c r="AG265">
        <v>0.28100000000000003</v>
      </c>
      <c r="AH265">
        <v>1.3</v>
      </c>
      <c r="AI265">
        <v>4.4400000000000004</v>
      </c>
      <c r="AJ265">
        <v>4.57</v>
      </c>
      <c r="AK265">
        <v>3.9</v>
      </c>
      <c r="AL265">
        <v>0.4</v>
      </c>
      <c r="AM265">
        <v>24</v>
      </c>
      <c r="AN265">
        <v>34</v>
      </c>
      <c r="AO265">
        <v>24</v>
      </c>
      <c r="AP265">
        <v>19</v>
      </c>
      <c r="AQ265" t="s">
        <v>2616</v>
      </c>
      <c r="AR265">
        <v>68</v>
      </c>
      <c r="AS265" t="s">
        <v>35</v>
      </c>
      <c r="AT265" t="s">
        <v>36</v>
      </c>
      <c r="AU265" s="4">
        <f>HYPERLINK("http://mlb.mlb.com/team/player.jsp?player_id=488748",488748)</f>
        <v>488748</v>
      </c>
      <c r="AV265">
        <v>244</v>
      </c>
      <c r="AW265">
        <v>1244</v>
      </c>
      <c r="AX265">
        <v>65.3</v>
      </c>
    </row>
    <row r="266" spans="1:50" x14ac:dyDescent="0.3">
      <c r="A266" s="4">
        <f>HYPERLINK("http://legacy.baseballprospectus.com/p/50538",50538)</f>
        <v>50538</v>
      </c>
      <c r="B266" t="s">
        <v>566</v>
      </c>
      <c r="C266" t="s">
        <v>905</v>
      </c>
      <c r="D266" s="10">
        <v>32636</v>
      </c>
      <c r="E266" t="s">
        <v>33</v>
      </c>
      <c r="F266" t="s">
        <v>33</v>
      </c>
      <c r="G266">
        <v>73</v>
      </c>
      <c r="H266">
        <v>255</v>
      </c>
      <c r="I266">
        <v>2018</v>
      </c>
      <c r="J266" s="4" t="str">
        <f>HYPERLINK("http://legacy.baseballprospectus.com/fantasy/dc/index.php?tm=KCA","KCA")</f>
        <v>KCA</v>
      </c>
      <c r="K266" t="s">
        <v>95</v>
      </c>
      <c r="L266" t="s">
        <v>34</v>
      </c>
      <c r="M266">
        <v>29</v>
      </c>
      <c r="N266">
        <v>2.2000000000000002</v>
      </c>
      <c r="O266">
        <v>2.6</v>
      </c>
      <c r="P266">
        <v>0</v>
      </c>
      <c r="Q266">
        <v>0</v>
      </c>
      <c r="R266">
        <v>0</v>
      </c>
      <c r="S266">
        <v>1</v>
      </c>
      <c r="T266">
        <v>49</v>
      </c>
      <c r="U266">
        <v>0</v>
      </c>
      <c r="V266" s="9">
        <v>51.666699999999999</v>
      </c>
      <c r="W266">
        <v>227</v>
      </c>
      <c r="X266">
        <v>53</v>
      </c>
      <c r="Y266">
        <v>6</v>
      </c>
      <c r="Z266">
        <v>23</v>
      </c>
      <c r="AA266">
        <v>2</v>
      </c>
      <c r="AB266">
        <v>2</v>
      </c>
      <c r="AC266">
        <v>42</v>
      </c>
      <c r="AD266">
        <v>3.9</v>
      </c>
      <c r="AE266">
        <v>7.3</v>
      </c>
      <c r="AF266" s="5">
        <v>0.48299999999999998</v>
      </c>
      <c r="AG266">
        <v>0.3</v>
      </c>
      <c r="AH266">
        <v>1.46</v>
      </c>
      <c r="AI266">
        <v>4.55</v>
      </c>
      <c r="AJ266">
        <v>4.6500000000000004</v>
      </c>
      <c r="AK266">
        <v>3.2</v>
      </c>
      <c r="AL266">
        <v>0.4</v>
      </c>
      <c r="AM266">
        <v>33</v>
      </c>
      <c r="AN266">
        <v>51</v>
      </c>
      <c r="AO266">
        <v>21</v>
      </c>
      <c r="AP266">
        <v>15</v>
      </c>
      <c r="AQ266" t="s">
        <v>2618</v>
      </c>
      <c r="AR266">
        <v>93</v>
      </c>
      <c r="AS266" t="s">
        <v>35</v>
      </c>
      <c r="AT266" t="s">
        <v>36</v>
      </c>
      <c r="AU266" s="4">
        <f>HYPERLINK("http://mlb.mlb.com/team/player.jsp?player_id=503449",503449)</f>
        <v>503449</v>
      </c>
      <c r="AV266">
        <v>80</v>
      </c>
      <c r="AW266">
        <v>1080</v>
      </c>
      <c r="AX266">
        <v>57.3</v>
      </c>
    </row>
    <row r="267" spans="1:50" x14ac:dyDescent="0.3">
      <c r="A267" s="4">
        <f>HYPERLINK("http://legacy.baseballprospectus.com/p/52232",52232)</f>
        <v>52232</v>
      </c>
      <c r="B267" t="s">
        <v>886</v>
      </c>
      <c r="C267" t="s">
        <v>113</v>
      </c>
      <c r="D267" s="10">
        <v>30889</v>
      </c>
      <c r="E267" t="s">
        <v>33</v>
      </c>
      <c r="F267" t="s">
        <v>33</v>
      </c>
      <c r="G267">
        <v>75</v>
      </c>
      <c r="H267">
        <v>205</v>
      </c>
      <c r="I267">
        <v>2018</v>
      </c>
      <c r="J267" s="4" t="str">
        <f>HYPERLINK("http://legacy.baseballprospectus.com/fantasy/dc/index.php?tm=CHN","CHN")</f>
        <v>CHN</v>
      </c>
      <c r="K267" t="s">
        <v>100</v>
      </c>
      <c r="L267" t="s">
        <v>34</v>
      </c>
      <c r="M267">
        <v>33</v>
      </c>
      <c r="N267">
        <v>2.8</v>
      </c>
      <c r="O267">
        <v>2.6</v>
      </c>
      <c r="P267">
        <v>0</v>
      </c>
      <c r="Q267">
        <v>0</v>
      </c>
      <c r="R267">
        <v>30</v>
      </c>
      <c r="S267">
        <v>4</v>
      </c>
      <c r="T267">
        <v>53</v>
      </c>
      <c r="U267">
        <v>0</v>
      </c>
      <c r="V267" s="9">
        <v>56.333300000000001</v>
      </c>
      <c r="W267">
        <v>247</v>
      </c>
      <c r="X267">
        <v>56</v>
      </c>
      <c r="Y267">
        <v>7</v>
      </c>
      <c r="Z267">
        <v>24</v>
      </c>
      <c r="AA267">
        <v>2</v>
      </c>
      <c r="AB267">
        <v>3</v>
      </c>
      <c r="AC267">
        <v>52</v>
      </c>
      <c r="AD267">
        <v>3.8</v>
      </c>
      <c r="AE267">
        <v>8.3000000000000007</v>
      </c>
      <c r="AF267" s="5">
        <v>0.46</v>
      </c>
      <c r="AG267">
        <v>0.30399999999999999</v>
      </c>
      <c r="AH267">
        <v>1.42</v>
      </c>
      <c r="AI267">
        <v>4.2300000000000004</v>
      </c>
      <c r="AJ267">
        <v>4.33</v>
      </c>
      <c r="AK267">
        <v>3.9</v>
      </c>
      <c r="AL267">
        <v>0.4</v>
      </c>
      <c r="AM267">
        <v>22</v>
      </c>
      <c r="AN267">
        <v>39</v>
      </c>
      <c r="AO267">
        <v>16</v>
      </c>
      <c r="AP267">
        <v>19</v>
      </c>
      <c r="AQ267" t="s">
        <v>2619</v>
      </c>
      <c r="AR267">
        <v>66</v>
      </c>
      <c r="AS267" t="s">
        <v>35</v>
      </c>
      <c r="AT267" t="s">
        <v>36</v>
      </c>
      <c r="AU267" s="4">
        <f>HYPERLINK("http://mlb.mlb.com/team/player.jsp?player_id=453344",453344)</f>
        <v>453344</v>
      </c>
      <c r="AV267">
        <v>1301</v>
      </c>
      <c r="AW267">
        <v>301</v>
      </c>
      <c r="AX267">
        <v>43.7</v>
      </c>
    </row>
    <row r="268" spans="1:50" x14ac:dyDescent="0.3">
      <c r="A268" s="4">
        <f>HYPERLINK("http://legacy.baseballprospectus.com/p/53026",53026)</f>
        <v>53026</v>
      </c>
      <c r="B268" t="s">
        <v>248</v>
      </c>
      <c r="C268" t="s">
        <v>1034</v>
      </c>
      <c r="D268" s="10">
        <v>31249</v>
      </c>
      <c r="E268" t="s">
        <v>33</v>
      </c>
      <c r="F268" t="s">
        <v>9</v>
      </c>
      <c r="G268">
        <v>72</v>
      </c>
      <c r="H268">
        <v>200</v>
      </c>
      <c r="I268">
        <v>2018</v>
      </c>
      <c r="J268" s="4" t="str">
        <f>HYPERLINK("http://legacy.baseballprospectus.com/fantasy/dc/index.php?tm=MIA","MIA")</f>
        <v>MIA</v>
      </c>
      <c r="K268" t="s">
        <v>100</v>
      </c>
      <c r="L268" t="s">
        <v>34</v>
      </c>
      <c r="M268">
        <v>32</v>
      </c>
      <c r="N268">
        <v>5.3</v>
      </c>
      <c r="O268">
        <v>8.6</v>
      </c>
      <c r="P268">
        <v>9</v>
      </c>
      <c r="Q268">
        <v>0</v>
      </c>
      <c r="R268">
        <v>0</v>
      </c>
      <c r="S268">
        <v>0</v>
      </c>
      <c r="T268">
        <v>21</v>
      </c>
      <c r="U268">
        <v>21</v>
      </c>
      <c r="V268" s="9">
        <v>111.33329999999999</v>
      </c>
      <c r="W268">
        <v>479</v>
      </c>
      <c r="X268">
        <v>113</v>
      </c>
      <c r="Y268">
        <v>17</v>
      </c>
      <c r="Z268">
        <v>38</v>
      </c>
      <c r="AA268">
        <v>1</v>
      </c>
      <c r="AB268">
        <v>4</v>
      </c>
      <c r="AC268">
        <v>93</v>
      </c>
      <c r="AD268">
        <v>3.1</v>
      </c>
      <c r="AE268">
        <v>7.5</v>
      </c>
      <c r="AF268" s="5">
        <v>0.42399999999999999</v>
      </c>
      <c r="AG268">
        <v>0.29299999999999998</v>
      </c>
      <c r="AH268">
        <v>1.35</v>
      </c>
      <c r="AI268">
        <v>4.63</v>
      </c>
      <c r="AJ268">
        <v>4.95</v>
      </c>
      <c r="AK268">
        <v>3.6</v>
      </c>
      <c r="AL268">
        <v>0.4</v>
      </c>
      <c r="AM268">
        <v>8</v>
      </c>
      <c r="AN268">
        <v>41</v>
      </c>
      <c r="AO268">
        <v>25</v>
      </c>
      <c r="AP268">
        <v>10</v>
      </c>
      <c r="AQ268" t="s">
        <v>2395</v>
      </c>
      <c r="AR268">
        <v>87</v>
      </c>
      <c r="AS268" t="s">
        <v>35</v>
      </c>
      <c r="AT268" t="s">
        <v>36</v>
      </c>
      <c r="AU268" s="4">
        <f>HYPERLINK("http://mlb.mlb.com/team/player.jsp?player_id=612672",612672)</f>
        <v>612672</v>
      </c>
      <c r="AV268">
        <v>1095</v>
      </c>
      <c r="AW268">
        <v>95</v>
      </c>
      <c r="AX268">
        <v>33</v>
      </c>
    </row>
    <row r="269" spans="1:50" x14ac:dyDescent="0.3">
      <c r="A269" s="4">
        <f>HYPERLINK("http://legacy.baseballprospectus.com/p/57403",57403)</f>
        <v>57403</v>
      </c>
      <c r="B269" t="s">
        <v>434</v>
      </c>
      <c r="C269" t="s">
        <v>332</v>
      </c>
      <c r="D269" s="10">
        <v>31596</v>
      </c>
      <c r="E269" t="s">
        <v>33</v>
      </c>
      <c r="F269" t="s">
        <v>33</v>
      </c>
      <c r="G269">
        <v>75</v>
      </c>
      <c r="H269">
        <v>250</v>
      </c>
      <c r="I269">
        <v>2018</v>
      </c>
      <c r="J269" s="4" t="str">
        <f>HYPERLINK("http://legacy.baseballprospectus.com/fantasy/dc/index.php?tm=PHI","PHI")</f>
        <v>PHI</v>
      </c>
      <c r="K269" t="s">
        <v>100</v>
      </c>
      <c r="L269" t="s">
        <v>34</v>
      </c>
      <c r="M269">
        <v>31</v>
      </c>
      <c r="N269">
        <v>2.1</v>
      </c>
      <c r="O269">
        <v>1.9</v>
      </c>
      <c r="P269">
        <v>0</v>
      </c>
      <c r="Q269">
        <v>0</v>
      </c>
      <c r="R269">
        <v>0</v>
      </c>
      <c r="S269">
        <v>1</v>
      </c>
      <c r="T269">
        <v>40</v>
      </c>
      <c r="U269">
        <v>0</v>
      </c>
      <c r="V269" s="9">
        <v>42.666699999999999</v>
      </c>
      <c r="W269">
        <v>179</v>
      </c>
      <c r="X269">
        <v>39</v>
      </c>
      <c r="Y269">
        <v>6</v>
      </c>
      <c r="Z269">
        <v>15</v>
      </c>
      <c r="AA269">
        <v>1</v>
      </c>
      <c r="AB269">
        <v>2</v>
      </c>
      <c r="AC269">
        <v>42</v>
      </c>
      <c r="AD269">
        <v>3.2</v>
      </c>
      <c r="AE269">
        <v>8.8000000000000007</v>
      </c>
      <c r="AF269" s="5">
        <v>0.46100000000000002</v>
      </c>
      <c r="AG269">
        <v>0.29299999999999998</v>
      </c>
      <c r="AH269">
        <v>1.27</v>
      </c>
      <c r="AI269">
        <v>4.0999999999999996</v>
      </c>
      <c r="AJ269">
        <v>4.2699999999999996</v>
      </c>
      <c r="AK269">
        <v>3.2</v>
      </c>
      <c r="AL269">
        <v>0.4</v>
      </c>
      <c r="AM269">
        <v>26</v>
      </c>
      <c r="AN269">
        <v>42</v>
      </c>
      <c r="AO269">
        <v>27</v>
      </c>
      <c r="AP269">
        <v>11</v>
      </c>
      <c r="AQ269" t="s">
        <v>2620</v>
      </c>
      <c r="AR269">
        <v>87</v>
      </c>
      <c r="AS269" t="s">
        <v>35</v>
      </c>
      <c r="AT269" t="s">
        <v>36</v>
      </c>
      <c r="AU269" s="4">
        <f>HYPERLINK("http://mlb.mlb.com/team/player.jsp?player_id=488984",488984)</f>
        <v>488984</v>
      </c>
      <c r="AV269">
        <v>1270</v>
      </c>
      <c r="AW269">
        <v>270</v>
      </c>
      <c r="AX269">
        <v>58.7</v>
      </c>
    </row>
    <row r="270" spans="1:50" x14ac:dyDescent="0.3">
      <c r="A270" s="4">
        <f>HYPERLINK("http://legacy.baseballprospectus.com/p/57529",57529)</f>
        <v>57529</v>
      </c>
      <c r="B270" t="s">
        <v>932</v>
      </c>
      <c r="C270" t="s">
        <v>465</v>
      </c>
      <c r="D270" s="10">
        <v>31288</v>
      </c>
      <c r="E270" t="s">
        <v>9</v>
      </c>
      <c r="F270" t="s">
        <v>9</v>
      </c>
      <c r="G270">
        <v>74</v>
      </c>
      <c r="H270">
        <v>220</v>
      </c>
      <c r="I270">
        <v>2018</v>
      </c>
      <c r="J270" s="4" t="str">
        <f>HYPERLINK("http://legacy.baseballprospectus.com/fantasy/dc/index.php?tm=SEA","SEA")</f>
        <v>SEA</v>
      </c>
      <c r="K270" t="s">
        <v>95</v>
      </c>
      <c r="L270" t="s">
        <v>34</v>
      </c>
      <c r="M270">
        <v>32</v>
      </c>
      <c r="N270">
        <v>2.5</v>
      </c>
      <c r="O270">
        <v>2.6</v>
      </c>
      <c r="P270">
        <v>0</v>
      </c>
      <c r="Q270">
        <v>0</v>
      </c>
      <c r="R270">
        <v>0</v>
      </c>
      <c r="S270">
        <v>1</v>
      </c>
      <c r="T270">
        <v>50</v>
      </c>
      <c r="U270">
        <v>0</v>
      </c>
      <c r="V270" s="9">
        <v>52.666699999999999</v>
      </c>
      <c r="W270">
        <v>238</v>
      </c>
      <c r="X270">
        <v>51</v>
      </c>
      <c r="Y270">
        <v>4</v>
      </c>
      <c r="Z270">
        <v>30</v>
      </c>
      <c r="AA270">
        <v>5</v>
      </c>
      <c r="AB270">
        <v>3</v>
      </c>
      <c r="AC270">
        <v>47</v>
      </c>
      <c r="AD270">
        <v>5.0999999999999996</v>
      </c>
      <c r="AE270">
        <v>7.9</v>
      </c>
      <c r="AF270" s="5">
        <v>0.6</v>
      </c>
      <c r="AG270">
        <v>0.30299999999999999</v>
      </c>
      <c r="AH270">
        <v>1.55</v>
      </c>
      <c r="AI270">
        <v>4.3099999999999996</v>
      </c>
      <c r="AJ270">
        <v>4.58</v>
      </c>
      <c r="AK270">
        <v>3.6</v>
      </c>
      <c r="AL270">
        <v>0.4</v>
      </c>
      <c r="AM270">
        <v>17</v>
      </c>
      <c r="AN270">
        <v>39</v>
      </c>
      <c r="AO270">
        <v>24</v>
      </c>
      <c r="AP270">
        <v>14</v>
      </c>
      <c r="AQ270" t="s">
        <v>2621</v>
      </c>
      <c r="AR270">
        <v>86</v>
      </c>
      <c r="AS270" t="s">
        <v>35</v>
      </c>
      <c r="AT270" t="s">
        <v>36</v>
      </c>
      <c r="AU270" s="4">
        <f>HYPERLINK("http://mlb.mlb.com/team/player.jsp?player_id=519240",519240)</f>
        <v>519240</v>
      </c>
      <c r="AV270">
        <v>309</v>
      </c>
      <c r="AW270">
        <v>1309</v>
      </c>
      <c r="AX270">
        <v>31.3</v>
      </c>
    </row>
    <row r="271" spans="1:50" x14ac:dyDescent="0.3">
      <c r="A271" s="4">
        <f>HYPERLINK("http://legacy.baseballprospectus.com/p/57557",57557)</f>
        <v>57557</v>
      </c>
      <c r="B271" t="s">
        <v>1489</v>
      </c>
      <c r="C271" t="s">
        <v>434</v>
      </c>
      <c r="D271" s="10">
        <v>32410</v>
      </c>
      <c r="E271" t="s">
        <v>33</v>
      </c>
      <c r="F271" t="s">
        <v>33</v>
      </c>
      <c r="G271">
        <v>76</v>
      </c>
      <c r="H271">
        <v>220</v>
      </c>
      <c r="I271">
        <v>2018</v>
      </c>
      <c r="J271" s="4" t="str">
        <f>HYPERLINK("http://legacy.baseballprospectus.com/fantasy/dc/index.php?tm=SFN","SFN")</f>
        <v>SFN</v>
      </c>
      <c r="K271" t="s">
        <v>100</v>
      </c>
      <c r="L271" t="s">
        <v>34</v>
      </c>
      <c r="M271">
        <v>29</v>
      </c>
      <c r="N271">
        <v>2.9</v>
      </c>
      <c r="O271">
        <v>2.5</v>
      </c>
      <c r="P271">
        <v>0</v>
      </c>
      <c r="Q271">
        <v>0</v>
      </c>
      <c r="R271">
        <v>2</v>
      </c>
      <c r="S271">
        <v>4</v>
      </c>
      <c r="T271">
        <v>54</v>
      </c>
      <c r="U271">
        <v>0</v>
      </c>
      <c r="V271" s="9">
        <v>57.333300000000001</v>
      </c>
      <c r="W271">
        <v>245</v>
      </c>
      <c r="X271">
        <v>52</v>
      </c>
      <c r="Y271">
        <v>6</v>
      </c>
      <c r="Z271">
        <v>23</v>
      </c>
      <c r="AA271">
        <v>2</v>
      </c>
      <c r="AB271">
        <v>2</v>
      </c>
      <c r="AC271">
        <v>54</v>
      </c>
      <c r="AD271">
        <v>3.6</v>
      </c>
      <c r="AE271">
        <v>8.5</v>
      </c>
      <c r="AF271" s="5">
        <v>0.434</v>
      </c>
      <c r="AG271">
        <v>0.29199999999999998</v>
      </c>
      <c r="AH271">
        <v>1.31</v>
      </c>
      <c r="AI271">
        <v>3.78</v>
      </c>
      <c r="AJ271">
        <v>4.45</v>
      </c>
      <c r="AK271">
        <v>3.3</v>
      </c>
      <c r="AL271">
        <v>0.4</v>
      </c>
      <c r="AM271">
        <v>29</v>
      </c>
      <c r="AN271">
        <v>49</v>
      </c>
      <c r="AO271">
        <v>31</v>
      </c>
      <c r="AP271">
        <v>18</v>
      </c>
      <c r="AQ271" t="s">
        <v>2622</v>
      </c>
      <c r="AR271">
        <v>95</v>
      </c>
      <c r="AS271" t="s">
        <v>35</v>
      </c>
      <c r="AT271" t="s">
        <v>36</v>
      </c>
      <c r="AU271" s="4">
        <f>HYPERLINK("http://mlb.mlb.com/team/player.jsp?player_id=519326",519326)</f>
        <v>519326</v>
      </c>
      <c r="AV271">
        <v>1263</v>
      </c>
      <c r="AW271">
        <v>263</v>
      </c>
      <c r="AX271">
        <v>61.3</v>
      </c>
    </row>
    <row r="272" spans="1:50" x14ac:dyDescent="0.3">
      <c r="A272" s="4">
        <f>HYPERLINK("http://legacy.baseballprospectus.com/p/57948",57948)</f>
        <v>57948</v>
      </c>
      <c r="B272" t="s">
        <v>407</v>
      </c>
      <c r="C272" t="s">
        <v>1483</v>
      </c>
      <c r="D272" s="10">
        <v>31850</v>
      </c>
      <c r="E272" t="s">
        <v>9</v>
      </c>
      <c r="F272" t="s">
        <v>9</v>
      </c>
      <c r="G272">
        <v>74</v>
      </c>
      <c r="H272">
        <v>215</v>
      </c>
      <c r="I272">
        <v>2018</v>
      </c>
      <c r="J272" s="4" t="str">
        <f>HYPERLINK("http://legacy.baseballprospectus.com/fantasy/dc/index.php?tm=DET","DET")</f>
        <v>DET</v>
      </c>
      <c r="K272" t="s">
        <v>95</v>
      </c>
      <c r="L272" t="s">
        <v>34</v>
      </c>
      <c r="M272">
        <v>31</v>
      </c>
      <c r="N272">
        <v>2.2999999999999998</v>
      </c>
      <c r="O272">
        <v>2.9</v>
      </c>
      <c r="P272">
        <v>0</v>
      </c>
      <c r="Q272">
        <v>0</v>
      </c>
      <c r="R272">
        <v>0</v>
      </c>
      <c r="S272">
        <v>1</v>
      </c>
      <c r="T272">
        <v>52</v>
      </c>
      <c r="U272">
        <v>0</v>
      </c>
      <c r="V272" s="9">
        <v>55.333300000000001</v>
      </c>
      <c r="W272">
        <v>244</v>
      </c>
      <c r="X272">
        <v>56</v>
      </c>
      <c r="Y272">
        <v>7</v>
      </c>
      <c r="Z272">
        <v>23</v>
      </c>
      <c r="AA272">
        <v>2</v>
      </c>
      <c r="AB272">
        <v>2</v>
      </c>
      <c r="AC272">
        <v>45</v>
      </c>
      <c r="AD272">
        <v>3.7</v>
      </c>
      <c r="AE272">
        <v>7.4</v>
      </c>
      <c r="AF272" s="5">
        <v>0.439</v>
      </c>
      <c r="AG272">
        <v>0.29399999999999998</v>
      </c>
      <c r="AH272">
        <v>1.43</v>
      </c>
      <c r="AI272">
        <v>4.68</v>
      </c>
      <c r="AJ272">
        <v>4.66</v>
      </c>
      <c r="AK272">
        <v>3.4</v>
      </c>
      <c r="AL272">
        <v>0.4</v>
      </c>
      <c r="AM272">
        <v>25</v>
      </c>
      <c r="AN272">
        <v>34</v>
      </c>
      <c r="AO272">
        <v>19</v>
      </c>
      <c r="AP272">
        <v>21</v>
      </c>
      <c r="AQ272" t="s">
        <v>2710</v>
      </c>
      <c r="AR272">
        <v>66</v>
      </c>
      <c r="AS272" t="s">
        <v>35</v>
      </c>
      <c r="AT272" t="s">
        <v>36</v>
      </c>
      <c r="AU272" s="4">
        <f>HYPERLINK("http://mlb.mlb.com/team/player.jsp?player_id=543278",543278)</f>
        <v>543278</v>
      </c>
      <c r="AV272">
        <v>307</v>
      </c>
      <c r="AW272">
        <v>1307</v>
      </c>
      <c r="AX272">
        <v>33.299999999999997</v>
      </c>
    </row>
    <row r="273" spans="1:50" x14ac:dyDescent="0.3">
      <c r="A273" s="4">
        <f>HYPERLINK("http://legacy.baseballprospectus.com/p/57996",57996)</f>
        <v>57996</v>
      </c>
      <c r="B273" t="s">
        <v>430</v>
      </c>
      <c r="C273" t="s">
        <v>232</v>
      </c>
      <c r="D273" s="10">
        <v>31845</v>
      </c>
      <c r="E273" t="s">
        <v>33</v>
      </c>
      <c r="F273" t="s">
        <v>33</v>
      </c>
      <c r="G273">
        <v>75</v>
      </c>
      <c r="H273">
        <v>225</v>
      </c>
      <c r="I273">
        <v>2018</v>
      </c>
      <c r="J273" s="4" t="str">
        <f>HYPERLINK("http://legacy.baseballprospectus.com/fantasy/dc/index.php?tm=TBA","TBA")</f>
        <v>TBA</v>
      </c>
      <c r="K273" t="s">
        <v>95</v>
      </c>
      <c r="L273" t="s">
        <v>34</v>
      </c>
      <c r="M273">
        <v>31</v>
      </c>
      <c r="N273">
        <v>2.1</v>
      </c>
      <c r="O273">
        <v>1.7</v>
      </c>
      <c r="P273">
        <v>0</v>
      </c>
      <c r="Q273">
        <v>0</v>
      </c>
      <c r="R273">
        <v>0</v>
      </c>
      <c r="S273">
        <v>1</v>
      </c>
      <c r="T273">
        <v>38</v>
      </c>
      <c r="U273">
        <v>0</v>
      </c>
      <c r="V273" s="9">
        <v>39.666699999999999</v>
      </c>
      <c r="W273">
        <v>173</v>
      </c>
      <c r="X273">
        <v>37</v>
      </c>
      <c r="Y273">
        <v>4</v>
      </c>
      <c r="Z273">
        <v>17</v>
      </c>
      <c r="AA273">
        <v>1</v>
      </c>
      <c r="AB273">
        <v>2</v>
      </c>
      <c r="AC273">
        <v>41</v>
      </c>
      <c r="AD273">
        <v>4</v>
      </c>
      <c r="AE273">
        <v>9.1999999999999993</v>
      </c>
      <c r="AF273" s="5">
        <v>0.435</v>
      </c>
      <c r="AG273">
        <v>0.29599999999999999</v>
      </c>
      <c r="AH273">
        <v>1.36</v>
      </c>
      <c r="AI273">
        <v>3.9</v>
      </c>
      <c r="AJ273">
        <v>4.4400000000000004</v>
      </c>
      <c r="AK273">
        <v>3.3</v>
      </c>
      <c r="AL273">
        <v>0.4</v>
      </c>
      <c r="AM273">
        <v>28</v>
      </c>
      <c r="AN273">
        <v>53</v>
      </c>
      <c r="AO273">
        <v>24</v>
      </c>
      <c r="AP273">
        <v>16</v>
      </c>
      <c r="AQ273" t="s">
        <v>2623</v>
      </c>
      <c r="AR273">
        <v>92</v>
      </c>
      <c r="AS273" t="s">
        <v>35</v>
      </c>
      <c r="AT273" t="s">
        <v>36</v>
      </c>
      <c r="AU273" s="4">
        <f>HYPERLINK("http://mlb.mlb.com/team/player.jsp?player_id=543339",543339)</f>
        <v>543339</v>
      </c>
      <c r="AV273">
        <v>1262</v>
      </c>
      <c r="AW273">
        <v>262</v>
      </c>
      <c r="AX273">
        <v>61.7</v>
      </c>
    </row>
    <row r="274" spans="1:50" x14ac:dyDescent="0.3">
      <c r="A274" s="4">
        <f>HYPERLINK("http://legacy.baseballprospectus.com/p/58911",58911)</f>
        <v>58911</v>
      </c>
      <c r="B274" t="s">
        <v>869</v>
      </c>
      <c r="C274" t="s">
        <v>272</v>
      </c>
      <c r="D274" s="10">
        <v>32774</v>
      </c>
      <c r="E274" t="s">
        <v>33</v>
      </c>
      <c r="F274" t="s">
        <v>33</v>
      </c>
      <c r="G274">
        <v>77</v>
      </c>
      <c r="H274">
        <v>240</v>
      </c>
      <c r="I274">
        <v>2018</v>
      </c>
      <c r="J274" s="4" t="str">
        <f>HYPERLINK("http://legacy.baseballprospectus.com/fantasy/dc/index.php?tm=MIN","MIN")</f>
        <v>MIN</v>
      </c>
      <c r="K274" t="s">
        <v>95</v>
      </c>
      <c r="L274" t="s">
        <v>34</v>
      </c>
      <c r="M274">
        <v>28</v>
      </c>
      <c r="N274">
        <v>1.3</v>
      </c>
      <c r="O274">
        <v>1.2</v>
      </c>
      <c r="P274">
        <v>0</v>
      </c>
      <c r="Q274">
        <v>0</v>
      </c>
      <c r="R274">
        <v>0</v>
      </c>
      <c r="S274">
        <v>1</v>
      </c>
      <c r="T274">
        <v>25</v>
      </c>
      <c r="U274">
        <v>0</v>
      </c>
      <c r="V274" s="9">
        <v>26.666699999999999</v>
      </c>
      <c r="W274">
        <v>114</v>
      </c>
      <c r="X274">
        <v>24</v>
      </c>
      <c r="Y274">
        <v>3</v>
      </c>
      <c r="Z274">
        <v>10</v>
      </c>
      <c r="AA274">
        <v>1</v>
      </c>
      <c r="AB274">
        <v>1</v>
      </c>
      <c r="AC274">
        <v>30</v>
      </c>
      <c r="AD274">
        <v>3.5</v>
      </c>
      <c r="AE274">
        <v>10.1</v>
      </c>
      <c r="AF274" s="5">
        <v>0.39100000000000001</v>
      </c>
      <c r="AG274">
        <v>0.3</v>
      </c>
      <c r="AH274">
        <v>1.31</v>
      </c>
      <c r="AI274">
        <v>3.5</v>
      </c>
      <c r="AJ274">
        <v>3.82</v>
      </c>
      <c r="AK274">
        <v>3.9</v>
      </c>
      <c r="AL274">
        <v>0.4</v>
      </c>
      <c r="AM274">
        <v>36</v>
      </c>
      <c r="AN274">
        <v>63</v>
      </c>
      <c r="AO274">
        <v>11</v>
      </c>
      <c r="AP274">
        <v>23</v>
      </c>
      <c r="AQ274" t="s">
        <v>2552</v>
      </c>
      <c r="AR274">
        <v>89</v>
      </c>
      <c r="AS274" t="s">
        <v>35</v>
      </c>
      <c r="AT274" t="s">
        <v>36</v>
      </c>
      <c r="AU274" s="4">
        <f>HYPERLINK("http://mlb.mlb.com/team/player.jsp?player_id=543507",543507)</f>
        <v>543507</v>
      </c>
      <c r="AV274">
        <v>133</v>
      </c>
      <c r="AW274">
        <v>1133</v>
      </c>
      <c r="AX274">
        <v>0</v>
      </c>
    </row>
    <row r="275" spans="1:50" x14ac:dyDescent="0.3">
      <c r="A275" s="4">
        <f>HYPERLINK("http://legacy.baseballprospectus.com/p/59541",59541)</f>
        <v>59541</v>
      </c>
      <c r="B275" t="s">
        <v>2553</v>
      </c>
      <c r="C275" t="s">
        <v>204</v>
      </c>
      <c r="D275" s="10">
        <v>32949</v>
      </c>
      <c r="E275" t="s">
        <v>33</v>
      </c>
      <c r="F275" t="s">
        <v>33</v>
      </c>
      <c r="G275">
        <v>73</v>
      </c>
      <c r="H275">
        <v>200</v>
      </c>
      <c r="I275">
        <v>2018</v>
      </c>
      <c r="J275" s="4" t="str">
        <f>HYPERLINK("http://legacy.baseballprospectus.com/fantasy/dc/index.php?tm=TBA","TBA")</f>
        <v>TBA</v>
      </c>
      <c r="K275" t="s">
        <v>95</v>
      </c>
      <c r="L275" t="s">
        <v>34</v>
      </c>
      <c r="M275">
        <v>28</v>
      </c>
      <c r="N275">
        <v>2.6</v>
      </c>
      <c r="O275">
        <v>2.2999999999999998</v>
      </c>
      <c r="P275">
        <v>0</v>
      </c>
      <c r="Q275">
        <v>0</v>
      </c>
      <c r="R275">
        <v>0</v>
      </c>
      <c r="S275">
        <v>0</v>
      </c>
      <c r="T275">
        <v>48</v>
      </c>
      <c r="U275">
        <v>0</v>
      </c>
      <c r="V275" s="9">
        <v>51</v>
      </c>
      <c r="W275">
        <v>224</v>
      </c>
      <c r="X275">
        <v>50</v>
      </c>
      <c r="Y275">
        <v>6</v>
      </c>
      <c r="Z275">
        <v>22</v>
      </c>
      <c r="AA275">
        <v>2</v>
      </c>
      <c r="AB275">
        <v>1</v>
      </c>
      <c r="AC275">
        <v>50</v>
      </c>
      <c r="AD275">
        <v>3.8</v>
      </c>
      <c r="AE275">
        <v>8.8000000000000007</v>
      </c>
      <c r="AF275" s="5">
        <v>0.44600000000000001</v>
      </c>
      <c r="AG275">
        <v>0.30399999999999999</v>
      </c>
      <c r="AH275">
        <v>1.43</v>
      </c>
      <c r="AI275">
        <v>4.13</v>
      </c>
      <c r="AJ275">
        <v>4.6399999999999997</v>
      </c>
      <c r="AK275">
        <v>3.2</v>
      </c>
      <c r="AL275">
        <v>0.4</v>
      </c>
      <c r="AM275">
        <v>9</v>
      </c>
      <c r="AN275">
        <v>14</v>
      </c>
      <c r="AO275">
        <v>13</v>
      </c>
      <c r="AP275">
        <v>21</v>
      </c>
      <c r="AQ275" t="s">
        <v>2554</v>
      </c>
      <c r="AR275">
        <v>32</v>
      </c>
      <c r="AS275" t="s">
        <v>35</v>
      </c>
      <c r="AT275" t="s">
        <v>35</v>
      </c>
      <c r="AU275" s="4">
        <f>HYPERLINK("http://mlb.mlb.com/team/player.jsp?player_id=552640",552640)</f>
        <v>552640</v>
      </c>
      <c r="AV275">
        <v>111</v>
      </c>
      <c r="AW275">
        <v>1111</v>
      </c>
      <c r="AX275">
        <v>15.3</v>
      </c>
    </row>
    <row r="276" spans="1:50" x14ac:dyDescent="0.3">
      <c r="A276" s="4">
        <f>HYPERLINK("http://legacy.baseballprospectus.com/p/60107",60107)</f>
        <v>60107</v>
      </c>
      <c r="B276" t="s">
        <v>1501</v>
      </c>
      <c r="C276" t="s">
        <v>102</v>
      </c>
      <c r="D276" s="10">
        <v>32084</v>
      </c>
      <c r="E276" t="s">
        <v>33</v>
      </c>
      <c r="F276" t="s">
        <v>33</v>
      </c>
      <c r="G276">
        <v>74</v>
      </c>
      <c r="H276">
        <v>195</v>
      </c>
      <c r="I276">
        <v>2018</v>
      </c>
      <c r="J276" s="4" t="str">
        <f>HYPERLINK("http://legacy.baseballprospectus.com/fantasy/dc/index.php?tm=TOR","TOR")</f>
        <v>TOR</v>
      </c>
      <c r="K276" t="s">
        <v>95</v>
      </c>
      <c r="L276" t="s">
        <v>34</v>
      </c>
      <c r="M276">
        <v>30</v>
      </c>
      <c r="N276">
        <v>2.8</v>
      </c>
      <c r="O276">
        <v>3.1</v>
      </c>
      <c r="P276">
        <v>0</v>
      </c>
      <c r="Q276">
        <v>0</v>
      </c>
      <c r="R276">
        <v>0</v>
      </c>
      <c r="S276">
        <v>1</v>
      </c>
      <c r="T276">
        <v>59</v>
      </c>
      <c r="U276">
        <v>0</v>
      </c>
      <c r="V276" s="9">
        <v>62.333300000000001</v>
      </c>
      <c r="W276">
        <v>270</v>
      </c>
      <c r="X276">
        <v>57</v>
      </c>
      <c r="Y276">
        <v>8</v>
      </c>
      <c r="Z276">
        <v>28</v>
      </c>
      <c r="AA276">
        <v>3</v>
      </c>
      <c r="AB276">
        <v>4</v>
      </c>
      <c r="AC276">
        <v>62</v>
      </c>
      <c r="AD276">
        <v>4</v>
      </c>
      <c r="AE276">
        <v>8.9</v>
      </c>
      <c r="AF276" s="5">
        <v>0.45600000000000002</v>
      </c>
      <c r="AG276">
        <v>0.28599999999999998</v>
      </c>
      <c r="AH276">
        <v>1.34</v>
      </c>
      <c r="AI276">
        <v>4.4800000000000004</v>
      </c>
      <c r="AJ276">
        <v>4.6900000000000004</v>
      </c>
      <c r="AK276">
        <v>3.6</v>
      </c>
      <c r="AL276">
        <v>0.4</v>
      </c>
      <c r="AM276">
        <v>23</v>
      </c>
      <c r="AN276">
        <v>41</v>
      </c>
      <c r="AO276">
        <v>18</v>
      </c>
      <c r="AP276">
        <v>22</v>
      </c>
      <c r="AQ276" t="s">
        <v>2555</v>
      </c>
      <c r="AR276">
        <v>73</v>
      </c>
      <c r="AS276" t="s">
        <v>35</v>
      </c>
      <c r="AT276" t="s">
        <v>36</v>
      </c>
      <c r="AU276" s="4">
        <f>HYPERLINK("http://mlb.mlb.com/team/player.jsp?player_id=572193",572193)</f>
        <v>572193</v>
      </c>
      <c r="AV276">
        <v>228</v>
      </c>
      <c r="AW276">
        <v>1228</v>
      </c>
      <c r="AX276">
        <v>77.7</v>
      </c>
    </row>
    <row r="277" spans="1:50" x14ac:dyDescent="0.3">
      <c r="A277" s="4">
        <f>HYPERLINK("http://legacy.baseballprospectus.com/p/60759",60759)</f>
        <v>60759</v>
      </c>
      <c r="B277" t="s">
        <v>977</v>
      </c>
      <c r="C277" t="s">
        <v>313</v>
      </c>
      <c r="D277" s="10">
        <v>32014</v>
      </c>
      <c r="E277" t="s">
        <v>33</v>
      </c>
      <c r="F277" t="s">
        <v>33</v>
      </c>
      <c r="G277">
        <v>73</v>
      </c>
      <c r="H277">
        <v>224</v>
      </c>
      <c r="I277">
        <v>2018</v>
      </c>
      <c r="J277" s="4" t="str">
        <f>HYPERLINK("http://legacy.baseballprospectus.com/fantasy/dc/index.php?tm=NYA","NYA")</f>
        <v>NYA</v>
      </c>
      <c r="K277" t="s">
        <v>95</v>
      </c>
      <c r="L277" t="s">
        <v>34</v>
      </c>
      <c r="M277">
        <v>30</v>
      </c>
      <c r="N277">
        <v>2.2999999999999998</v>
      </c>
      <c r="O277">
        <v>1.9</v>
      </c>
      <c r="P277">
        <v>0</v>
      </c>
      <c r="Q277">
        <v>0</v>
      </c>
      <c r="R277">
        <v>0</v>
      </c>
      <c r="S277">
        <v>1</v>
      </c>
      <c r="T277">
        <v>42</v>
      </c>
      <c r="U277">
        <v>0</v>
      </c>
      <c r="V277" s="9">
        <v>44.333300000000001</v>
      </c>
      <c r="W277">
        <v>190</v>
      </c>
      <c r="X277">
        <v>41</v>
      </c>
      <c r="Y277">
        <v>6</v>
      </c>
      <c r="Z277">
        <v>19</v>
      </c>
      <c r="AA277">
        <v>2</v>
      </c>
      <c r="AB277">
        <v>1</v>
      </c>
      <c r="AC277">
        <v>40</v>
      </c>
      <c r="AD277">
        <v>3.8</v>
      </c>
      <c r="AE277">
        <v>8.1</v>
      </c>
      <c r="AF277" s="5">
        <v>0.443</v>
      </c>
      <c r="AG277">
        <v>0.28299999999999997</v>
      </c>
      <c r="AH277">
        <v>1.32</v>
      </c>
      <c r="AI277">
        <v>4.34</v>
      </c>
      <c r="AJ277">
        <v>4.51</v>
      </c>
      <c r="AK277">
        <v>3.4</v>
      </c>
      <c r="AL277">
        <v>0.4</v>
      </c>
      <c r="AM277">
        <v>22</v>
      </c>
      <c r="AN277">
        <v>52</v>
      </c>
      <c r="AO277">
        <v>28</v>
      </c>
      <c r="AP277">
        <v>12</v>
      </c>
      <c r="AQ277" t="s">
        <v>2626</v>
      </c>
      <c r="AR277">
        <v>94</v>
      </c>
      <c r="AS277" t="s">
        <v>35</v>
      </c>
      <c r="AT277" t="s">
        <v>36</v>
      </c>
      <c r="AU277" s="4">
        <f>HYPERLINK("http://mlb.mlb.com/team/player.jsp?player_id=476589",476589)</f>
        <v>476589</v>
      </c>
      <c r="AV277">
        <v>268</v>
      </c>
      <c r="AW277">
        <v>1268</v>
      </c>
      <c r="AX277">
        <v>57.3</v>
      </c>
    </row>
    <row r="278" spans="1:50" x14ac:dyDescent="0.3">
      <c r="A278" s="4">
        <f>HYPERLINK("http://legacy.baseballprospectus.com/p/65809",65809)</f>
        <v>65809</v>
      </c>
      <c r="B278" t="s">
        <v>728</v>
      </c>
      <c r="C278" t="s">
        <v>285</v>
      </c>
      <c r="D278" s="10">
        <v>32290</v>
      </c>
      <c r="E278" t="s">
        <v>33</v>
      </c>
      <c r="F278" t="s">
        <v>33</v>
      </c>
      <c r="G278">
        <v>74</v>
      </c>
      <c r="H278">
        <v>205</v>
      </c>
      <c r="I278">
        <v>2018</v>
      </c>
      <c r="J278" s="4" t="str">
        <f>HYPERLINK("http://legacy.baseballprospectus.com/fantasy/dc/index.php?tm=ARI","ARI")</f>
        <v>ARI</v>
      </c>
      <c r="K278" t="s">
        <v>100</v>
      </c>
      <c r="L278" t="s">
        <v>34</v>
      </c>
      <c r="M278">
        <v>30</v>
      </c>
      <c r="N278">
        <v>2.6</v>
      </c>
      <c r="O278">
        <v>2.2000000000000002</v>
      </c>
      <c r="P278">
        <v>0</v>
      </c>
      <c r="Q278">
        <v>0</v>
      </c>
      <c r="R278">
        <v>30</v>
      </c>
      <c r="S278">
        <v>4</v>
      </c>
      <c r="T278">
        <v>47</v>
      </c>
      <c r="U278">
        <v>0</v>
      </c>
      <c r="V278" s="9">
        <v>50</v>
      </c>
      <c r="W278">
        <v>216</v>
      </c>
      <c r="X278">
        <v>44</v>
      </c>
      <c r="Y278">
        <v>6</v>
      </c>
      <c r="Z278">
        <v>23</v>
      </c>
      <c r="AA278">
        <v>2</v>
      </c>
      <c r="AB278">
        <v>2</v>
      </c>
      <c r="AC278">
        <v>58</v>
      </c>
      <c r="AD278">
        <v>4.2</v>
      </c>
      <c r="AE278">
        <v>10.5</v>
      </c>
      <c r="AF278" s="5">
        <v>0.433</v>
      </c>
      <c r="AG278">
        <v>0.30399999999999999</v>
      </c>
      <c r="AH278">
        <v>1.36</v>
      </c>
      <c r="AI278">
        <v>3.71</v>
      </c>
      <c r="AJ278">
        <v>4.22</v>
      </c>
      <c r="AK278">
        <v>4</v>
      </c>
      <c r="AL278">
        <v>0.4</v>
      </c>
      <c r="AM278">
        <v>19</v>
      </c>
      <c r="AN278">
        <v>41</v>
      </c>
      <c r="AO278">
        <v>25</v>
      </c>
      <c r="AP278">
        <v>17</v>
      </c>
      <c r="AQ278" t="s">
        <v>2845</v>
      </c>
      <c r="AR278">
        <v>88</v>
      </c>
      <c r="AS278" t="s">
        <v>35</v>
      </c>
      <c r="AT278" t="s">
        <v>36</v>
      </c>
      <c r="AU278" s="4">
        <f>HYPERLINK("http://mlb.mlb.com/team/player.jsp?player_id=502202",502202)</f>
        <v>502202</v>
      </c>
      <c r="AV278">
        <v>1316</v>
      </c>
      <c r="AW278">
        <v>316</v>
      </c>
      <c r="AX278">
        <v>29.3</v>
      </c>
    </row>
    <row r="279" spans="1:50" x14ac:dyDescent="0.3">
      <c r="A279" s="4">
        <f>HYPERLINK("http://legacy.baseballprospectus.com/p/65855",65855)</f>
        <v>65855</v>
      </c>
      <c r="B279" t="s">
        <v>722</v>
      </c>
      <c r="C279" t="s">
        <v>713</v>
      </c>
      <c r="D279" s="10">
        <v>32624</v>
      </c>
      <c r="E279" t="s">
        <v>33</v>
      </c>
      <c r="F279" t="s">
        <v>33</v>
      </c>
      <c r="G279">
        <v>73</v>
      </c>
      <c r="H279">
        <v>200</v>
      </c>
      <c r="I279">
        <v>2018</v>
      </c>
      <c r="J279" s="4" t="str">
        <f>HYPERLINK("http://legacy.baseballprospectus.com/fantasy/dc/index.php?tm=COL","COL")</f>
        <v>COL</v>
      </c>
      <c r="K279" t="s">
        <v>100</v>
      </c>
      <c r="L279" t="s">
        <v>34</v>
      </c>
      <c r="M279">
        <v>29</v>
      </c>
      <c r="N279">
        <v>7.9</v>
      </c>
      <c r="O279">
        <v>10</v>
      </c>
      <c r="P279">
        <v>12</v>
      </c>
      <c r="Q279">
        <v>0</v>
      </c>
      <c r="R279">
        <v>0</v>
      </c>
      <c r="S279">
        <v>0</v>
      </c>
      <c r="T279">
        <v>28</v>
      </c>
      <c r="U279">
        <v>28</v>
      </c>
      <c r="V279" s="9">
        <v>140</v>
      </c>
      <c r="W279">
        <v>623</v>
      </c>
      <c r="X279">
        <v>151</v>
      </c>
      <c r="Y279">
        <v>21</v>
      </c>
      <c r="Z279">
        <v>55</v>
      </c>
      <c r="AA279">
        <v>3</v>
      </c>
      <c r="AB279">
        <v>5</v>
      </c>
      <c r="AC279">
        <v>108</v>
      </c>
      <c r="AD279">
        <v>3.5</v>
      </c>
      <c r="AE279">
        <v>6.9</v>
      </c>
      <c r="AF279" s="5">
        <v>0.49199999999999999</v>
      </c>
      <c r="AG279">
        <v>0.30099999999999999</v>
      </c>
      <c r="AH279">
        <v>1.48</v>
      </c>
      <c r="AI279">
        <v>4.8</v>
      </c>
      <c r="AJ279">
        <v>4.99</v>
      </c>
      <c r="AK279">
        <v>4</v>
      </c>
      <c r="AL279">
        <v>0.4</v>
      </c>
      <c r="AM279">
        <v>26</v>
      </c>
      <c r="AN279">
        <v>45</v>
      </c>
      <c r="AO279">
        <v>24</v>
      </c>
      <c r="AP279">
        <v>15</v>
      </c>
      <c r="AQ279" t="s">
        <v>2420</v>
      </c>
      <c r="AR279">
        <v>93</v>
      </c>
      <c r="AS279" t="s">
        <v>35</v>
      </c>
      <c r="AT279" t="s">
        <v>36</v>
      </c>
      <c r="AU279" s="4">
        <f>HYPERLINK("http://mlb.mlb.com/team/player.jsp?player_id=518452",518452)</f>
        <v>518452</v>
      </c>
      <c r="AV279">
        <v>1088</v>
      </c>
      <c r="AW279">
        <v>88</v>
      </c>
      <c r="AX279">
        <v>46.3</v>
      </c>
    </row>
    <row r="280" spans="1:50" x14ac:dyDescent="0.3">
      <c r="A280" s="4">
        <f>HYPERLINK("http://legacy.baseballprospectus.com/p/66339",66339)</f>
        <v>66339</v>
      </c>
      <c r="B280" t="s">
        <v>1612</v>
      </c>
      <c r="C280" t="s">
        <v>304</v>
      </c>
      <c r="D280" s="10">
        <v>33719</v>
      </c>
      <c r="E280" t="s">
        <v>33</v>
      </c>
      <c r="F280" t="s">
        <v>33</v>
      </c>
      <c r="G280">
        <v>72</v>
      </c>
      <c r="H280">
        <v>205</v>
      </c>
      <c r="I280">
        <v>2018</v>
      </c>
      <c r="J280" s="4" t="str">
        <f>HYPERLINK("http://legacy.baseballprospectus.com/fantasy/dc/index.php?tm=NYA","NYA")</f>
        <v>NYA</v>
      </c>
      <c r="K280" t="s">
        <v>95</v>
      </c>
      <c r="L280" t="s">
        <v>34</v>
      </c>
      <c r="M280">
        <v>26</v>
      </c>
      <c r="N280">
        <v>4.3</v>
      </c>
      <c r="O280">
        <v>3.4</v>
      </c>
      <c r="P280">
        <v>4</v>
      </c>
      <c r="Q280">
        <v>0</v>
      </c>
      <c r="R280">
        <v>0</v>
      </c>
      <c r="S280">
        <v>0</v>
      </c>
      <c r="T280">
        <v>31</v>
      </c>
      <c r="U280">
        <v>8</v>
      </c>
      <c r="V280" s="9">
        <v>67</v>
      </c>
      <c r="W280">
        <v>292</v>
      </c>
      <c r="X280">
        <v>68</v>
      </c>
      <c r="Y280">
        <v>11</v>
      </c>
      <c r="Z280">
        <v>25</v>
      </c>
      <c r="AA280">
        <v>2</v>
      </c>
      <c r="AB280">
        <v>2</v>
      </c>
      <c r="AC280">
        <v>60</v>
      </c>
      <c r="AD280">
        <v>3.4</v>
      </c>
      <c r="AE280">
        <v>8</v>
      </c>
      <c r="AF280" s="5">
        <v>0.45800000000000002</v>
      </c>
      <c r="AG280">
        <v>0.29399999999999998</v>
      </c>
      <c r="AH280">
        <v>1.39</v>
      </c>
      <c r="AI280">
        <v>4.6900000000000004</v>
      </c>
      <c r="AJ280">
        <v>4.8600000000000003</v>
      </c>
      <c r="AK280">
        <v>3.9</v>
      </c>
      <c r="AL280">
        <v>0.4</v>
      </c>
      <c r="AM280">
        <v>17</v>
      </c>
      <c r="AN280">
        <v>36</v>
      </c>
      <c r="AO280">
        <v>22</v>
      </c>
      <c r="AP280">
        <v>41</v>
      </c>
      <c r="AQ280" t="s">
        <v>2560</v>
      </c>
      <c r="AR280">
        <v>69</v>
      </c>
      <c r="AS280" t="s">
        <v>35</v>
      </c>
      <c r="AT280" t="s">
        <v>36</v>
      </c>
      <c r="AU280" s="4">
        <f>HYPERLINK("http://mlb.mlb.com/team/player.jsp?player_id=570666",570666)</f>
        <v>570666</v>
      </c>
      <c r="AV280">
        <v>90</v>
      </c>
      <c r="AW280">
        <v>1090</v>
      </c>
      <c r="AX280">
        <v>36</v>
      </c>
    </row>
    <row r="281" spans="1:50" x14ac:dyDescent="0.3">
      <c r="A281" s="4">
        <f>HYPERLINK("http://legacy.baseballprospectus.com/p/50102",50102)</f>
        <v>50102</v>
      </c>
      <c r="B281" t="s">
        <v>861</v>
      </c>
      <c r="C281" t="s">
        <v>146</v>
      </c>
      <c r="D281" s="10">
        <v>32101</v>
      </c>
      <c r="E281" t="s">
        <v>9</v>
      </c>
      <c r="F281" t="s">
        <v>9</v>
      </c>
      <c r="G281">
        <v>72</v>
      </c>
      <c r="H281">
        <v>200</v>
      </c>
      <c r="I281">
        <v>2018</v>
      </c>
      <c r="J281" s="4" t="str">
        <f>HYPERLINK("http://legacy.baseballprospectus.com/fantasy/dc/index.php?tm=MIA","MIA")</f>
        <v>MIA</v>
      </c>
      <c r="K281" t="s">
        <v>100</v>
      </c>
      <c r="L281" t="s">
        <v>34</v>
      </c>
      <c r="M281">
        <v>30</v>
      </c>
      <c r="N281">
        <v>3.3</v>
      </c>
      <c r="O281">
        <v>3.4</v>
      </c>
      <c r="P281">
        <v>4.7</v>
      </c>
      <c r="Q281">
        <v>0</v>
      </c>
      <c r="R281">
        <v>0</v>
      </c>
      <c r="S281">
        <v>0</v>
      </c>
      <c r="T281">
        <v>9.9</v>
      </c>
      <c r="U281">
        <v>9.9</v>
      </c>
      <c r="V281" s="9">
        <v>55.666699999999999</v>
      </c>
      <c r="W281">
        <v>235</v>
      </c>
      <c r="X281">
        <v>56</v>
      </c>
      <c r="Y281">
        <v>7</v>
      </c>
      <c r="Z281">
        <v>22</v>
      </c>
      <c r="AA281" t="s">
        <v>1680</v>
      </c>
      <c r="AB281">
        <v>2</v>
      </c>
      <c r="AC281">
        <v>46</v>
      </c>
      <c r="AD281">
        <v>3.6</v>
      </c>
      <c r="AE281">
        <v>7.5</v>
      </c>
      <c r="AF281" s="5">
        <v>0.48350143432617099</v>
      </c>
      <c r="AG281">
        <v>0.308</v>
      </c>
      <c r="AH281">
        <v>1.4</v>
      </c>
      <c r="AI281">
        <v>4.4400000000000004</v>
      </c>
      <c r="AJ281">
        <v>5.0199999999999996</v>
      </c>
      <c r="AK281">
        <v>3.5</v>
      </c>
      <c r="AL281">
        <v>0.4</v>
      </c>
      <c r="AM281">
        <v>13</v>
      </c>
      <c r="AN281">
        <v>46</v>
      </c>
      <c r="AO281">
        <v>23</v>
      </c>
      <c r="AP281">
        <v>15</v>
      </c>
      <c r="AQ281" t="s">
        <v>2640</v>
      </c>
      <c r="AR281">
        <v>90</v>
      </c>
      <c r="AS281" t="s">
        <v>36</v>
      </c>
      <c r="AT281" t="s">
        <v>36</v>
      </c>
      <c r="AU281" s="4">
        <f>HYPERLINK("http://mlb.mlb.com/team/player.jsp?player_id=502046",502046)</f>
        <v>502046</v>
      </c>
      <c r="AV281">
        <v>0</v>
      </c>
      <c r="AW281">
        <v>0</v>
      </c>
      <c r="AX281">
        <v>32</v>
      </c>
    </row>
    <row r="282" spans="1:50" x14ac:dyDescent="0.3">
      <c r="A282" s="4">
        <f>HYPERLINK("http://legacy.baseballprospectus.com/p/57608",57608)</f>
        <v>57608</v>
      </c>
      <c r="B282" t="s">
        <v>774</v>
      </c>
      <c r="C282" t="s">
        <v>775</v>
      </c>
      <c r="D282" s="10">
        <v>32571</v>
      </c>
      <c r="E282" t="s">
        <v>33</v>
      </c>
      <c r="F282" t="s">
        <v>33</v>
      </c>
      <c r="G282">
        <v>72</v>
      </c>
      <c r="H282">
        <v>210</v>
      </c>
      <c r="I282">
        <v>2018</v>
      </c>
      <c r="J282" s="4" t="str">
        <f>HYPERLINK("http://legacy.baseballprospectus.com/fantasy/dc/index.php?tm=ARI","ARI")</f>
        <v>ARI</v>
      </c>
      <c r="K282" t="s">
        <v>100</v>
      </c>
      <c r="L282" t="s">
        <v>34</v>
      </c>
      <c r="M282">
        <v>29</v>
      </c>
      <c r="N282">
        <v>2.2999999999999998</v>
      </c>
      <c r="O282">
        <v>2.1</v>
      </c>
      <c r="P282">
        <v>3.6</v>
      </c>
      <c r="Q282">
        <v>0</v>
      </c>
      <c r="R282">
        <v>0</v>
      </c>
      <c r="S282">
        <v>0</v>
      </c>
      <c r="T282">
        <v>6.8</v>
      </c>
      <c r="U282">
        <v>6.8</v>
      </c>
      <c r="V282" s="9">
        <v>36.333300000000001</v>
      </c>
      <c r="W282">
        <v>150</v>
      </c>
      <c r="X282">
        <v>32</v>
      </c>
      <c r="Y282">
        <v>4</v>
      </c>
      <c r="Z282">
        <v>14</v>
      </c>
      <c r="AA282" t="s">
        <v>1680</v>
      </c>
      <c r="AB282">
        <v>2</v>
      </c>
      <c r="AC282">
        <v>40</v>
      </c>
      <c r="AD282">
        <v>3.5</v>
      </c>
      <c r="AE282">
        <v>9.9</v>
      </c>
      <c r="AF282" s="5">
        <v>0.46236008405685403</v>
      </c>
      <c r="AG282">
        <v>0.307</v>
      </c>
      <c r="AH282">
        <v>1.26</v>
      </c>
      <c r="AI282">
        <v>3.95</v>
      </c>
      <c r="AJ282">
        <v>4.71</v>
      </c>
      <c r="AK282">
        <v>3.4</v>
      </c>
      <c r="AL282">
        <v>0.4</v>
      </c>
      <c r="AM282">
        <v>29</v>
      </c>
      <c r="AN282">
        <v>49</v>
      </c>
      <c r="AO282">
        <v>19</v>
      </c>
      <c r="AP282">
        <v>19</v>
      </c>
      <c r="AQ282" t="s">
        <v>2869</v>
      </c>
      <c r="AR282">
        <v>87</v>
      </c>
      <c r="AS282" t="s">
        <v>36</v>
      </c>
      <c r="AT282" t="s">
        <v>36</v>
      </c>
      <c r="AU282" s="4">
        <f>HYPERLINK("http://mlb.mlb.com/team/player.jsp?player_id=523989",523989)</f>
        <v>523989</v>
      </c>
      <c r="AV282">
        <v>0</v>
      </c>
      <c r="AW282">
        <v>0</v>
      </c>
      <c r="AX282">
        <v>7.7</v>
      </c>
    </row>
    <row r="283" spans="1:50" x14ac:dyDescent="0.3">
      <c r="A283" s="4">
        <f>HYPERLINK("http://legacy.baseballprospectus.com/p/58044",58044)</f>
        <v>58044</v>
      </c>
      <c r="B283" t="s">
        <v>708</v>
      </c>
      <c r="C283" t="s">
        <v>489</v>
      </c>
      <c r="D283" s="10">
        <v>33310</v>
      </c>
      <c r="E283" t="s">
        <v>33</v>
      </c>
      <c r="F283" t="s">
        <v>9</v>
      </c>
      <c r="G283">
        <v>70</v>
      </c>
      <c r="H283">
        <v>215</v>
      </c>
      <c r="I283">
        <v>2018</v>
      </c>
      <c r="J283" s="4" t="str">
        <f>HYPERLINK("http://legacy.baseballprospectus.com/fantasy/dc/index.php?tm=LAN","LAN")</f>
        <v>LAN</v>
      </c>
      <c r="K283" t="s">
        <v>95</v>
      </c>
      <c r="L283" t="s">
        <v>34</v>
      </c>
      <c r="M283">
        <v>27</v>
      </c>
      <c r="N283">
        <v>4.4000000000000004</v>
      </c>
      <c r="O283">
        <v>5.5</v>
      </c>
      <c r="P283">
        <v>6.7</v>
      </c>
      <c r="Q283">
        <v>0</v>
      </c>
      <c r="R283">
        <v>0.5</v>
      </c>
      <c r="S283">
        <v>0</v>
      </c>
      <c r="T283">
        <v>28.9</v>
      </c>
      <c r="U283">
        <v>16.3</v>
      </c>
      <c r="V283" s="9">
        <v>78.666700000000006</v>
      </c>
      <c r="W283">
        <v>347</v>
      </c>
      <c r="X283">
        <v>79</v>
      </c>
      <c r="Y283">
        <v>11</v>
      </c>
      <c r="Z283">
        <v>36</v>
      </c>
      <c r="AA283" t="s">
        <v>1680</v>
      </c>
      <c r="AB283">
        <v>4</v>
      </c>
      <c r="AC283">
        <v>65</v>
      </c>
      <c r="AD283">
        <v>4.0999999999999996</v>
      </c>
      <c r="AE283">
        <v>7.5</v>
      </c>
      <c r="AF283" s="5">
        <v>0.44328051805496199</v>
      </c>
      <c r="AG283">
        <v>0.29299999999999998</v>
      </c>
      <c r="AH283">
        <v>1.46</v>
      </c>
      <c r="AI283">
        <v>5</v>
      </c>
      <c r="AJ283">
        <v>5.18</v>
      </c>
      <c r="AK283">
        <v>3.7</v>
      </c>
      <c r="AL283">
        <v>0.4</v>
      </c>
      <c r="AM283">
        <v>22</v>
      </c>
      <c r="AN283">
        <v>28</v>
      </c>
      <c r="AO283">
        <v>14</v>
      </c>
      <c r="AP283">
        <v>28</v>
      </c>
      <c r="AQ283" t="s">
        <v>2870</v>
      </c>
      <c r="AR283">
        <v>44</v>
      </c>
      <c r="AS283" t="s">
        <v>36</v>
      </c>
      <c r="AT283" t="s">
        <v>35</v>
      </c>
      <c r="AU283" s="4">
        <f>HYPERLINK("http://mlb.mlb.com/team/player.jsp?player_id=544365",544365)</f>
        <v>544365</v>
      </c>
      <c r="AV283">
        <v>0</v>
      </c>
      <c r="AW283">
        <v>0</v>
      </c>
      <c r="AX283">
        <v>0</v>
      </c>
    </row>
    <row r="284" spans="1:50" x14ac:dyDescent="0.3">
      <c r="A284" s="4">
        <f>HYPERLINK("http://legacy.baseballprospectus.com/p/58563",58563)</f>
        <v>58563</v>
      </c>
      <c r="B284" t="s">
        <v>913</v>
      </c>
      <c r="C284" t="s">
        <v>487</v>
      </c>
      <c r="D284" s="10">
        <v>31961</v>
      </c>
      <c r="E284" t="s">
        <v>33</v>
      </c>
      <c r="F284" t="s">
        <v>33</v>
      </c>
      <c r="G284">
        <v>74</v>
      </c>
      <c r="H284">
        <v>220</v>
      </c>
      <c r="I284">
        <v>2018</v>
      </c>
      <c r="J284" s="4" t="str">
        <f>HYPERLINK("http://legacy.baseballprospectus.com/fantasy/dc/index.php?tm=CHA","CHA")</f>
        <v>CHA</v>
      </c>
      <c r="K284" t="s">
        <v>95</v>
      </c>
      <c r="L284" t="s">
        <v>34</v>
      </c>
      <c r="M284">
        <v>30</v>
      </c>
      <c r="N284">
        <v>1.7</v>
      </c>
      <c r="O284">
        <v>0.7</v>
      </c>
      <c r="P284">
        <v>0</v>
      </c>
      <c r="Q284">
        <v>0</v>
      </c>
      <c r="R284">
        <v>0.1</v>
      </c>
      <c r="S284">
        <v>0</v>
      </c>
      <c r="T284">
        <v>33.200000000000003</v>
      </c>
      <c r="U284">
        <v>0</v>
      </c>
      <c r="V284" s="9">
        <v>35</v>
      </c>
      <c r="W284">
        <v>150</v>
      </c>
      <c r="X284">
        <v>30</v>
      </c>
      <c r="Y284">
        <v>4</v>
      </c>
      <c r="Z284">
        <v>16</v>
      </c>
      <c r="AA284" t="s">
        <v>1680</v>
      </c>
      <c r="AB284">
        <v>1</v>
      </c>
      <c r="AC284">
        <v>39</v>
      </c>
      <c r="AD284">
        <v>4.2</v>
      </c>
      <c r="AE284">
        <v>10.1</v>
      </c>
      <c r="AF284" s="5">
        <v>0.45827034115791299</v>
      </c>
      <c r="AG284">
        <v>0.28999999999999998</v>
      </c>
      <c r="AH284">
        <v>1.32</v>
      </c>
      <c r="AI284">
        <v>4.05</v>
      </c>
      <c r="AJ284">
        <v>4.1399999999999997</v>
      </c>
      <c r="AK284">
        <v>4.2</v>
      </c>
      <c r="AL284">
        <v>0.4</v>
      </c>
      <c r="AM284">
        <v>30</v>
      </c>
      <c r="AN284">
        <v>50</v>
      </c>
      <c r="AO284">
        <v>29</v>
      </c>
      <c r="AP284">
        <v>20</v>
      </c>
      <c r="AQ284" t="s">
        <v>2570</v>
      </c>
      <c r="AR284">
        <v>93</v>
      </c>
      <c r="AS284" t="s">
        <v>36</v>
      </c>
      <c r="AT284" t="s">
        <v>36</v>
      </c>
      <c r="AU284" s="4">
        <f>HYPERLINK("http://mlb.mlb.com/team/player.jsp?player_id=474029",474029)</f>
        <v>474029</v>
      </c>
      <c r="AV284">
        <v>0</v>
      </c>
      <c r="AW284">
        <v>0</v>
      </c>
      <c r="AX284">
        <v>8.6999999999999993</v>
      </c>
    </row>
    <row r="285" spans="1:50" x14ac:dyDescent="0.3">
      <c r="A285" s="4">
        <f>HYPERLINK("http://legacy.baseballprospectus.com/p/58673",58673)</f>
        <v>58673</v>
      </c>
      <c r="B285" t="s">
        <v>1181</v>
      </c>
      <c r="C285" t="s">
        <v>459</v>
      </c>
      <c r="D285" s="10">
        <v>32709</v>
      </c>
      <c r="E285" t="s">
        <v>9</v>
      </c>
      <c r="F285" t="s">
        <v>9</v>
      </c>
      <c r="G285">
        <v>77</v>
      </c>
      <c r="H285">
        <v>230</v>
      </c>
      <c r="I285">
        <v>2018</v>
      </c>
      <c r="J285" s="4" t="str">
        <f>HYPERLINK("http://legacy.baseballprospectus.com/fantasy/dc/index.php?tm=PIT","PIT")</f>
        <v>PIT</v>
      </c>
      <c r="K285" t="s">
        <v>100</v>
      </c>
      <c r="L285" t="s">
        <v>34</v>
      </c>
      <c r="M285">
        <v>28</v>
      </c>
      <c r="N285">
        <v>2.1</v>
      </c>
      <c r="O285">
        <v>0.9</v>
      </c>
      <c r="P285">
        <v>0</v>
      </c>
      <c r="Q285">
        <v>0</v>
      </c>
      <c r="R285">
        <v>1</v>
      </c>
      <c r="S285">
        <v>0</v>
      </c>
      <c r="T285">
        <v>41</v>
      </c>
      <c r="U285">
        <v>0</v>
      </c>
      <c r="V285" s="9">
        <v>43.333300000000001</v>
      </c>
      <c r="W285">
        <v>178</v>
      </c>
      <c r="X285">
        <v>36</v>
      </c>
      <c r="Y285">
        <v>5</v>
      </c>
      <c r="Z285">
        <v>18</v>
      </c>
      <c r="AA285" t="s">
        <v>1680</v>
      </c>
      <c r="AB285">
        <v>1</v>
      </c>
      <c r="AC285">
        <v>48</v>
      </c>
      <c r="AD285">
        <v>3.8</v>
      </c>
      <c r="AE285">
        <v>9.9</v>
      </c>
      <c r="AF285" s="5">
        <v>0.388981312513351</v>
      </c>
      <c r="AG285">
        <v>0.29399999999999998</v>
      </c>
      <c r="AH285">
        <v>1.25</v>
      </c>
      <c r="AI285">
        <v>3.8</v>
      </c>
      <c r="AJ285">
        <v>4.22</v>
      </c>
      <c r="AK285">
        <v>3.8</v>
      </c>
      <c r="AL285">
        <v>0.4</v>
      </c>
      <c r="AM285">
        <v>25</v>
      </c>
      <c r="AN285">
        <v>44</v>
      </c>
      <c r="AO285">
        <v>35</v>
      </c>
      <c r="AP285">
        <v>11</v>
      </c>
      <c r="AQ285" t="s">
        <v>2733</v>
      </c>
      <c r="AR285">
        <v>92</v>
      </c>
      <c r="AS285" t="s">
        <v>36</v>
      </c>
      <c r="AT285" t="s">
        <v>36</v>
      </c>
      <c r="AU285" s="4">
        <f>HYPERLINK("http://mlb.mlb.com/team/player.jsp?player_id=543779",543779)</f>
        <v>543779</v>
      </c>
      <c r="AV285">
        <v>0</v>
      </c>
      <c r="AW285">
        <v>0</v>
      </c>
      <c r="AX285">
        <v>39.299999999999997</v>
      </c>
    </row>
    <row r="286" spans="1:50" x14ac:dyDescent="0.3">
      <c r="A286" s="4">
        <f>HYPERLINK("http://legacy.baseballprospectus.com/p/60936",60936)</f>
        <v>60936</v>
      </c>
      <c r="B286" t="s">
        <v>926</v>
      </c>
      <c r="C286" t="s">
        <v>205</v>
      </c>
      <c r="D286" s="10">
        <v>33216</v>
      </c>
      <c r="E286" t="s">
        <v>33</v>
      </c>
      <c r="F286" t="s">
        <v>33</v>
      </c>
      <c r="G286">
        <v>75</v>
      </c>
      <c r="H286">
        <v>275</v>
      </c>
      <c r="I286">
        <v>2018</v>
      </c>
      <c r="J286" s="4" t="str">
        <f>HYPERLINK("http://legacy.baseballprospectus.com/fantasy/dc/index.php?tm=CHA","CHA")</f>
        <v>CHA</v>
      </c>
      <c r="K286" t="s">
        <v>95</v>
      </c>
      <c r="L286" t="s">
        <v>34</v>
      </c>
      <c r="M286">
        <v>27</v>
      </c>
      <c r="N286">
        <v>2.2000000000000002</v>
      </c>
      <c r="O286">
        <v>0.8</v>
      </c>
      <c r="P286">
        <v>0</v>
      </c>
      <c r="Q286">
        <v>0</v>
      </c>
      <c r="R286">
        <v>1</v>
      </c>
      <c r="S286">
        <v>0</v>
      </c>
      <c r="T286">
        <v>44.3</v>
      </c>
      <c r="U286">
        <v>0</v>
      </c>
      <c r="V286" s="9">
        <v>47</v>
      </c>
      <c r="W286">
        <v>211</v>
      </c>
      <c r="X286">
        <v>47</v>
      </c>
      <c r="Y286">
        <v>6</v>
      </c>
      <c r="Z286">
        <v>23</v>
      </c>
      <c r="AA286" t="s">
        <v>1680</v>
      </c>
      <c r="AB286">
        <v>2</v>
      </c>
      <c r="AC286">
        <v>53</v>
      </c>
      <c r="AD286">
        <v>4.5</v>
      </c>
      <c r="AE286">
        <v>10.199999999999999</v>
      </c>
      <c r="AF286" s="5">
        <v>0.40039524435996998</v>
      </c>
      <c r="AG286">
        <v>0.32600000000000001</v>
      </c>
      <c r="AH286">
        <v>1.51</v>
      </c>
      <c r="AI286">
        <v>4.46</v>
      </c>
      <c r="AJ286">
        <v>4.4800000000000004</v>
      </c>
      <c r="AK286">
        <v>3.4</v>
      </c>
      <c r="AL286">
        <v>0.4</v>
      </c>
      <c r="AM286">
        <v>41</v>
      </c>
      <c r="AN286">
        <v>51</v>
      </c>
      <c r="AO286">
        <v>13</v>
      </c>
      <c r="AP286">
        <v>26</v>
      </c>
      <c r="AQ286" t="s">
        <v>2875</v>
      </c>
      <c r="AR286">
        <v>78</v>
      </c>
      <c r="AS286" t="s">
        <v>36</v>
      </c>
      <c r="AT286" t="s">
        <v>36</v>
      </c>
      <c r="AU286" s="4">
        <f>HYPERLINK("http://mlb.mlb.com/team/player.jsp?player_id=541652",541652)</f>
        <v>541652</v>
      </c>
      <c r="AV286">
        <v>0</v>
      </c>
      <c r="AW286">
        <v>0</v>
      </c>
      <c r="AX286">
        <v>15.7</v>
      </c>
    </row>
    <row r="287" spans="1:50" x14ac:dyDescent="0.3">
      <c r="A287" s="4">
        <f>HYPERLINK("http://legacy.baseballprospectus.com/p/67182",67182)</f>
        <v>67182</v>
      </c>
      <c r="B287" t="s">
        <v>1507</v>
      </c>
      <c r="C287" t="s">
        <v>621</v>
      </c>
      <c r="D287" s="10">
        <v>33820</v>
      </c>
      <c r="E287" t="s">
        <v>33</v>
      </c>
      <c r="F287" t="s">
        <v>33</v>
      </c>
      <c r="G287">
        <v>74</v>
      </c>
      <c r="H287">
        <v>175</v>
      </c>
      <c r="I287">
        <v>2018</v>
      </c>
      <c r="J287" s="4" t="str">
        <f>HYPERLINK("http://legacy.baseballprospectus.com/fantasy/dc/index.php?tm=NYA","NYA")</f>
        <v>NYA</v>
      </c>
      <c r="K287" t="s">
        <v>95</v>
      </c>
      <c r="L287" t="s">
        <v>34</v>
      </c>
      <c r="M287">
        <v>25</v>
      </c>
      <c r="N287">
        <v>2.6</v>
      </c>
      <c r="O287">
        <v>2.1</v>
      </c>
      <c r="P287">
        <v>1</v>
      </c>
      <c r="Q287">
        <v>0</v>
      </c>
      <c r="R287">
        <v>0</v>
      </c>
      <c r="S287">
        <v>0</v>
      </c>
      <c r="T287">
        <v>31</v>
      </c>
      <c r="U287">
        <v>3</v>
      </c>
      <c r="V287" s="9">
        <v>44.666699999999999</v>
      </c>
      <c r="W287">
        <v>190</v>
      </c>
      <c r="X287">
        <v>42</v>
      </c>
      <c r="Y287">
        <v>7</v>
      </c>
      <c r="Z287">
        <v>16</v>
      </c>
      <c r="AA287">
        <v>1</v>
      </c>
      <c r="AB287">
        <v>2</v>
      </c>
      <c r="AC287">
        <v>45</v>
      </c>
      <c r="AD287">
        <v>3.3</v>
      </c>
      <c r="AE287">
        <v>9.1</v>
      </c>
      <c r="AF287" s="5">
        <v>0.435</v>
      </c>
      <c r="AG287">
        <v>0.28999999999999998</v>
      </c>
      <c r="AH287">
        <v>1.3</v>
      </c>
      <c r="AI287">
        <v>4.42</v>
      </c>
      <c r="AJ287">
        <v>4.59</v>
      </c>
      <c r="AK287">
        <v>3.5</v>
      </c>
      <c r="AL287">
        <v>0.4</v>
      </c>
      <c r="AM287">
        <v>17</v>
      </c>
      <c r="AN287">
        <v>41</v>
      </c>
      <c r="AO287">
        <v>17</v>
      </c>
      <c r="AP287">
        <v>35</v>
      </c>
      <c r="AQ287" t="s">
        <v>2636</v>
      </c>
      <c r="AR287">
        <v>65</v>
      </c>
      <c r="AS287" t="s">
        <v>35</v>
      </c>
      <c r="AT287" t="s">
        <v>35</v>
      </c>
      <c r="AU287" s="4">
        <f>HYPERLINK("http://mlb.mlb.com/team/player.jsp?player_id=593334",593334)</f>
        <v>593334</v>
      </c>
      <c r="AV287">
        <v>112</v>
      </c>
      <c r="AW287">
        <v>1112</v>
      </c>
      <c r="AX287">
        <v>14.3</v>
      </c>
    </row>
    <row r="288" spans="1:50" x14ac:dyDescent="0.3">
      <c r="A288" s="4">
        <f>HYPERLINK("http://legacy.baseballprospectus.com/p/67243",67243)</f>
        <v>67243</v>
      </c>
      <c r="B288" t="s">
        <v>1295</v>
      </c>
      <c r="C288" t="s">
        <v>1613</v>
      </c>
      <c r="D288" s="10">
        <v>34049</v>
      </c>
      <c r="E288" t="s">
        <v>33</v>
      </c>
      <c r="F288" t="s">
        <v>33</v>
      </c>
      <c r="G288">
        <v>74</v>
      </c>
      <c r="H288">
        <v>255</v>
      </c>
      <c r="I288">
        <v>2018</v>
      </c>
      <c r="J288" s="4" t="str">
        <f>HYPERLINK("http://legacy.baseballprospectus.com/fantasy/dc/index.php?tm=OAK","OAK")</f>
        <v>OAK</v>
      </c>
      <c r="K288" t="s">
        <v>95</v>
      </c>
      <c r="L288" t="s">
        <v>34</v>
      </c>
      <c r="M288">
        <v>25</v>
      </c>
      <c r="N288">
        <v>1.2</v>
      </c>
      <c r="O288">
        <v>1.3</v>
      </c>
      <c r="P288">
        <v>0</v>
      </c>
      <c r="Q288">
        <v>0</v>
      </c>
      <c r="R288">
        <v>0</v>
      </c>
      <c r="S288">
        <v>1</v>
      </c>
      <c r="T288">
        <v>26</v>
      </c>
      <c r="U288">
        <v>0</v>
      </c>
      <c r="V288" s="9">
        <v>27.333300000000001</v>
      </c>
      <c r="W288">
        <v>116</v>
      </c>
      <c r="X288">
        <v>23</v>
      </c>
      <c r="Y288">
        <v>3</v>
      </c>
      <c r="Z288">
        <v>11</v>
      </c>
      <c r="AA288">
        <v>1</v>
      </c>
      <c r="AB288">
        <v>1</v>
      </c>
      <c r="AC288">
        <v>31</v>
      </c>
      <c r="AD288">
        <v>3.7</v>
      </c>
      <c r="AE288">
        <v>10.199999999999999</v>
      </c>
      <c r="AF288" s="5">
        <v>0.44700000000000001</v>
      </c>
      <c r="AG288">
        <v>0.29299999999999998</v>
      </c>
      <c r="AH288">
        <v>1.27</v>
      </c>
      <c r="AI288">
        <v>3.7</v>
      </c>
      <c r="AJ288">
        <v>3.99</v>
      </c>
      <c r="AK288">
        <v>3.6</v>
      </c>
      <c r="AL288">
        <v>0.4</v>
      </c>
      <c r="AM288">
        <v>37</v>
      </c>
      <c r="AN288">
        <v>64</v>
      </c>
      <c r="AO288">
        <v>15</v>
      </c>
      <c r="AP288">
        <v>35</v>
      </c>
      <c r="AQ288" t="s">
        <v>2505</v>
      </c>
      <c r="AR288">
        <v>92</v>
      </c>
      <c r="AS288" t="s">
        <v>35</v>
      </c>
      <c r="AT288" t="s">
        <v>35</v>
      </c>
      <c r="AU288" s="4">
        <f>HYPERLINK("http://mlb.mlb.com/team/player.jsp?player_id=593423",593423)</f>
        <v>593423</v>
      </c>
      <c r="AV288">
        <v>94</v>
      </c>
      <c r="AW288">
        <v>1094</v>
      </c>
      <c r="AX288">
        <v>32</v>
      </c>
    </row>
    <row r="289" spans="1:50" x14ac:dyDescent="0.3">
      <c r="A289" s="4">
        <f>HYPERLINK("http://legacy.baseballprospectus.com/p/67355",67355)</f>
        <v>67355</v>
      </c>
      <c r="B289" t="s">
        <v>1480</v>
      </c>
      <c r="C289" t="s">
        <v>379</v>
      </c>
      <c r="D289" s="10">
        <v>32673</v>
      </c>
      <c r="E289" t="s">
        <v>33</v>
      </c>
      <c r="F289" t="s">
        <v>33</v>
      </c>
      <c r="G289">
        <v>74</v>
      </c>
      <c r="H289">
        <v>215</v>
      </c>
      <c r="I289">
        <v>2018</v>
      </c>
      <c r="J289" s="4" t="str">
        <f>HYPERLINK("http://legacy.baseballprospectus.com/fantasy/dc/index.php?tm=PHI","PHI")</f>
        <v>PHI</v>
      </c>
      <c r="K289" t="s">
        <v>100</v>
      </c>
      <c r="L289" t="s">
        <v>34</v>
      </c>
      <c r="M289">
        <v>29</v>
      </c>
      <c r="N289">
        <v>3.1</v>
      </c>
      <c r="O289">
        <v>3</v>
      </c>
      <c r="P289">
        <v>0</v>
      </c>
      <c r="Q289">
        <v>0</v>
      </c>
      <c r="R289">
        <v>28</v>
      </c>
      <c r="S289">
        <v>5</v>
      </c>
      <c r="T289">
        <v>60</v>
      </c>
      <c r="U289">
        <v>0</v>
      </c>
      <c r="V289" s="9">
        <v>64</v>
      </c>
      <c r="W289">
        <v>274</v>
      </c>
      <c r="X289">
        <v>58</v>
      </c>
      <c r="Y289">
        <v>10</v>
      </c>
      <c r="Z289">
        <v>26</v>
      </c>
      <c r="AA289">
        <v>2</v>
      </c>
      <c r="AB289">
        <v>3</v>
      </c>
      <c r="AC289">
        <v>71</v>
      </c>
      <c r="AD289">
        <v>3.6</v>
      </c>
      <c r="AE289">
        <v>10</v>
      </c>
      <c r="AF289" s="5">
        <v>0.40200000000000002</v>
      </c>
      <c r="AG289">
        <v>0.29199999999999998</v>
      </c>
      <c r="AH289">
        <v>1.31</v>
      </c>
      <c r="AI289">
        <v>4.29</v>
      </c>
      <c r="AJ289">
        <v>4.43</v>
      </c>
      <c r="AK289">
        <v>3.8</v>
      </c>
      <c r="AL289">
        <v>0.4</v>
      </c>
      <c r="AM289">
        <v>23</v>
      </c>
      <c r="AN289">
        <v>51</v>
      </c>
      <c r="AO289">
        <v>16</v>
      </c>
      <c r="AP289">
        <v>18</v>
      </c>
      <c r="AQ289" t="s">
        <v>2637</v>
      </c>
      <c r="AR289">
        <v>87</v>
      </c>
      <c r="AS289" t="s">
        <v>35</v>
      </c>
      <c r="AT289" t="s">
        <v>36</v>
      </c>
      <c r="AU289" s="4">
        <f>HYPERLINK("http://mlb.mlb.com/team/player.jsp?player_id=593576",593576)</f>
        <v>593576</v>
      </c>
      <c r="AV289">
        <v>1241</v>
      </c>
      <c r="AW289">
        <v>241</v>
      </c>
      <c r="AX289">
        <v>74.7</v>
      </c>
    </row>
    <row r="290" spans="1:50" x14ac:dyDescent="0.3">
      <c r="A290" s="4">
        <f>HYPERLINK("http://legacy.baseballprospectus.com/p/68692",68692)</f>
        <v>68692</v>
      </c>
      <c r="B290" t="s">
        <v>652</v>
      </c>
      <c r="C290" t="s">
        <v>427</v>
      </c>
      <c r="D290" s="10">
        <v>33514</v>
      </c>
      <c r="E290" t="s">
        <v>9</v>
      </c>
      <c r="F290" t="s">
        <v>33</v>
      </c>
      <c r="G290">
        <v>75</v>
      </c>
      <c r="H290">
        <v>210</v>
      </c>
      <c r="I290">
        <v>2018</v>
      </c>
      <c r="J290" s="4" t="str">
        <f>HYPERLINK("http://legacy.baseballprospectus.com/fantasy/dc/index.php?tm=LAN","LAN")</f>
        <v>LAN</v>
      </c>
      <c r="K290" t="s">
        <v>100</v>
      </c>
      <c r="L290" t="s">
        <v>34</v>
      </c>
      <c r="M290">
        <v>26</v>
      </c>
      <c r="N290">
        <v>5.9</v>
      </c>
      <c r="O290">
        <v>4.7</v>
      </c>
      <c r="P290">
        <v>7</v>
      </c>
      <c r="Q290">
        <v>0</v>
      </c>
      <c r="R290">
        <v>0</v>
      </c>
      <c r="S290">
        <v>0</v>
      </c>
      <c r="T290">
        <v>16</v>
      </c>
      <c r="U290">
        <v>16</v>
      </c>
      <c r="V290" s="9">
        <v>84.666700000000006</v>
      </c>
      <c r="W290">
        <v>362</v>
      </c>
      <c r="X290">
        <v>83</v>
      </c>
      <c r="Y290">
        <v>15</v>
      </c>
      <c r="Z290">
        <v>30</v>
      </c>
      <c r="AA290">
        <v>2</v>
      </c>
      <c r="AB290">
        <v>3</v>
      </c>
      <c r="AC290">
        <v>84</v>
      </c>
      <c r="AD290">
        <v>3.2</v>
      </c>
      <c r="AE290">
        <v>9</v>
      </c>
      <c r="AF290" s="5">
        <v>0.41899999999999998</v>
      </c>
      <c r="AG290">
        <v>0.29399999999999998</v>
      </c>
      <c r="AH290">
        <v>1.32</v>
      </c>
      <c r="AI290">
        <v>4.32</v>
      </c>
      <c r="AJ290">
        <v>4.9000000000000004</v>
      </c>
      <c r="AK290">
        <v>3.2</v>
      </c>
      <c r="AL290">
        <v>0.4</v>
      </c>
      <c r="AM290">
        <v>30</v>
      </c>
      <c r="AN290">
        <v>51</v>
      </c>
      <c r="AO290">
        <v>16</v>
      </c>
      <c r="AP290">
        <v>22</v>
      </c>
      <c r="AQ290" t="s">
        <v>2470</v>
      </c>
      <c r="AR290">
        <v>83</v>
      </c>
      <c r="AS290" t="s">
        <v>35</v>
      </c>
      <c r="AT290" t="s">
        <v>36</v>
      </c>
      <c r="AU290" s="4">
        <f>HYPERLINK("http://mlb.mlb.com/team/player.jsp?player_id=592779",592779)</f>
        <v>592779</v>
      </c>
      <c r="AV290">
        <v>1094</v>
      </c>
      <c r="AW290">
        <v>94</v>
      </c>
      <c r="AX290">
        <v>34.299999999999997</v>
      </c>
    </row>
    <row r="291" spans="1:50" x14ac:dyDescent="0.3">
      <c r="A291" s="4">
        <f>HYPERLINK("http://legacy.baseballprospectus.com/p/69448",69448)</f>
        <v>69448</v>
      </c>
      <c r="B291" t="s">
        <v>114</v>
      </c>
      <c r="C291" t="s">
        <v>218</v>
      </c>
      <c r="D291" s="10">
        <v>34063</v>
      </c>
      <c r="E291" t="s">
        <v>33</v>
      </c>
      <c r="F291" t="s">
        <v>33</v>
      </c>
      <c r="G291">
        <v>74</v>
      </c>
      <c r="H291">
        <v>210</v>
      </c>
      <c r="I291">
        <v>2018</v>
      </c>
      <c r="J291" s="4" t="str">
        <f>HYPERLINK("http://legacy.baseballprospectus.com/fantasy/dc/index.php?tm=KCA","KCA")</f>
        <v>KCA</v>
      </c>
      <c r="K291" t="s">
        <v>95</v>
      </c>
      <c r="L291" t="s">
        <v>34</v>
      </c>
      <c r="M291">
        <v>25</v>
      </c>
      <c r="N291">
        <v>3.6</v>
      </c>
      <c r="O291">
        <v>5.3</v>
      </c>
      <c r="P291">
        <v>4</v>
      </c>
      <c r="Q291">
        <v>0</v>
      </c>
      <c r="R291">
        <v>0</v>
      </c>
      <c r="S291">
        <v>0</v>
      </c>
      <c r="T291">
        <v>30</v>
      </c>
      <c r="U291">
        <v>10</v>
      </c>
      <c r="V291" s="9">
        <v>77.666700000000006</v>
      </c>
      <c r="W291">
        <v>343</v>
      </c>
      <c r="X291">
        <v>78</v>
      </c>
      <c r="Y291">
        <v>12</v>
      </c>
      <c r="Z291">
        <v>34</v>
      </c>
      <c r="AA291">
        <v>2</v>
      </c>
      <c r="AB291">
        <v>4</v>
      </c>
      <c r="AC291">
        <v>75</v>
      </c>
      <c r="AD291">
        <v>4</v>
      </c>
      <c r="AE291">
        <v>8.6999999999999993</v>
      </c>
      <c r="AF291" s="5">
        <v>0.433</v>
      </c>
      <c r="AG291">
        <v>0.30299999999999999</v>
      </c>
      <c r="AH291">
        <v>1.47</v>
      </c>
      <c r="AI291">
        <v>4.8600000000000003</v>
      </c>
      <c r="AJ291">
        <v>5.0199999999999996</v>
      </c>
      <c r="AK291">
        <v>3.5</v>
      </c>
      <c r="AL291">
        <v>0.4</v>
      </c>
      <c r="AM291">
        <v>19</v>
      </c>
      <c r="AN291">
        <v>27</v>
      </c>
      <c r="AO291">
        <v>15</v>
      </c>
      <c r="AP291">
        <v>35</v>
      </c>
      <c r="AQ291" t="s">
        <v>2742</v>
      </c>
      <c r="AR291">
        <v>48</v>
      </c>
      <c r="AS291" t="s">
        <v>35</v>
      </c>
      <c r="AT291" t="s">
        <v>35</v>
      </c>
      <c r="AU291" s="4">
        <f>HYPERLINK("http://mlb.mlb.com/team/player.jsp?player_id=602083",602083)</f>
        <v>602083</v>
      </c>
      <c r="AV291">
        <v>127</v>
      </c>
      <c r="AW291">
        <v>1127</v>
      </c>
      <c r="AX291">
        <v>2</v>
      </c>
    </row>
    <row r="292" spans="1:50" x14ac:dyDescent="0.3">
      <c r="A292" s="4">
        <f>HYPERLINK("http://legacy.baseballprospectus.com/p/70300",70300)</f>
        <v>70300</v>
      </c>
      <c r="B292" t="s">
        <v>1151</v>
      </c>
      <c r="C292" t="s">
        <v>313</v>
      </c>
      <c r="D292" s="10">
        <v>33017</v>
      </c>
      <c r="E292" t="s">
        <v>9</v>
      </c>
      <c r="F292" t="s">
        <v>9</v>
      </c>
      <c r="G292">
        <v>75</v>
      </c>
      <c r="H292">
        <v>200</v>
      </c>
      <c r="I292">
        <v>2018</v>
      </c>
      <c r="J292" s="4" t="str">
        <f>HYPERLINK("http://legacy.baseballprospectus.com/fantasy/dc/index.php?tm=MIA","MIA")</f>
        <v>MIA</v>
      </c>
      <c r="K292" t="s">
        <v>100</v>
      </c>
      <c r="L292" t="s">
        <v>34</v>
      </c>
      <c r="M292">
        <v>28</v>
      </c>
      <c r="N292">
        <v>5.7</v>
      </c>
      <c r="O292">
        <v>9.4</v>
      </c>
      <c r="P292">
        <v>10</v>
      </c>
      <c r="Q292">
        <v>0</v>
      </c>
      <c r="R292">
        <v>0</v>
      </c>
      <c r="S292">
        <v>0</v>
      </c>
      <c r="T292">
        <v>23</v>
      </c>
      <c r="U292">
        <v>23</v>
      </c>
      <c r="V292" s="9">
        <v>122</v>
      </c>
      <c r="W292">
        <v>532</v>
      </c>
      <c r="X292">
        <v>121</v>
      </c>
      <c r="Y292">
        <v>17</v>
      </c>
      <c r="Z292">
        <v>50</v>
      </c>
      <c r="AA292">
        <v>3</v>
      </c>
      <c r="AB292">
        <v>6</v>
      </c>
      <c r="AC292">
        <v>104</v>
      </c>
      <c r="AD292">
        <v>3.7</v>
      </c>
      <c r="AE292">
        <v>7.7</v>
      </c>
      <c r="AF292" s="5">
        <v>0.42399999999999999</v>
      </c>
      <c r="AG292">
        <v>0.29399999999999998</v>
      </c>
      <c r="AH292">
        <v>1.4</v>
      </c>
      <c r="AI292">
        <v>4.63</v>
      </c>
      <c r="AJ292">
        <v>4.95</v>
      </c>
      <c r="AK292">
        <v>4</v>
      </c>
      <c r="AL292">
        <v>0.4</v>
      </c>
      <c r="AM292">
        <v>16</v>
      </c>
      <c r="AN292">
        <v>47</v>
      </c>
      <c r="AO292">
        <v>16</v>
      </c>
      <c r="AP292">
        <v>33</v>
      </c>
      <c r="AQ292" t="s">
        <v>2474</v>
      </c>
      <c r="AR292">
        <v>84</v>
      </c>
      <c r="AS292" t="s">
        <v>35</v>
      </c>
      <c r="AT292" t="s">
        <v>36</v>
      </c>
      <c r="AU292" s="4">
        <f>HYPERLINK("http://mlb.mlb.com/team/player.jsp?player_id=543045",543045)</f>
        <v>543045</v>
      </c>
      <c r="AV292">
        <v>1053</v>
      </c>
      <c r="AW292">
        <v>53</v>
      </c>
      <c r="AX292">
        <v>102.7</v>
      </c>
    </row>
    <row r="293" spans="1:50" x14ac:dyDescent="0.3">
      <c r="A293" s="4">
        <f>HYPERLINK("http://legacy.baseballprospectus.com/p/70761",70761)</f>
        <v>70761</v>
      </c>
      <c r="B293" t="s">
        <v>1068</v>
      </c>
      <c r="C293" t="s">
        <v>391</v>
      </c>
      <c r="D293" s="10">
        <v>33939</v>
      </c>
      <c r="E293" t="s">
        <v>33</v>
      </c>
      <c r="F293" t="s">
        <v>33</v>
      </c>
      <c r="G293">
        <v>74</v>
      </c>
      <c r="H293">
        <v>210</v>
      </c>
      <c r="I293">
        <v>2018</v>
      </c>
      <c r="J293" s="4" t="str">
        <f>HYPERLINK("http://legacy.baseballprospectus.com/fantasy/dc/index.php?tm=TOR","TOR")</f>
        <v>TOR</v>
      </c>
      <c r="K293" t="s">
        <v>95</v>
      </c>
      <c r="L293" t="s">
        <v>34</v>
      </c>
      <c r="M293">
        <v>25</v>
      </c>
      <c r="N293">
        <v>1.9</v>
      </c>
      <c r="O293">
        <v>1.7</v>
      </c>
      <c r="P293">
        <v>3</v>
      </c>
      <c r="Q293">
        <v>0</v>
      </c>
      <c r="R293">
        <v>0</v>
      </c>
      <c r="S293">
        <v>0</v>
      </c>
      <c r="T293">
        <v>6</v>
      </c>
      <c r="U293">
        <v>6</v>
      </c>
      <c r="V293" s="9">
        <v>30</v>
      </c>
      <c r="W293">
        <v>127</v>
      </c>
      <c r="X293">
        <v>28</v>
      </c>
      <c r="Y293">
        <v>4</v>
      </c>
      <c r="Z293">
        <v>11</v>
      </c>
      <c r="AA293">
        <v>1</v>
      </c>
      <c r="AB293">
        <v>2</v>
      </c>
      <c r="AC293">
        <v>28</v>
      </c>
      <c r="AD293">
        <v>3.2</v>
      </c>
      <c r="AE293">
        <v>8.4</v>
      </c>
      <c r="AF293" s="5">
        <v>0.53400000000000003</v>
      </c>
      <c r="AG293">
        <v>0.29299999999999998</v>
      </c>
      <c r="AH293">
        <v>1.28</v>
      </c>
      <c r="AI293">
        <v>3.97</v>
      </c>
      <c r="AJ293">
        <v>4.3099999999999996</v>
      </c>
      <c r="AK293">
        <v>3.8</v>
      </c>
      <c r="AL293">
        <v>0.4</v>
      </c>
      <c r="AM293">
        <v>15</v>
      </c>
      <c r="AN293">
        <v>25</v>
      </c>
      <c r="AO293">
        <v>7</v>
      </c>
      <c r="AP293">
        <v>25</v>
      </c>
      <c r="AQ293" t="s">
        <v>2478</v>
      </c>
      <c r="AR293">
        <v>39</v>
      </c>
      <c r="AS293" t="s">
        <v>35</v>
      </c>
      <c r="AT293" t="s">
        <v>35</v>
      </c>
      <c r="AU293" s="4">
        <f>HYPERLINK("http://mlb.mlb.com/team/player.jsp?player_id=605260",605260)</f>
        <v>605260</v>
      </c>
      <c r="AV293">
        <v>209</v>
      </c>
      <c r="AW293">
        <v>1209</v>
      </c>
      <c r="AX293">
        <v>0</v>
      </c>
    </row>
    <row r="294" spans="1:50" x14ac:dyDescent="0.3">
      <c r="A294" s="4">
        <f>HYPERLINK("http://legacy.baseballprospectus.com/p/70762",70762)</f>
        <v>70762</v>
      </c>
      <c r="B294" t="s">
        <v>1060</v>
      </c>
      <c r="C294" t="s">
        <v>127</v>
      </c>
      <c r="D294" s="10">
        <v>34024</v>
      </c>
      <c r="E294" t="s">
        <v>33</v>
      </c>
      <c r="F294" t="s">
        <v>33</v>
      </c>
      <c r="G294">
        <v>74</v>
      </c>
      <c r="H294">
        <v>200</v>
      </c>
      <c r="I294">
        <v>2018</v>
      </c>
      <c r="J294" s="4" t="str">
        <f>HYPERLINK("http://legacy.baseballprospectus.com/fantasy/dc/index.php?tm=CIN","CIN")</f>
        <v>CIN</v>
      </c>
      <c r="K294" t="s">
        <v>100</v>
      </c>
      <c r="L294" t="s">
        <v>34</v>
      </c>
      <c r="M294">
        <v>25</v>
      </c>
      <c r="N294">
        <v>3.6</v>
      </c>
      <c r="O294">
        <v>4.5999999999999996</v>
      </c>
      <c r="P294">
        <v>6</v>
      </c>
      <c r="Q294">
        <v>0</v>
      </c>
      <c r="R294">
        <v>0</v>
      </c>
      <c r="S294">
        <v>0</v>
      </c>
      <c r="T294">
        <v>13</v>
      </c>
      <c r="U294">
        <v>13</v>
      </c>
      <c r="V294" s="9">
        <v>65</v>
      </c>
      <c r="W294">
        <v>282</v>
      </c>
      <c r="X294">
        <v>60</v>
      </c>
      <c r="Y294">
        <v>11</v>
      </c>
      <c r="Z294">
        <v>31</v>
      </c>
      <c r="AA294">
        <v>1</v>
      </c>
      <c r="AB294">
        <v>2</v>
      </c>
      <c r="AC294">
        <v>68</v>
      </c>
      <c r="AD294">
        <v>4.2</v>
      </c>
      <c r="AE294">
        <v>9.5</v>
      </c>
      <c r="AF294" s="5">
        <v>0.40899999999999997</v>
      </c>
      <c r="AG294">
        <v>0.28899999999999998</v>
      </c>
      <c r="AH294">
        <v>1.37</v>
      </c>
      <c r="AI294">
        <v>4.68</v>
      </c>
      <c r="AJ294">
        <v>4.75</v>
      </c>
      <c r="AK294">
        <v>3.4</v>
      </c>
      <c r="AL294">
        <v>0.4</v>
      </c>
      <c r="AM294">
        <v>33</v>
      </c>
      <c r="AN294">
        <v>50</v>
      </c>
      <c r="AO294">
        <v>23</v>
      </c>
      <c r="AP294">
        <v>46</v>
      </c>
      <c r="AQ294" t="s">
        <v>2578</v>
      </c>
      <c r="AR294">
        <v>81</v>
      </c>
      <c r="AS294" t="s">
        <v>35</v>
      </c>
      <c r="AT294" t="s">
        <v>36</v>
      </c>
      <c r="AU294" s="4">
        <f>HYPERLINK("http://mlb.mlb.com/team/player.jsp?player_id=596112",596112)</f>
        <v>596112</v>
      </c>
      <c r="AV294">
        <v>1066</v>
      </c>
      <c r="AW294">
        <v>66</v>
      </c>
      <c r="AX294">
        <v>84.7</v>
      </c>
    </row>
    <row r="295" spans="1:50" x14ac:dyDescent="0.3">
      <c r="A295" s="4">
        <f>HYPERLINK("http://legacy.baseballprospectus.com/p/70798",70798)</f>
        <v>70798</v>
      </c>
      <c r="B295" t="s">
        <v>2350</v>
      </c>
      <c r="C295" t="s">
        <v>113</v>
      </c>
      <c r="D295" s="10">
        <v>34010</v>
      </c>
      <c r="E295" t="s">
        <v>9</v>
      </c>
      <c r="F295" t="s">
        <v>33</v>
      </c>
      <c r="G295">
        <v>76</v>
      </c>
      <c r="H295">
        <v>215</v>
      </c>
      <c r="I295">
        <v>2018</v>
      </c>
      <c r="J295" s="4" t="str">
        <f>HYPERLINK("http://legacy.baseballprospectus.com/fantasy/dc/index.php?tm=MIL","MIL")</f>
        <v>MIL</v>
      </c>
      <c r="K295" t="s">
        <v>100</v>
      </c>
      <c r="L295" t="s">
        <v>34</v>
      </c>
      <c r="M295">
        <v>25</v>
      </c>
      <c r="N295">
        <v>4.8</v>
      </c>
      <c r="O295">
        <v>4.8</v>
      </c>
      <c r="P295">
        <v>6</v>
      </c>
      <c r="Q295">
        <v>0</v>
      </c>
      <c r="R295">
        <v>0</v>
      </c>
      <c r="S295">
        <v>0</v>
      </c>
      <c r="T295">
        <v>14</v>
      </c>
      <c r="U295">
        <v>14</v>
      </c>
      <c r="V295" s="9">
        <v>79.666700000000006</v>
      </c>
      <c r="W295">
        <v>345</v>
      </c>
      <c r="X295">
        <v>79</v>
      </c>
      <c r="Y295">
        <v>12</v>
      </c>
      <c r="Z295">
        <v>29</v>
      </c>
      <c r="AA295">
        <v>2</v>
      </c>
      <c r="AB295">
        <v>4</v>
      </c>
      <c r="AC295">
        <v>72</v>
      </c>
      <c r="AD295">
        <v>3.2</v>
      </c>
      <c r="AE295">
        <v>8.1999999999999993</v>
      </c>
      <c r="AF295" s="5">
        <v>0.45</v>
      </c>
      <c r="AG295">
        <v>0.29399999999999998</v>
      </c>
      <c r="AH295">
        <v>1.35</v>
      </c>
      <c r="AI295">
        <v>4.4800000000000004</v>
      </c>
      <c r="AJ295">
        <v>4.79</v>
      </c>
      <c r="AK295">
        <v>3.9</v>
      </c>
      <c r="AL295">
        <v>0.4</v>
      </c>
      <c r="AM295">
        <v>16</v>
      </c>
      <c r="AN295">
        <v>44</v>
      </c>
      <c r="AO295">
        <v>21</v>
      </c>
      <c r="AP295">
        <v>32</v>
      </c>
      <c r="AQ295" t="s">
        <v>2351</v>
      </c>
      <c r="AR295">
        <v>75</v>
      </c>
      <c r="AS295" t="s">
        <v>35</v>
      </c>
      <c r="AT295" t="s">
        <v>35</v>
      </c>
      <c r="AU295" s="4">
        <f>HYPERLINK("http://mlb.mlb.com/team/player.jsp?player_id=605540",605540)</f>
        <v>605540</v>
      </c>
      <c r="AV295">
        <v>1090</v>
      </c>
      <c r="AW295">
        <v>90</v>
      </c>
      <c r="AX295">
        <v>43</v>
      </c>
    </row>
    <row r="296" spans="1:50" x14ac:dyDescent="0.3">
      <c r="A296" s="4">
        <f>HYPERLINK("http://legacy.baseballprospectus.com/p/100544",100544)</f>
        <v>100544</v>
      </c>
      <c r="B296" t="s">
        <v>1823</v>
      </c>
      <c r="C296" t="s">
        <v>104</v>
      </c>
      <c r="D296" s="10">
        <v>33389</v>
      </c>
      <c r="E296" t="s">
        <v>33</v>
      </c>
      <c r="F296" t="s">
        <v>33</v>
      </c>
      <c r="G296">
        <v>72</v>
      </c>
      <c r="H296">
        <v>175</v>
      </c>
      <c r="I296">
        <v>2018</v>
      </c>
      <c r="J296" s="4" t="str">
        <f>HYPERLINK("http://legacy.baseballprospectus.com/fantasy/dc/index.php?tm=SLN","SLN")</f>
        <v>SLN</v>
      </c>
      <c r="K296" t="s">
        <v>100</v>
      </c>
      <c r="L296" t="s">
        <v>34</v>
      </c>
      <c r="M296">
        <v>27</v>
      </c>
      <c r="N296">
        <v>2.8</v>
      </c>
      <c r="O296">
        <v>2.7</v>
      </c>
      <c r="P296">
        <v>0</v>
      </c>
      <c r="Q296">
        <v>0</v>
      </c>
      <c r="R296">
        <v>2</v>
      </c>
      <c r="S296">
        <v>1</v>
      </c>
      <c r="T296">
        <v>54</v>
      </c>
      <c r="U296">
        <v>0</v>
      </c>
      <c r="V296" s="9">
        <v>56.666699999999999</v>
      </c>
      <c r="W296">
        <v>246</v>
      </c>
      <c r="X296">
        <v>55</v>
      </c>
      <c r="Y296">
        <v>6</v>
      </c>
      <c r="Z296">
        <v>23</v>
      </c>
      <c r="AA296">
        <v>2</v>
      </c>
      <c r="AB296">
        <v>3</v>
      </c>
      <c r="AC296">
        <v>46</v>
      </c>
      <c r="AD296">
        <v>3.6</v>
      </c>
      <c r="AE296">
        <v>7.2</v>
      </c>
      <c r="AF296" s="5">
        <v>0.53900000000000003</v>
      </c>
      <c r="AG296">
        <v>0.29499999999999998</v>
      </c>
      <c r="AH296">
        <v>1.38</v>
      </c>
      <c r="AI296">
        <v>4.17</v>
      </c>
      <c r="AJ296">
        <v>4.38</v>
      </c>
      <c r="AK296">
        <v>3.6</v>
      </c>
      <c r="AL296">
        <v>0.4</v>
      </c>
      <c r="AM296">
        <v>29</v>
      </c>
      <c r="AN296">
        <v>48</v>
      </c>
      <c r="AO296">
        <v>17</v>
      </c>
      <c r="AP296">
        <v>19</v>
      </c>
      <c r="AQ296" t="s">
        <v>2524</v>
      </c>
      <c r="AR296">
        <v>83</v>
      </c>
      <c r="AS296" t="s">
        <v>35</v>
      </c>
      <c r="AT296" t="s">
        <v>36</v>
      </c>
      <c r="AU296" s="4">
        <f>HYPERLINK("http://mlb.mlb.com/team/player.jsp?player_id=621199",621199)</f>
        <v>621199</v>
      </c>
      <c r="AV296">
        <v>1272</v>
      </c>
      <c r="AW296">
        <v>272</v>
      </c>
      <c r="AX296">
        <v>58.7</v>
      </c>
    </row>
    <row r="297" spans="1:50" x14ac:dyDescent="0.3">
      <c r="A297" s="4">
        <f>HYPERLINK("http://legacy.baseballprospectus.com/p/70612",70612)</f>
        <v>70612</v>
      </c>
      <c r="B297" t="s">
        <v>2105</v>
      </c>
      <c r="C297" t="s">
        <v>182</v>
      </c>
      <c r="D297" s="10">
        <v>34409</v>
      </c>
      <c r="E297" t="s">
        <v>33</v>
      </c>
      <c r="F297" t="s">
        <v>33</v>
      </c>
      <c r="G297">
        <v>74</v>
      </c>
      <c r="H297">
        <v>220</v>
      </c>
      <c r="I297">
        <v>2018</v>
      </c>
      <c r="J297" s="4" t="str">
        <f>HYPERLINK("http://legacy.baseballprospectus.com/fantasy/dc/index.php?tm=DET","DET")</f>
        <v>DET</v>
      </c>
      <c r="K297" t="s">
        <v>95</v>
      </c>
      <c r="L297" t="s">
        <v>34</v>
      </c>
      <c r="M297">
        <v>24</v>
      </c>
      <c r="N297">
        <v>2.8</v>
      </c>
      <c r="O297">
        <v>3.5</v>
      </c>
      <c r="P297">
        <v>4.8</v>
      </c>
      <c r="Q297">
        <v>0</v>
      </c>
      <c r="R297">
        <v>0</v>
      </c>
      <c r="S297">
        <v>0</v>
      </c>
      <c r="T297">
        <v>11.1</v>
      </c>
      <c r="U297">
        <v>11.1</v>
      </c>
      <c r="V297" s="9">
        <v>46</v>
      </c>
      <c r="W297">
        <v>204</v>
      </c>
      <c r="X297">
        <v>51</v>
      </c>
      <c r="Y297">
        <v>9</v>
      </c>
      <c r="Z297">
        <v>17</v>
      </c>
      <c r="AA297" t="s">
        <v>1680</v>
      </c>
      <c r="AB297">
        <v>2</v>
      </c>
      <c r="AC297">
        <v>50</v>
      </c>
      <c r="AD297">
        <v>3.4</v>
      </c>
      <c r="AE297">
        <v>9.8000000000000007</v>
      </c>
      <c r="AF297" s="5">
        <v>0.45888379216194097</v>
      </c>
      <c r="AG297">
        <v>0.33200000000000002</v>
      </c>
      <c r="AH297">
        <v>1.48</v>
      </c>
      <c r="AI297">
        <v>4.84</v>
      </c>
      <c r="AJ297">
        <v>4.8600000000000003</v>
      </c>
      <c r="AK297">
        <v>4</v>
      </c>
      <c r="AL297">
        <v>0.4</v>
      </c>
      <c r="AM297">
        <v>15</v>
      </c>
      <c r="AN297">
        <v>25</v>
      </c>
      <c r="AO297">
        <v>14</v>
      </c>
      <c r="AP297">
        <v>24</v>
      </c>
      <c r="AQ297" t="s">
        <v>2585</v>
      </c>
      <c r="AR297">
        <v>42</v>
      </c>
      <c r="AS297" t="s">
        <v>36</v>
      </c>
      <c r="AT297" t="s">
        <v>35</v>
      </c>
      <c r="AU297" s="4">
        <f>HYPERLINK("http://mlb.mlb.com/team/player.jsp?player_id=608335",608335)</f>
        <v>608335</v>
      </c>
      <c r="AV297">
        <v>169</v>
      </c>
      <c r="AW297">
        <v>1169</v>
      </c>
      <c r="AX297">
        <v>0</v>
      </c>
    </row>
    <row r="298" spans="1:50" x14ac:dyDescent="0.3">
      <c r="A298" s="4">
        <f>HYPERLINK("http://legacy.baseballprospectus.com/p/100781",100781)</f>
        <v>100781</v>
      </c>
      <c r="B298" t="s">
        <v>1262</v>
      </c>
      <c r="C298" t="s">
        <v>109</v>
      </c>
      <c r="D298" s="10">
        <v>34485</v>
      </c>
      <c r="E298" t="s">
        <v>9</v>
      </c>
      <c r="F298" t="s">
        <v>9</v>
      </c>
      <c r="G298">
        <v>75</v>
      </c>
      <c r="H298">
        <v>195</v>
      </c>
      <c r="I298">
        <v>2018</v>
      </c>
      <c r="J298" s="4" t="str">
        <f>HYPERLINK("http://legacy.baseballprospectus.com/fantasy/dc/index.php?tm=CHA","CHA")</f>
        <v>CHA</v>
      </c>
      <c r="K298" t="s">
        <v>95</v>
      </c>
      <c r="L298" t="s">
        <v>34</v>
      </c>
      <c r="M298">
        <v>24</v>
      </c>
      <c r="N298">
        <v>6.3</v>
      </c>
      <c r="O298">
        <v>8.6999999999999993</v>
      </c>
      <c r="P298">
        <v>8.1999999999999993</v>
      </c>
      <c r="Q298">
        <v>0</v>
      </c>
      <c r="R298">
        <v>0</v>
      </c>
      <c r="S298">
        <v>0</v>
      </c>
      <c r="T298">
        <v>21.5</v>
      </c>
      <c r="U298">
        <v>21.5</v>
      </c>
      <c r="V298" s="9">
        <v>120.33329999999999</v>
      </c>
      <c r="W298">
        <v>530</v>
      </c>
      <c r="X298">
        <v>126</v>
      </c>
      <c r="Y298">
        <v>23</v>
      </c>
      <c r="Z298">
        <v>49</v>
      </c>
      <c r="AA298" t="s">
        <v>1680</v>
      </c>
      <c r="AB298">
        <v>4</v>
      </c>
      <c r="AC298">
        <v>114</v>
      </c>
      <c r="AD298">
        <v>3.7</v>
      </c>
      <c r="AE298">
        <v>8.5</v>
      </c>
      <c r="AF298" s="5">
        <v>0.42902672290802002</v>
      </c>
      <c r="AG298">
        <v>0.30199999999999999</v>
      </c>
      <c r="AH298">
        <v>1.45</v>
      </c>
      <c r="AI298">
        <v>5.23</v>
      </c>
      <c r="AJ298">
        <v>5.41</v>
      </c>
      <c r="AK298">
        <v>3.7</v>
      </c>
      <c r="AL298">
        <v>0.4</v>
      </c>
      <c r="AM298">
        <v>12</v>
      </c>
      <c r="AN298">
        <v>19</v>
      </c>
      <c r="AO298">
        <v>6</v>
      </c>
      <c r="AP298">
        <v>17</v>
      </c>
      <c r="AQ298" t="s">
        <v>2384</v>
      </c>
      <c r="AR298">
        <v>26</v>
      </c>
      <c r="AS298" t="s">
        <v>36</v>
      </c>
      <c r="AT298" t="s">
        <v>35</v>
      </c>
      <c r="AU298" s="4">
        <f>HYPERLINK("http://mlb.mlb.com/team/player.jsp?player_id=622218",622218)</f>
        <v>622218</v>
      </c>
      <c r="AV298">
        <v>0</v>
      </c>
      <c r="AW298">
        <v>0</v>
      </c>
      <c r="AX298">
        <v>0</v>
      </c>
    </row>
    <row r="299" spans="1:50" x14ac:dyDescent="0.3">
      <c r="A299" s="4">
        <f>HYPERLINK("http://legacy.baseballprospectus.com/p/101658",101658)</f>
        <v>101658</v>
      </c>
      <c r="B299" t="s">
        <v>2015</v>
      </c>
      <c r="C299" t="s">
        <v>149</v>
      </c>
      <c r="D299" s="10">
        <v>31685</v>
      </c>
      <c r="E299" t="s">
        <v>33</v>
      </c>
      <c r="F299" t="s">
        <v>33</v>
      </c>
      <c r="G299">
        <v>78</v>
      </c>
      <c r="H299">
        <v>230</v>
      </c>
      <c r="I299">
        <v>2018</v>
      </c>
      <c r="J299" s="4" t="str">
        <f>HYPERLINK("http://legacy.baseballprospectus.com/fantasy/dc/index.php?tm=HOU","HOU")</f>
        <v>HOU</v>
      </c>
      <c r="K299" t="s">
        <v>95</v>
      </c>
      <c r="L299" t="s">
        <v>34</v>
      </c>
      <c r="M299">
        <v>31</v>
      </c>
      <c r="N299">
        <v>1.3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23</v>
      </c>
      <c r="U299">
        <v>0</v>
      </c>
      <c r="V299" s="9">
        <v>24</v>
      </c>
      <c r="W299">
        <v>102</v>
      </c>
      <c r="X299">
        <v>21</v>
      </c>
      <c r="Y299">
        <v>3</v>
      </c>
      <c r="Z299">
        <v>9</v>
      </c>
      <c r="AA299">
        <v>1</v>
      </c>
      <c r="AB299">
        <v>1</v>
      </c>
      <c r="AC299">
        <v>30</v>
      </c>
      <c r="AD299">
        <v>3.5</v>
      </c>
      <c r="AE299">
        <v>11</v>
      </c>
      <c r="AF299" s="5">
        <v>0.46100000000000002</v>
      </c>
      <c r="AG299">
        <v>0.29799999999999999</v>
      </c>
      <c r="AH299">
        <v>1.26</v>
      </c>
      <c r="AI299">
        <v>3.41</v>
      </c>
      <c r="AJ299">
        <v>3.86</v>
      </c>
      <c r="AK299">
        <v>3.5</v>
      </c>
      <c r="AL299">
        <v>0.4</v>
      </c>
      <c r="AM299">
        <v>16</v>
      </c>
      <c r="AN299">
        <v>25</v>
      </c>
      <c r="AO299">
        <v>23</v>
      </c>
      <c r="AP299">
        <v>13</v>
      </c>
      <c r="AQ299" t="s">
        <v>2773</v>
      </c>
      <c r="AR299">
        <v>57</v>
      </c>
      <c r="AS299" t="s">
        <v>35</v>
      </c>
      <c r="AT299" t="s">
        <v>36</v>
      </c>
      <c r="AU299" s="4">
        <f>HYPERLINK("http://mlb.mlb.com/team/player.jsp?player_id=624586",624586)</f>
        <v>624586</v>
      </c>
      <c r="AV299">
        <v>285</v>
      </c>
      <c r="AW299">
        <v>1285</v>
      </c>
      <c r="AX299">
        <v>49.3</v>
      </c>
    </row>
    <row r="300" spans="1:50" x14ac:dyDescent="0.3">
      <c r="A300" s="4">
        <f>HYPERLINK("http://legacy.baseballprospectus.com/p/102011",102011)</f>
        <v>102011</v>
      </c>
      <c r="B300" t="s">
        <v>1069</v>
      </c>
      <c r="C300" t="s">
        <v>104</v>
      </c>
      <c r="D300" s="10">
        <v>33271</v>
      </c>
      <c r="E300" t="s">
        <v>9</v>
      </c>
      <c r="F300" t="s">
        <v>9</v>
      </c>
      <c r="G300">
        <v>75</v>
      </c>
      <c r="H300">
        <v>215</v>
      </c>
      <c r="I300">
        <v>2018</v>
      </c>
      <c r="J300" s="4" t="str">
        <f>HYPERLINK("http://legacy.baseballprospectus.com/fantasy/dc/index.php?tm=DET","DET")</f>
        <v>DET</v>
      </c>
      <c r="K300" t="s">
        <v>95</v>
      </c>
      <c r="L300" t="s">
        <v>34</v>
      </c>
      <c r="M300">
        <v>27</v>
      </c>
      <c r="N300">
        <v>6.1</v>
      </c>
      <c r="O300">
        <v>9.4</v>
      </c>
      <c r="P300">
        <v>10</v>
      </c>
      <c r="Q300">
        <v>0</v>
      </c>
      <c r="R300">
        <v>0</v>
      </c>
      <c r="S300">
        <v>0</v>
      </c>
      <c r="T300">
        <v>24</v>
      </c>
      <c r="U300">
        <v>24</v>
      </c>
      <c r="V300" s="9">
        <v>120</v>
      </c>
      <c r="W300">
        <v>526</v>
      </c>
      <c r="X300">
        <v>127</v>
      </c>
      <c r="Y300">
        <v>23</v>
      </c>
      <c r="Z300">
        <v>43</v>
      </c>
      <c r="AA300">
        <v>2</v>
      </c>
      <c r="AB300">
        <v>4</v>
      </c>
      <c r="AC300">
        <v>104</v>
      </c>
      <c r="AD300">
        <v>3.2</v>
      </c>
      <c r="AE300">
        <v>7.8</v>
      </c>
      <c r="AF300" s="5">
        <v>0.39200000000000002</v>
      </c>
      <c r="AG300">
        <v>0.29499999999999998</v>
      </c>
      <c r="AH300">
        <v>1.42</v>
      </c>
      <c r="AI300">
        <v>5.09</v>
      </c>
      <c r="AJ300">
        <v>5.27</v>
      </c>
      <c r="AK300">
        <v>3.2</v>
      </c>
      <c r="AL300">
        <v>0.4</v>
      </c>
      <c r="AM300">
        <v>31</v>
      </c>
      <c r="AN300">
        <v>59</v>
      </c>
      <c r="AO300">
        <v>13</v>
      </c>
      <c r="AP300">
        <v>16</v>
      </c>
      <c r="AQ300" t="s">
        <v>2356</v>
      </c>
      <c r="AR300">
        <v>89</v>
      </c>
      <c r="AS300" t="s">
        <v>35</v>
      </c>
      <c r="AT300" t="s">
        <v>36</v>
      </c>
      <c r="AU300" s="4">
        <f>HYPERLINK("http://mlb.mlb.com/team/player.jsp?player_id=571510",571510)</f>
        <v>571510</v>
      </c>
      <c r="AV300">
        <v>42</v>
      </c>
      <c r="AW300">
        <v>1042</v>
      </c>
      <c r="AX300">
        <v>135</v>
      </c>
    </row>
    <row r="301" spans="1:50" x14ac:dyDescent="0.3">
      <c r="A301" s="4">
        <f>HYPERLINK("http://legacy.baseballprospectus.com/p/102719",102719)</f>
        <v>102719</v>
      </c>
      <c r="B301" t="s">
        <v>448</v>
      </c>
      <c r="C301" t="s">
        <v>584</v>
      </c>
      <c r="D301" s="10">
        <v>34074</v>
      </c>
      <c r="E301" t="s">
        <v>9</v>
      </c>
      <c r="F301" t="s">
        <v>9</v>
      </c>
      <c r="G301">
        <v>77</v>
      </c>
      <c r="H301">
        <v>228</v>
      </c>
      <c r="I301">
        <v>2018</v>
      </c>
      <c r="J301" s="4" t="str">
        <f>HYPERLINK("http://legacy.baseballprospectus.com/fantasy/dc/index.php?tm=CIN","CIN")</f>
        <v>CIN</v>
      </c>
      <c r="K301" t="s">
        <v>100</v>
      </c>
      <c r="L301" t="s">
        <v>34</v>
      </c>
      <c r="M301">
        <v>25</v>
      </c>
      <c r="N301">
        <v>3</v>
      </c>
      <c r="O301">
        <v>3.4</v>
      </c>
      <c r="P301">
        <v>3</v>
      </c>
      <c r="Q301">
        <v>0</v>
      </c>
      <c r="R301">
        <v>0</v>
      </c>
      <c r="S301">
        <v>0</v>
      </c>
      <c r="T301">
        <v>33</v>
      </c>
      <c r="U301">
        <v>6</v>
      </c>
      <c r="V301" s="9">
        <v>58.333300000000001</v>
      </c>
      <c r="W301">
        <v>256</v>
      </c>
      <c r="X301">
        <v>56</v>
      </c>
      <c r="Y301">
        <v>8</v>
      </c>
      <c r="Z301">
        <v>27</v>
      </c>
      <c r="AA301">
        <v>2</v>
      </c>
      <c r="AB301">
        <v>3</v>
      </c>
      <c r="AC301">
        <v>59</v>
      </c>
      <c r="AD301">
        <v>4.0999999999999996</v>
      </c>
      <c r="AE301">
        <v>9.1999999999999993</v>
      </c>
      <c r="AF301" s="5">
        <v>0.47699999999999998</v>
      </c>
      <c r="AG301">
        <v>0.30199999999999999</v>
      </c>
      <c r="AH301">
        <v>1.43</v>
      </c>
      <c r="AI301">
        <v>4.51</v>
      </c>
      <c r="AJ301">
        <v>4.5</v>
      </c>
      <c r="AK301">
        <v>3.8</v>
      </c>
      <c r="AL301">
        <v>0.4</v>
      </c>
      <c r="AM301">
        <v>33</v>
      </c>
      <c r="AN301">
        <v>54</v>
      </c>
      <c r="AO301">
        <v>19</v>
      </c>
      <c r="AP301">
        <v>49</v>
      </c>
      <c r="AQ301" t="s">
        <v>2677</v>
      </c>
      <c r="AR301">
        <v>86</v>
      </c>
      <c r="AS301" t="s">
        <v>35</v>
      </c>
      <c r="AT301" t="s">
        <v>36</v>
      </c>
      <c r="AU301" s="4">
        <f>HYPERLINK("http://mlb.mlb.com/team/player.jsp?player_id=642003",642003)</f>
        <v>642003</v>
      </c>
      <c r="AV301">
        <v>1114</v>
      </c>
      <c r="AW301">
        <v>114</v>
      </c>
      <c r="AX301">
        <v>17.7</v>
      </c>
    </row>
    <row r="302" spans="1:50" x14ac:dyDescent="0.3">
      <c r="A302" s="4">
        <f>HYPERLINK("http://legacy.baseballprospectus.com/p/103071",103071)</f>
        <v>103071</v>
      </c>
      <c r="B302" t="s">
        <v>1603</v>
      </c>
      <c r="C302" t="s">
        <v>1569</v>
      </c>
      <c r="D302" s="10">
        <v>35027</v>
      </c>
      <c r="E302" t="s">
        <v>33</v>
      </c>
      <c r="F302" t="s">
        <v>33</v>
      </c>
      <c r="G302">
        <v>73</v>
      </c>
      <c r="H302">
        <v>225</v>
      </c>
      <c r="I302">
        <v>2018</v>
      </c>
      <c r="J302" s="4" t="str">
        <f>HYPERLINK("http://legacy.baseballprospectus.com/fantasy/dc/index.php?tm=HOU","HOU")</f>
        <v>HOU</v>
      </c>
      <c r="K302" t="s">
        <v>95</v>
      </c>
      <c r="L302" t="s">
        <v>34</v>
      </c>
      <c r="M302">
        <v>22</v>
      </c>
      <c r="N302">
        <v>2.8</v>
      </c>
      <c r="O302">
        <v>2</v>
      </c>
      <c r="P302">
        <v>3</v>
      </c>
      <c r="Q302">
        <v>0</v>
      </c>
      <c r="R302">
        <v>0</v>
      </c>
      <c r="S302">
        <v>0</v>
      </c>
      <c r="T302">
        <v>15</v>
      </c>
      <c r="U302">
        <v>6</v>
      </c>
      <c r="V302" s="9">
        <v>39.666699999999999</v>
      </c>
      <c r="W302">
        <v>172</v>
      </c>
      <c r="X302">
        <v>36</v>
      </c>
      <c r="Y302">
        <v>6</v>
      </c>
      <c r="Z302">
        <v>18</v>
      </c>
      <c r="AA302">
        <v>1</v>
      </c>
      <c r="AB302">
        <v>2</v>
      </c>
      <c r="AC302">
        <v>45</v>
      </c>
      <c r="AD302">
        <v>4</v>
      </c>
      <c r="AE302">
        <v>10.3</v>
      </c>
      <c r="AF302" s="5">
        <v>0.42799999999999999</v>
      </c>
      <c r="AG302">
        <v>0.29799999999999999</v>
      </c>
      <c r="AH302">
        <v>1.36</v>
      </c>
      <c r="AI302">
        <v>4.0999999999999996</v>
      </c>
      <c r="AJ302">
        <v>4.4800000000000004</v>
      </c>
      <c r="AK302">
        <v>4</v>
      </c>
      <c r="AL302">
        <v>0.4</v>
      </c>
      <c r="AM302">
        <v>27</v>
      </c>
      <c r="AN302">
        <v>37</v>
      </c>
      <c r="AO302">
        <v>11</v>
      </c>
      <c r="AP302">
        <v>23</v>
      </c>
      <c r="AQ302" t="s">
        <v>2593</v>
      </c>
      <c r="AR302">
        <v>64</v>
      </c>
      <c r="AS302" t="s">
        <v>35</v>
      </c>
      <c r="AT302" t="s">
        <v>36</v>
      </c>
      <c r="AU302" s="4">
        <f>HYPERLINK("http://mlb.mlb.com/team/player.jsp?player_id=642564",642564)</f>
        <v>642564</v>
      </c>
      <c r="AV302">
        <v>81</v>
      </c>
      <c r="AW302">
        <v>1081</v>
      </c>
      <c r="AX302">
        <v>54.3</v>
      </c>
    </row>
    <row r="303" spans="1:50" x14ac:dyDescent="0.3">
      <c r="A303" s="4">
        <f>HYPERLINK("http://legacy.baseballprospectus.com/p/102223",102223)</f>
        <v>102223</v>
      </c>
      <c r="B303" t="s">
        <v>2590</v>
      </c>
      <c r="C303" t="s">
        <v>472</v>
      </c>
      <c r="D303" s="10">
        <v>35026</v>
      </c>
      <c r="E303" t="s">
        <v>33</v>
      </c>
      <c r="F303" t="s">
        <v>9</v>
      </c>
      <c r="G303">
        <v>73</v>
      </c>
      <c r="H303">
        <v>160</v>
      </c>
      <c r="I303">
        <v>2018</v>
      </c>
      <c r="J303" s="4" t="str">
        <f>HYPERLINK("http://legacy.baseballprospectus.com/fantasy/dc/index.php?tm=MIN","MIN")</f>
        <v>MIN</v>
      </c>
      <c r="K303" t="s">
        <v>95</v>
      </c>
      <c r="L303" t="s">
        <v>34</v>
      </c>
      <c r="M303">
        <v>22</v>
      </c>
      <c r="N303">
        <v>3.3</v>
      </c>
      <c r="O303">
        <v>3.8</v>
      </c>
      <c r="P303">
        <v>4.7</v>
      </c>
      <c r="Q303">
        <v>0</v>
      </c>
      <c r="R303">
        <v>0</v>
      </c>
      <c r="S303">
        <v>0</v>
      </c>
      <c r="T303">
        <v>11.5</v>
      </c>
      <c r="U303">
        <v>11.5</v>
      </c>
      <c r="V303" s="9">
        <v>54.666699999999999</v>
      </c>
      <c r="W303">
        <v>240</v>
      </c>
      <c r="X303">
        <v>55</v>
      </c>
      <c r="Y303">
        <v>11</v>
      </c>
      <c r="Z303">
        <v>25</v>
      </c>
      <c r="AA303" t="s">
        <v>1680</v>
      </c>
      <c r="AB303">
        <v>1</v>
      </c>
      <c r="AC303">
        <v>61</v>
      </c>
      <c r="AD303">
        <v>4.0999999999999996</v>
      </c>
      <c r="AE303">
        <v>10.199999999999999</v>
      </c>
      <c r="AF303" s="5">
        <v>0.37359237670898399</v>
      </c>
      <c r="AG303">
        <v>0.311</v>
      </c>
      <c r="AH303">
        <v>1.46</v>
      </c>
      <c r="AI303">
        <v>5</v>
      </c>
      <c r="AJ303">
        <v>5.07</v>
      </c>
      <c r="AK303">
        <v>3.6</v>
      </c>
      <c r="AL303">
        <v>0.4</v>
      </c>
      <c r="AM303">
        <v>4</v>
      </c>
      <c r="AN303">
        <v>8</v>
      </c>
      <c r="AO303">
        <v>7</v>
      </c>
      <c r="AP303">
        <v>12</v>
      </c>
      <c r="AQ303" t="s">
        <v>2591</v>
      </c>
      <c r="AR303">
        <v>17</v>
      </c>
      <c r="AS303" t="s">
        <v>36</v>
      </c>
      <c r="AT303" t="s">
        <v>35</v>
      </c>
      <c r="AU303" s="4">
        <f>HYPERLINK("http://mlb.mlb.com/team/player.jsp?player_id=626929",626929)</f>
        <v>626929</v>
      </c>
      <c r="AV303">
        <v>184</v>
      </c>
      <c r="AW303">
        <v>1184</v>
      </c>
      <c r="AX303">
        <v>0</v>
      </c>
    </row>
    <row r="304" spans="1:50" x14ac:dyDescent="0.3">
      <c r="A304" s="4">
        <f>HYPERLINK("http://legacy.baseballprospectus.com/p/103428",103428)</f>
        <v>103428</v>
      </c>
      <c r="B304" t="s">
        <v>2388</v>
      </c>
      <c r="C304" t="s">
        <v>182</v>
      </c>
      <c r="D304" s="10">
        <v>33162</v>
      </c>
      <c r="E304" t="s">
        <v>33</v>
      </c>
      <c r="F304" t="s">
        <v>33</v>
      </c>
      <c r="G304">
        <v>76</v>
      </c>
      <c r="H304">
        <v>220</v>
      </c>
      <c r="I304">
        <v>2018</v>
      </c>
      <c r="J304" s="4" t="str">
        <f>HYPERLINK("http://legacy.baseballprospectus.com/fantasy/dc/index.php?tm=SDN","SDN")</f>
        <v>SDN</v>
      </c>
      <c r="K304" t="s">
        <v>100</v>
      </c>
      <c r="L304" t="s">
        <v>34</v>
      </c>
      <c r="M304">
        <v>27</v>
      </c>
      <c r="N304">
        <v>6.8</v>
      </c>
      <c r="O304">
        <v>8.8000000000000007</v>
      </c>
      <c r="P304">
        <v>10.7</v>
      </c>
      <c r="Q304">
        <v>0</v>
      </c>
      <c r="R304">
        <v>0</v>
      </c>
      <c r="S304">
        <v>0</v>
      </c>
      <c r="T304">
        <v>23.3</v>
      </c>
      <c r="U304">
        <v>23.3</v>
      </c>
      <c r="V304" s="9">
        <v>126.66670000000001</v>
      </c>
      <c r="W304">
        <v>532</v>
      </c>
      <c r="X304">
        <v>130</v>
      </c>
      <c r="Y304">
        <v>21</v>
      </c>
      <c r="Z304">
        <v>45</v>
      </c>
      <c r="AA304" t="s">
        <v>1680</v>
      </c>
      <c r="AB304">
        <v>3</v>
      </c>
      <c r="AC304">
        <v>122</v>
      </c>
      <c r="AD304">
        <v>3.2</v>
      </c>
      <c r="AE304">
        <v>8.6999999999999993</v>
      </c>
      <c r="AF304" s="5">
        <v>0.44185081124305697</v>
      </c>
      <c r="AG304">
        <v>0.32</v>
      </c>
      <c r="AH304">
        <v>1.39</v>
      </c>
      <c r="AI304">
        <v>4.6100000000000003</v>
      </c>
      <c r="AJ304">
        <v>5.36</v>
      </c>
      <c r="AK304">
        <v>3.4</v>
      </c>
      <c r="AL304">
        <v>0.4</v>
      </c>
      <c r="AM304">
        <v>13</v>
      </c>
      <c r="AN304">
        <v>14</v>
      </c>
      <c r="AO304">
        <v>14</v>
      </c>
      <c r="AP304">
        <v>22</v>
      </c>
      <c r="AQ304" t="s">
        <v>2389</v>
      </c>
      <c r="AR304">
        <v>31</v>
      </c>
      <c r="AS304" t="s">
        <v>36</v>
      </c>
      <c r="AT304" t="s">
        <v>35</v>
      </c>
      <c r="AU304" s="4">
        <f>HYPERLINK("http://mlb.mlb.com/team/player.jsp?player_id=643414",643414)</f>
        <v>643414</v>
      </c>
      <c r="AV304">
        <v>0</v>
      </c>
      <c r="AW304">
        <v>0</v>
      </c>
      <c r="AX304">
        <v>4</v>
      </c>
    </row>
    <row r="305" spans="1:50" x14ac:dyDescent="0.3">
      <c r="A305" s="4">
        <f>HYPERLINK("http://legacy.baseballprospectus.com/p/104779",104779)</f>
        <v>104779</v>
      </c>
      <c r="B305" t="s">
        <v>334</v>
      </c>
      <c r="C305" t="s">
        <v>278</v>
      </c>
      <c r="D305" s="10">
        <v>34987</v>
      </c>
      <c r="E305" t="s">
        <v>33</v>
      </c>
      <c r="F305" t="s">
        <v>33</v>
      </c>
      <c r="G305">
        <v>76</v>
      </c>
      <c r="H305">
        <v>205</v>
      </c>
      <c r="I305">
        <v>2018</v>
      </c>
      <c r="J305" s="4" t="str">
        <f>HYPERLINK("http://legacy.baseballprospectus.com/fantasy/dc/index.php?tm=SLN","SLN")</f>
        <v>SLN</v>
      </c>
      <c r="K305" t="s">
        <v>100</v>
      </c>
      <c r="L305" t="s">
        <v>34</v>
      </c>
      <c r="M305">
        <v>22</v>
      </c>
      <c r="N305">
        <v>4.8</v>
      </c>
      <c r="O305">
        <v>5.2</v>
      </c>
      <c r="P305">
        <v>7</v>
      </c>
      <c r="Q305">
        <v>0</v>
      </c>
      <c r="R305">
        <v>0</v>
      </c>
      <c r="S305">
        <v>0</v>
      </c>
      <c r="T305">
        <v>15</v>
      </c>
      <c r="U305">
        <v>15</v>
      </c>
      <c r="V305" s="9">
        <v>79.666700000000006</v>
      </c>
      <c r="W305">
        <v>341</v>
      </c>
      <c r="X305">
        <v>78</v>
      </c>
      <c r="Y305">
        <v>14</v>
      </c>
      <c r="Z305">
        <v>30</v>
      </c>
      <c r="AA305">
        <v>2</v>
      </c>
      <c r="AB305">
        <v>2</v>
      </c>
      <c r="AC305">
        <v>80</v>
      </c>
      <c r="AD305">
        <v>3.4</v>
      </c>
      <c r="AE305">
        <v>9</v>
      </c>
      <c r="AF305" s="5">
        <v>0.40799999999999997</v>
      </c>
      <c r="AG305">
        <v>0.29599999999999999</v>
      </c>
      <c r="AH305">
        <v>1.36</v>
      </c>
      <c r="AI305">
        <v>4.57</v>
      </c>
      <c r="AJ305">
        <v>4.8499999999999996</v>
      </c>
      <c r="AK305">
        <v>3.4</v>
      </c>
      <c r="AL305">
        <v>0.4</v>
      </c>
      <c r="AM305">
        <v>25</v>
      </c>
      <c r="AN305">
        <v>36</v>
      </c>
      <c r="AO305">
        <v>7</v>
      </c>
      <c r="AP305">
        <v>20</v>
      </c>
      <c r="AQ305" t="s">
        <v>2438</v>
      </c>
      <c r="AR305">
        <v>54</v>
      </c>
      <c r="AS305" t="s">
        <v>35</v>
      </c>
      <c r="AT305" t="s">
        <v>35</v>
      </c>
      <c r="AU305" s="4">
        <f>HYPERLINK("http://mlb.mlb.com/team/player.jsp?player_id=656427",656427)</f>
        <v>656427</v>
      </c>
      <c r="AV305">
        <v>1111</v>
      </c>
      <c r="AW305">
        <v>111</v>
      </c>
      <c r="AX305">
        <v>21.3</v>
      </c>
    </row>
    <row r="306" spans="1:50" x14ac:dyDescent="0.3">
      <c r="A306" s="4">
        <f>HYPERLINK("http://legacy.baseballprospectus.com/p/104805",104805)</f>
        <v>104805</v>
      </c>
      <c r="B306" t="s">
        <v>1183</v>
      </c>
      <c r="C306" t="s">
        <v>390</v>
      </c>
      <c r="D306" s="10">
        <v>35146</v>
      </c>
      <c r="E306" t="s">
        <v>9</v>
      </c>
      <c r="F306" t="s">
        <v>33</v>
      </c>
      <c r="G306">
        <v>73</v>
      </c>
      <c r="H306">
        <v>215</v>
      </c>
      <c r="I306">
        <v>2018</v>
      </c>
      <c r="J306" s="4" t="str">
        <f>HYPERLINK("http://legacy.baseballprospectus.com/fantasy/dc/index.php?tm=OAK","OAK")</f>
        <v>OAK</v>
      </c>
      <c r="K306" t="s">
        <v>95</v>
      </c>
      <c r="L306" t="s">
        <v>34</v>
      </c>
      <c r="M306">
        <v>22</v>
      </c>
      <c r="N306">
        <v>7.4</v>
      </c>
      <c r="O306">
        <v>8.8000000000000007</v>
      </c>
      <c r="P306">
        <v>10</v>
      </c>
      <c r="Q306">
        <v>0</v>
      </c>
      <c r="R306">
        <v>0</v>
      </c>
      <c r="S306">
        <v>0</v>
      </c>
      <c r="T306">
        <v>25.5</v>
      </c>
      <c r="U306">
        <v>25.5</v>
      </c>
      <c r="V306" s="9">
        <v>125.33329999999999</v>
      </c>
      <c r="W306">
        <v>550</v>
      </c>
      <c r="X306">
        <v>126</v>
      </c>
      <c r="Y306">
        <v>25</v>
      </c>
      <c r="Z306">
        <v>56</v>
      </c>
      <c r="AA306" t="s">
        <v>1680</v>
      </c>
      <c r="AB306">
        <v>4</v>
      </c>
      <c r="AC306">
        <v>136</v>
      </c>
      <c r="AD306">
        <v>4</v>
      </c>
      <c r="AE306">
        <v>9.8000000000000007</v>
      </c>
      <c r="AF306" s="5">
        <v>0.44545039534568698</v>
      </c>
      <c r="AG306">
        <v>0.30499999999999999</v>
      </c>
      <c r="AH306">
        <v>1.45</v>
      </c>
      <c r="AI306">
        <v>5.17</v>
      </c>
      <c r="AJ306">
        <v>5.39</v>
      </c>
      <c r="AK306">
        <v>4.0999999999999996</v>
      </c>
      <c r="AL306">
        <v>0.4</v>
      </c>
      <c r="AM306">
        <v>13</v>
      </c>
      <c r="AN306">
        <v>15</v>
      </c>
      <c r="AO306">
        <v>6</v>
      </c>
      <c r="AP306">
        <v>18</v>
      </c>
      <c r="AQ306" t="s">
        <v>2411</v>
      </c>
      <c r="AR306">
        <v>23</v>
      </c>
      <c r="AS306" t="s">
        <v>36</v>
      </c>
      <c r="AT306" t="s">
        <v>35</v>
      </c>
      <c r="AU306" s="4">
        <f>HYPERLINK("http://mlb.mlb.com/team/player.jsp?player_id=656550",656550)</f>
        <v>656550</v>
      </c>
      <c r="AV306">
        <v>198</v>
      </c>
      <c r="AW306">
        <v>1198</v>
      </c>
      <c r="AX306">
        <v>0</v>
      </c>
    </row>
    <row r="307" spans="1:50" x14ac:dyDescent="0.3">
      <c r="A307" s="4">
        <f>HYPERLINK("http://legacy.baseballprospectus.com/p/104851",104851)</f>
        <v>104851</v>
      </c>
      <c r="B307" t="s">
        <v>516</v>
      </c>
      <c r="C307" t="s">
        <v>374</v>
      </c>
      <c r="D307" s="10">
        <v>34202</v>
      </c>
      <c r="E307" t="s">
        <v>9</v>
      </c>
      <c r="F307" t="s">
        <v>9</v>
      </c>
      <c r="G307">
        <v>79</v>
      </c>
      <c r="H307">
        <v>240</v>
      </c>
      <c r="I307">
        <v>2018</v>
      </c>
      <c r="J307" s="4" t="str">
        <f>HYPERLINK("http://legacy.baseballprospectus.com/fantasy/dc/index.php?tm=ARI","ARI")</f>
        <v>ARI</v>
      </c>
      <c r="K307" t="s">
        <v>100</v>
      </c>
      <c r="L307" t="s">
        <v>34</v>
      </c>
      <c r="M307">
        <v>24</v>
      </c>
      <c r="N307">
        <v>3.2</v>
      </c>
      <c r="O307">
        <v>2.2999999999999998</v>
      </c>
      <c r="P307">
        <v>2.9</v>
      </c>
      <c r="Q307">
        <v>0</v>
      </c>
      <c r="R307">
        <v>1.2</v>
      </c>
      <c r="S307">
        <v>0</v>
      </c>
      <c r="T307">
        <v>32.200000000000003</v>
      </c>
      <c r="U307">
        <v>5.6</v>
      </c>
      <c r="V307" s="9">
        <v>58.333300000000001</v>
      </c>
      <c r="W307">
        <v>242</v>
      </c>
      <c r="X307">
        <v>52</v>
      </c>
      <c r="Y307">
        <v>8</v>
      </c>
      <c r="Z307">
        <v>24</v>
      </c>
      <c r="AA307" t="s">
        <v>1680</v>
      </c>
      <c r="AB307">
        <v>2</v>
      </c>
      <c r="AC307">
        <v>67</v>
      </c>
      <c r="AD307">
        <v>3.8</v>
      </c>
      <c r="AE307">
        <v>10.3</v>
      </c>
      <c r="AF307" s="5">
        <v>0.49368751049041698</v>
      </c>
      <c r="AG307">
        <v>0.31</v>
      </c>
      <c r="AH307">
        <v>1.31</v>
      </c>
      <c r="AI307">
        <v>4.1100000000000003</v>
      </c>
      <c r="AJ307">
        <v>4.8899999999999997</v>
      </c>
      <c r="AK307">
        <v>3.4</v>
      </c>
      <c r="AL307">
        <v>0.4</v>
      </c>
      <c r="AM307">
        <v>17</v>
      </c>
      <c r="AN307">
        <v>37</v>
      </c>
      <c r="AO307">
        <v>10</v>
      </c>
      <c r="AP307">
        <v>26</v>
      </c>
      <c r="AQ307" t="s">
        <v>2598</v>
      </c>
      <c r="AR307">
        <v>50</v>
      </c>
      <c r="AS307" t="s">
        <v>36</v>
      </c>
      <c r="AT307" t="s">
        <v>35</v>
      </c>
      <c r="AU307" s="4">
        <f>HYPERLINK("http://mlb.mlb.com/team/player.jsp?player_id=656744",656744)</f>
        <v>656744</v>
      </c>
      <c r="AV307">
        <v>1367</v>
      </c>
      <c r="AW307">
        <v>367</v>
      </c>
      <c r="AX307">
        <v>0</v>
      </c>
    </row>
    <row r="308" spans="1:50" x14ac:dyDescent="0.3">
      <c r="A308" s="4">
        <f>HYPERLINK("http://legacy.baseballprospectus.com/p/106198",106198)</f>
        <v>106198</v>
      </c>
      <c r="B308" t="s">
        <v>137</v>
      </c>
      <c r="C308" t="s">
        <v>258</v>
      </c>
      <c r="D308" s="10">
        <v>34443</v>
      </c>
      <c r="E308" t="s">
        <v>9</v>
      </c>
      <c r="F308" t="s">
        <v>9</v>
      </c>
      <c r="G308">
        <v>73</v>
      </c>
      <c r="H308">
        <v>185</v>
      </c>
      <c r="I308">
        <v>2018</v>
      </c>
      <c r="J308" s="4" t="str">
        <f>HYPERLINK("http://legacy.baseballprospectus.com/fantasy/dc/index.php?tm=MIN","MIN")</f>
        <v>MIN</v>
      </c>
      <c r="K308" t="s">
        <v>95</v>
      </c>
      <c r="L308" t="s">
        <v>34</v>
      </c>
      <c r="M308">
        <v>24</v>
      </c>
      <c r="N308">
        <v>2</v>
      </c>
      <c r="O308">
        <v>1.6</v>
      </c>
      <c r="P308">
        <v>2.1</v>
      </c>
      <c r="Q308">
        <v>0</v>
      </c>
      <c r="R308">
        <v>0.4</v>
      </c>
      <c r="S308">
        <v>0</v>
      </c>
      <c r="T308">
        <v>14.3</v>
      </c>
      <c r="U308">
        <v>4.5999999999999996</v>
      </c>
      <c r="V308" s="9">
        <v>34.333300000000001</v>
      </c>
      <c r="W308">
        <v>150</v>
      </c>
      <c r="X308">
        <v>33</v>
      </c>
      <c r="Y308">
        <v>5</v>
      </c>
      <c r="Z308">
        <v>15</v>
      </c>
      <c r="AA308" t="s">
        <v>1680</v>
      </c>
      <c r="AB308">
        <v>2</v>
      </c>
      <c r="AC308">
        <v>38</v>
      </c>
      <c r="AD308">
        <v>4</v>
      </c>
      <c r="AE308">
        <v>10</v>
      </c>
      <c r="AF308" s="5">
        <v>0.447541803121566</v>
      </c>
      <c r="AG308">
        <v>0.313</v>
      </c>
      <c r="AH308">
        <v>1.41</v>
      </c>
      <c r="AI308">
        <v>4.4800000000000004</v>
      </c>
      <c r="AJ308">
        <v>4.5199999999999996</v>
      </c>
      <c r="AK308">
        <v>3.8</v>
      </c>
      <c r="AL308">
        <v>0.4</v>
      </c>
      <c r="AM308">
        <v>4</v>
      </c>
      <c r="AN308">
        <v>9</v>
      </c>
      <c r="AO308">
        <v>5</v>
      </c>
      <c r="AP308">
        <v>12</v>
      </c>
      <c r="AQ308" t="s">
        <v>2974</v>
      </c>
      <c r="AR308">
        <v>18</v>
      </c>
      <c r="AS308" t="s">
        <v>36</v>
      </c>
      <c r="AT308" t="s">
        <v>35</v>
      </c>
      <c r="AU308" s="4">
        <f>HYPERLINK("http://mlb.mlb.com/team/player.jsp?player_id=664079",664079)</f>
        <v>664079</v>
      </c>
      <c r="AV308">
        <v>183</v>
      </c>
      <c r="AW308">
        <v>1183</v>
      </c>
      <c r="AX308">
        <v>0</v>
      </c>
    </row>
    <row r="309" spans="1:50" x14ac:dyDescent="0.3">
      <c r="A309" s="4">
        <f>HYPERLINK("http://legacy.baseballprospectus.com/p/107738",107738)</f>
        <v>107738</v>
      </c>
      <c r="B309" t="s">
        <v>2607</v>
      </c>
      <c r="C309" t="s">
        <v>442</v>
      </c>
      <c r="D309" s="10">
        <v>34526</v>
      </c>
      <c r="E309" t="s">
        <v>9</v>
      </c>
      <c r="F309" t="s">
        <v>33</v>
      </c>
      <c r="G309">
        <v>76</v>
      </c>
      <c r="H309">
        <v>225</v>
      </c>
      <c r="I309">
        <v>2018</v>
      </c>
      <c r="J309" s="4" t="str">
        <f>HYPERLINK("http://legacy.baseballprospectus.com/fantasy/dc/index.php?tm=ARI","ARI")</f>
        <v>ARI</v>
      </c>
      <c r="K309" t="s">
        <v>100</v>
      </c>
      <c r="L309" t="s">
        <v>34</v>
      </c>
      <c r="M309">
        <v>23</v>
      </c>
      <c r="N309">
        <v>5.5</v>
      </c>
      <c r="O309">
        <v>5.5</v>
      </c>
      <c r="P309">
        <v>8.1</v>
      </c>
      <c r="Q309">
        <v>0</v>
      </c>
      <c r="R309">
        <v>0</v>
      </c>
      <c r="S309">
        <v>0</v>
      </c>
      <c r="T309">
        <v>16.600000000000001</v>
      </c>
      <c r="U309">
        <v>16.600000000000001</v>
      </c>
      <c r="V309" s="9">
        <v>89.666700000000006</v>
      </c>
      <c r="W309">
        <v>373</v>
      </c>
      <c r="X309">
        <v>80</v>
      </c>
      <c r="Y309">
        <v>16</v>
      </c>
      <c r="Z309">
        <v>41</v>
      </c>
      <c r="AA309" t="s">
        <v>1680</v>
      </c>
      <c r="AB309">
        <v>2</v>
      </c>
      <c r="AC309">
        <v>113</v>
      </c>
      <c r="AD309">
        <v>4.0999999999999996</v>
      </c>
      <c r="AE309">
        <v>11.3</v>
      </c>
      <c r="AF309" s="5">
        <v>0.41879704594612099</v>
      </c>
      <c r="AG309">
        <v>0.318</v>
      </c>
      <c r="AH309">
        <v>1.35</v>
      </c>
      <c r="AI309">
        <v>4.3899999999999997</v>
      </c>
      <c r="AJ309">
        <v>5.21</v>
      </c>
      <c r="AK309">
        <v>3.8</v>
      </c>
      <c r="AL309">
        <v>0.4</v>
      </c>
      <c r="AM309">
        <v>24</v>
      </c>
      <c r="AN309">
        <v>40</v>
      </c>
      <c r="AO309">
        <v>6</v>
      </c>
      <c r="AP309">
        <v>23</v>
      </c>
      <c r="AQ309" t="s">
        <v>2608</v>
      </c>
      <c r="AR309">
        <v>54</v>
      </c>
      <c r="AS309" t="s">
        <v>36</v>
      </c>
      <c r="AT309" t="s">
        <v>35</v>
      </c>
      <c r="AU309" s="4">
        <f>HYPERLINK("http://mlb.mlb.com/team/player.jsp?player_id=641541",641541)</f>
        <v>641541</v>
      </c>
      <c r="AV309">
        <v>1231</v>
      </c>
      <c r="AW309">
        <v>231</v>
      </c>
      <c r="AX309">
        <v>0</v>
      </c>
    </row>
    <row r="310" spans="1:50" x14ac:dyDescent="0.3">
      <c r="A310" s="4">
        <f>HYPERLINK("http://legacy.baseballprospectus.com/p/108116",108116)</f>
        <v>108116</v>
      </c>
      <c r="B310" t="s">
        <v>2817</v>
      </c>
      <c r="C310" t="s">
        <v>917</v>
      </c>
      <c r="D310" s="10">
        <v>34887</v>
      </c>
      <c r="E310" t="s">
        <v>9</v>
      </c>
      <c r="F310" t="s">
        <v>9</v>
      </c>
      <c r="G310">
        <v>72</v>
      </c>
      <c r="H310">
        <v>175</v>
      </c>
      <c r="I310">
        <v>2018</v>
      </c>
      <c r="J310" s="4" t="str">
        <f>HYPERLINK("http://legacy.baseballprospectus.com/fantasy/dc/index.php?tm=KCA","KCA")</f>
        <v>KCA</v>
      </c>
      <c r="K310" t="s">
        <v>95</v>
      </c>
      <c r="L310" t="s">
        <v>34</v>
      </c>
      <c r="M310">
        <v>22</v>
      </c>
      <c r="N310">
        <v>2.2000000000000002</v>
      </c>
      <c r="O310">
        <v>0.8</v>
      </c>
      <c r="P310">
        <v>0</v>
      </c>
      <c r="Q310">
        <v>0</v>
      </c>
      <c r="R310">
        <v>1.8</v>
      </c>
      <c r="S310">
        <v>0</v>
      </c>
      <c r="T310">
        <v>43.5</v>
      </c>
      <c r="U310">
        <v>0</v>
      </c>
      <c r="V310" s="9">
        <v>46</v>
      </c>
      <c r="W310">
        <v>199</v>
      </c>
      <c r="X310">
        <v>42</v>
      </c>
      <c r="Y310">
        <v>7</v>
      </c>
      <c r="Z310">
        <v>22</v>
      </c>
      <c r="AA310" t="s">
        <v>1680</v>
      </c>
      <c r="AB310">
        <v>1</v>
      </c>
      <c r="AC310">
        <v>54</v>
      </c>
      <c r="AD310">
        <v>4.2</v>
      </c>
      <c r="AE310">
        <v>10.5</v>
      </c>
      <c r="AF310" s="5">
        <v>0.52254885435104304</v>
      </c>
      <c r="AG310">
        <v>0.30599999999999999</v>
      </c>
      <c r="AH310">
        <v>1.39</v>
      </c>
      <c r="AI310">
        <v>4.5199999999999996</v>
      </c>
      <c r="AJ310">
        <v>4.7</v>
      </c>
      <c r="AK310">
        <v>3.5</v>
      </c>
      <c r="AL310">
        <v>0.4</v>
      </c>
      <c r="AM310">
        <v>22</v>
      </c>
      <c r="AN310">
        <v>27</v>
      </c>
      <c r="AO310">
        <v>6</v>
      </c>
      <c r="AP310">
        <v>13</v>
      </c>
      <c r="AQ310" t="s">
        <v>2818</v>
      </c>
      <c r="AR310">
        <v>33</v>
      </c>
      <c r="AS310" t="s">
        <v>36</v>
      </c>
      <c r="AT310" t="s">
        <v>35</v>
      </c>
      <c r="AU310" s="4">
        <f>HYPERLINK("http://mlb.mlb.com/team/player.jsp?player_id=663992",663992)</f>
        <v>663992</v>
      </c>
      <c r="AV310">
        <v>0</v>
      </c>
      <c r="AW310">
        <v>0</v>
      </c>
      <c r="AX310">
        <v>0</v>
      </c>
    </row>
    <row r="311" spans="1:50" x14ac:dyDescent="0.3">
      <c r="A311" s="4">
        <f>HYPERLINK("http://legacy.baseballprospectus.com/p/108873",108873)</f>
        <v>108873</v>
      </c>
      <c r="B311" t="s">
        <v>2096</v>
      </c>
      <c r="C311" t="s">
        <v>2097</v>
      </c>
      <c r="D311" s="10">
        <v>34688</v>
      </c>
      <c r="E311" t="s">
        <v>33</v>
      </c>
      <c r="F311" t="s">
        <v>33</v>
      </c>
      <c r="G311">
        <v>76</v>
      </c>
      <c r="H311">
        <v>200</v>
      </c>
      <c r="I311">
        <v>2018</v>
      </c>
      <c r="J311" s="4" t="str">
        <f>HYPERLINK("http://legacy.baseballprospectus.com/fantasy/dc/index.php?tm=CHA","CHA")</f>
        <v>CHA</v>
      </c>
      <c r="K311" t="s">
        <v>95</v>
      </c>
      <c r="L311" t="s">
        <v>34</v>
      </c>
      <c r="M311">
        <v>23</v>
      </c>
      <c r="N311">
        <v>5.5</v>
      </c>
      <c r="O311">
        <v>7.6</v>
      </c>
      <c r="P311">
        <v>7.5</v>
      </c>
      <c r="Q311">
        <v>0</v>
      </c>
      <c r="R311">
        <v>0</v>
      </c>
      <c r="S311">
        <v>0</v>
      </c>
      <c r="T311">
        <v>19.7</v>
      </c>
      <c r="U311">
        <v>19.7</v>
      </c>
      <c r="V311" s="9">
        <v>103.33329999999999</v>
      </c>
      <c r="W311">
        <v>450</v>
      </c>
      <c r="X311">
        <v>104</v>
      </c>
      <c r="Y311">
        <v>22</v>
      </c>
      <c r="Z311">
        <v>38</v>
      </c>
      <c r="AA311" t="s">
        <v>1680</v>
      </c>
      <c r="AB311">
        <v>5</v>
      </c>
      <c r="AC311">
        <v>109</v>
      </c>
      <c r="AD311">
        <v>3.3</v>
      </c>
      <c r="AE311">
        <v>9.5</v>
      </c>
      <c r="AF311" s="5">
        <v>0.489316195249557</v>
      </c>
      <c r="AG311">
        <v>0.29599999999999999</v>
      </c>
      <c r="AH311">
        <v>1.37</v>
      </c>
      <c r="AI311">
        <v>5.19</v>
      </c>
      <c r="AJ311">
        <v>5.38</v>
      </c>
      <c r="AK311">
        <v>3.5</v>
      </c>
      <c r="AL311">
        <v>0.4</v>
      </c>
      <c r="AM311">
        <v>12</v>
      </c>
      <c r="AN311">
        <v>19</v>
      </c>
      <c r="AO311">
        <v>6</v>
      </c>
      <c r="AP311">
        <v>24</v>
      </c>
      <c r="AQ311" t="s">
        <v>2539</v>
      </c>
      <c r="AR311">
        <v>32</v>
      </c>
      <c r="AS311" t="s">
        <v>36</v>
      </c>
      <c r="AT311" t="s">
        <v>35</v>
      </c>
      <c r="AU311" s="4">
        <f>HYPERLINK("http://mlb.mlb.com/team/player.jsp?player_id=641540",641540)</f>
        <v>641540</v>
      </c>
      <c r="AV311">
        <v>161</v>
      </c>
      <c r="AW311">
        <v>1161</v>
      </c>
      <c r="AX311">
        <v>0</v>
      </c>
    </row>
    <row r="312" spans="1:50" x14ac:dyDescent="0.3">
      <c r="A312" s="4">
        <f>HYPERLINK("http://legacy.baseballprospectus.com/p/108931",108931)</f>
        <v>108931</v>
      </c>
      <c r="B312" t="s">
        <v>430</v>
      </c>
      <c r="C312" t="s">
        <v>1664</v>
      </c>
      <c r="D312" s="10">
        <v>34592</v>
      </c>
      <c r="E312" t="s">
        <v>33</v>
      </c>
      <c r="F312" t="s">
        <v>33</v>
      </c>
      <c r="G312">
        <v>77</v>
      </c>
      <c r="H312">
        <v>215</v>
      </c>
      <c r="I312">
        <v>2018</v>
      </c>
      <c r="J312" s="4" t="str">
        <f>HYPERLINK("http://legacy.baseballprospectus.com/fantasy/dc/index.php?tm=SLN","SLN")</f>
        <v>SLN</v>
      </c>
      <c r="K312" t="s">
        <v>100</v>
      </c>
      <c r="L312" t="s">
        <v>34</v>
      </c>
      <c r="M312">
        <v>23</v>
      </c>
      <c r="N312">
        <v>6.8</v>
      </c>
      <c r="O312">
        <v>6.2</v>
      </c>
      <c r="P312">
        <v>8.1</v>
      </c>
      <c r="Q312">
        <v>0</v>
      </c>
      <c r="R312">
        <v>0</v>
      </c>
      <c r="S312">
        <v>0</v>
      </c>
      <c r="T312">
        <v>18.100000000000001</v>
      </c>
      <c r="U312">
        <v>18.100000000000001</v>
      </c>
      <c r="V312" s="9">
        <v>108.66670000000001</v>
      </c>
      <c r="W312">
        <v>456</v>
      </c>
      <c r="X312">
        <v>105</v>
      </c>
      <c r="Y312">
        <v>16</v>
      </c>
      <c r="Z312">
        <v>45</v>
      </c>
      <c r="AA312" t="s">
        <v>1680</v>
      </c>
      <c r="AB312">
        <v>5</v>
      </c>
      <c r="AC312">
        <v>99</v>
      </c>
      <c r="AD312">
        <v>3.8</v>
      </c>
      <c r="AE312">
        <v>8.1999999999999993</v>
      </c>
      <c r="AF312" s="5">
        <v>0.54750740528106601</v>
      </c>
      <c r="AG312">
        <v>0.30599999999999999</v>
      </c>
      <c r="AH312">
        <v>1.39</v>
      </c>
      <c r="AI312">
        <v>4.7300000000000004</v>
      </c>
      <c r="AJ312">
        <v>5.27</v>
      </c>
      <c r="AK312">
        <v>3.9</v>
      </c>
      <c r="AL312">
        <v>0.4</v>
      </c>
      <c r="AM312">
        <v>20</v>
      </c>
      <c r="AN312">
        <v>32</v>
      </c>
      <c r="AO312">
        <v>13</v>
      </c>
      <c r="AP312">
        <v>25</v>
      </c>
      <c r="AQ312" t="s">
        <v>2442</v>
      </c>
      <c r="AR312">
        <v>53</v>
      </c>
      <c r="AS312" t="s">
        <v>36</v>
      </c>
      <c r="AT312" t="s">
        <v>35</v>
      </c>
      <c r="AU312" s="4">
        <f>HYPERLINK("http://mlb.mlb.com/team/player.jsp?player_id=641712",641712)</f>
        <v>641712</v>
      </c>
      <c r="AV312">
        <v>1203</v>
      </c>
      <c r="AW312">
        <v>203</v>
      </c>
      <c r="AX312">
        <v>0</v>
      </c>
    </row>
    <row r="313" spans="1:50" x14ac:dyDescent="0.3">
      <c r="A313" s="4">
        <f>HYPERLINK("http://legacy.baseballprospectus.com/p/45571",45571)</f>
        <v>45571</v>
      </c>
      <c r="B313" t="s">
        <v>1070</v>
      </c>
      <c r="C313" t="s">
        <v>1146</v>
      </c>
      <c r="D313" s="10">
        <v>31008</v>
      </c>
      <c r="E313" t="s">
        <v>33</v>
      </c>
      <c r="F313" t="s">
        <v>33</v>
      </c>
      <c r="G313">
        <v>73</v>
      </c>
      <c r="H313">
        <v>255</v>
      </c>
      <c r="I313">
        <v>2018</v>
      </c>
      <c r="J313" s="4" t="str">
        <f>HYPERLINK("http://legacy.baseballprospectus.com/fantasy/dc/index.php?tm=OAK","OAK")</f>
        <v>OAK</v>
      </c>
      <c r="K313" t="s">
        <v>95</v>
      </c>
      <c r="L313" t="s">
        <v>34</v>
      </c>
      <c r="M313">
        <v>33</v>
      </c>
      <c r="N313">
        <v>3.1</v>
      </c>
      <c r="O313">
        <v>3.5</v>
      </c>
      <c r="P313">
        <v>1</v>
      </c>
      <c r="Q313">
        <v>0</v>
      </c>
      <c r="R313">
        <v>0</v>
      </c>
      <c r="S313">
        <v>0</v>
      </c>
      <c r="T313">
        <v>50</v>
      </c>
      <c r="U313">
        <v>3</v>
      </c>
      <c r="V313" s="9">
        <v>64.333299999999994</v>
      </c>
      <c r="W313">
        <v>277</v>
      </c>
      <c r="X313">
        <v>63</v>
      </c>
      <c r="Y313">
        <v>11</v>
      </c>
      <c r="Z313">
        <v>24</v>
      </c>
      <c r="AA313">
        <v>3</v>
      </c>
      <c r="AB313">
        <v>2</v>
      </c>
      <c r="AC313">
        <v>58</v>
      </c>
      <c r="AD313">
        <v>3.3</v>
      </c>
      <c r="AE313">
        <v>8.1999999999999993</v>
      </c>
      <c r="AF313" s="5">
        <v>0.38900000000000001</v>
      </c>
      <c r="AG313">
        <v>0.28799999999999998</v>
      </c>
      <c r="AH313">
        <v>1.34</v>
      </c>
      <c r="AI313">
        <v>4.84</v>
      </c>
      <c r="AJ313">
        <v>4.91</v>
      </c>
      <c r="AK313">
        <v>2.7</v>
      </c>
      <c r="AL313">
        <v>0.3</v>
      </c>
      <c r="AM313">
        <v>19</v>
      </c>
      <c r="AN313">
        <v>35</v>
      </c>
      <c r="AO313">
        <v>29</v>
      </c>
      <c r="AP313">
        <v>22</v>
      </c>
      <c r="AQ313" t="s">
        <v>2693</v>
      </c>
      <c r="AR313">
        <v>85</v>
      </c>
      <c r="AS313" t="s">
        <v>35</v>
      </c>
      <c r="AT313" t="s">
        <v>36</v>
      </c>
      <c r="AU313" s="4">
        <f>HYPERLINK("http://mlb.mlb.com/team/player.jsp?player_id=433589",433589)</f>
        <v>433589</v>
      </c>
      <c r="AV313">
        <v>57</v>
      </c>
      <c r="AW313">
        <v>1057</v>
      </c>
      <c r="AX313">
        <v>91.3</v>
      </c>
    </row>
    <row r="314" spans="1:50" x14ac:dyDescent="0.3">
      <c r="A314" s="4">
        <f>HYPERLINK("http://legacy.baseballprospectus.com/p/48219",48219)</f>
        <v>48219</v>
      </c>
      <c r="B314" t="s">
        <v>872</v>
      </c>
      <c r="C314" t="s">
        <v>344</v>
      </c>
      <c r="D314" s="10">
        <v>31630</v>
      </c>
      <c r="E314" t="s">
        <v>9</v>
      </c>
      <c r="F314" t="s">
        <v>9</v>
      </c>
      <c r="G314">
        <v>75</v>
      </c>
      <c r="H314">
        <v>230</v>
      </c>
      <c r="I314">
        <v>2018</v>
      </c>
      <c r="J314" s="4" t="str">
        <f>HYPERLINK("http://legacy.baseballprospectus.com/fantasy/dc/index.php?tm=COL","COL")</f>
        <v>COL</v>
      </c>
      <c r="K314" t="s">
        <v>100</v>
      </c>
      <c r="L314" t="s">
        <v>34</v>
      </c>
      <c r="M314">
        <v>31</v>
      </c>
      <c r="N314">
        <v>2.4</v>
      </c>
      <c r="O314">
        <v>2.4</v>
      </c>
      <c r="P314">
        <v>0</v>
      </c>
      <c r="Q314">
        <v>0</v>
      </c>
      <c r="R314">
        <v>0</v>
      </c>
      <c r="S314">
        <v>1</v>
      </c>
      <c r="T314">
        <v>47</v>
      </c>
      <c r="U314">
        <v>0</v>
      </c>
      <c r="V314" s="9">
        <v>49.666699999999999</v>
      </c>
      <c r="W314">
        <v>216</v>
      </c>
      <c r="X314">
        <v>49</v>
      </c>
      <c r="Y314">
        <v>7</v>
      </c>
      <c r="Z314">
        <v>20</v>
      </c>
      <c r="AA314">
        <v>2</v>
      </c>
      <c r="AB314">
        <v>2</v>
      </c>
      <c r="AC314">
        <v>50</v>
      </c>
      <c r="AD314">
        <v>3.7</v>
      </c>
      <c r="AE314">
        <v>9.1</v>
      </c>
      <c r="AF314" s="5">
        <v>0.41699999999999998</v>
      </c>
      <c r="AG314">
        <v>0.30199999999999999</v>
      </c>
      <c r="AH314">
        <v>1.39</v>
      </c>
      <c r="AI314">
        <v>4.37</v>
      </c>
      <c r="AJ314">
        <v>4.46</v>
      </c>
      <c r="AK314">
        <v>2.8</v>
      </c>
      <c r="AL314">
        <v>0.3</v>
      </c>
      <c r="AM314">
        <v>29</v>
      </c>
      <c r="AN314">
        <v>44</v>
      </c>
      <c r="AO314">
        <v>28</v>
      </c>
      <c r="AP314">
        <v>10</v>
      </c>
      <c r="AQ314" t="s">
        <v>2697</v>
      </c>
      <c r="AR314">
        <v>91</v>
      </c>
      <c r="AS314" t="s">
        <v>35</v>
      </c>
      <c r="AT314" t="s">
        <v>36</v>
      </c>
      <c r="AU314" s="4">
        <f>HYPERLINK("http://mlb.mlb.com/team/player.jsp?player_id=459429",459429)</f>
        <v>459429</v>
      </c>
      <c r="AV314">
        <v>1276</v>
      </c>
      <c r="AW314">
        <v>276</v>
      </c>
      <c r="AX314">
        <v>57.3</v>
      </c>
    </row>
    <row r="315" spans="1:50" x14ac:dyDescent="0.3">
      <c r="A315" s="4">
        <f>HYPERLINK("http://legacy.baseballprospectus.com/p/50094",50094)</f>
        <v>50094</v>
      </c>
      <c r="B315" t="s">
        <v>844</v>
      </c>
      <c r="C315" t="s">
        <v>419</v>
      </c>
      <c r="D315" s="10">
        <v>32041</v>
      </c>
      <c r="E315" t="s">
        <v>33</v>
      </c>
      <c r="F315" t="s">
        <v>33</v>
      </c>
      <c r="G315">
        <v>72</v>
      </c>
      <c r="H315">
        <v>205</v>
      </c>
      <c r="I315">
        <v>2018</v>
      </c>
      <c r="J315" s="4" t="str">
        <f>HYPERLINK("http://legacy.baseballprospectus.com/fantasy/dc/index.php?tm=MIL","MIL")</f>
        <v>MIL</v>
      </c>
      <c r="K315" t="s">
        <v>100</v>
      </c>
      <c r="L315" t="s">
        <v>34</v>
      </c>
      <c r="M315">
        <v>30</v>
      </c>
      <c r="N315">
        <v>2.9</v>
      </c>
      <c r="O315">
        <v>2.6</v>
      </c>
      <c r="P315">
        <v>0</v>
      </c>
      <c r="Q315">
        <v>0</v>
      </c>
      <c r="R315">
        <v>2</v>
      </c>
      <c r="S315">
        <v>4</v>
      </c>
      <c r="T315">
        <v>54</v>
      </c>
      <c r="U315">
        <v>0</v>
      </c>
      <c r="V315" s="9">
        <v>57.333300000000001</v>
      </c>
      <c r="W315">
        <v>252</v>
      </c>
      <c r="X315">
        <v>57</v>
      </c>
      <c r="Y315">
        <v>6</v>
      </c>
      <c r="Z315">
        <v>26</v>
      </c>
      <c r="AA315">
        <v>3</v>
      </c>
      <c r="AB315">
        <v>3</v>
      </c>
      <c r="AC315">
        <v>48</v>
      </c>
      <c r="AD315">
        <v>4.2</v>
      </c>
      <c r="AE315">
        <v>7.5</v>
      </c>
      <c r="AF315" s="5">
        <v>0.55100000000000005</v>
      </c>
      <c r="AG315">
        <v>0.30399999999999999</v>
      </c>
      <c r="AH315">
        <v>1.48</v>
      </c>
      <c r="AI315">
        <v>4.41</v>
      </c>
      <c r="AJ315">
        <v>4.58</v>
      </c>
      <c r="AK315">
        <v>2.4</v>
      </c>
      <c r="AL315">
        <v>0.3</v>
      </c>
      <c r="AM315">
        <v>27</v>
      </c>
      <c r="AN315">
        <v>53</v>
      </c>
      <c r="AO315">
        <v>23</v>
      </c>
      <c r="AP315">
        <v>16</v>
      </c>
      <c r="AQ315" t="s">
        <v>2700</v>
      </c>
      <c r="AR315">
        <v>87</v>
      </c>
      <c r="AS315" t="s">
        <v>35</v>
      </c>
      <c r="AT315" t="s">
        <v>36</v>
      </c>
      <c r="AU315" s="4">
        <f>HYPERLINK("http://mlb.mlb.com/team/player.jsp?player_id=502026",502026)</f>
        <v>502026</v>
      </c>
      <c r="AV315">
        <v>1255</v>
      </c>
      <c r="AW315">
        <v>255</v>
      </c>
      <c r="AX315">
        <v>65.3</v>
      </c>
    </row>
    <row r="316" spans="1:50" x14ac:dyDescent="0.3">
      <c r="A316" s="4">
        <f>HYPERLINK("http://legacy.baseballprospectus.com/p/50095",50095)</f>
        <v>50095</v>
      </c>
      <c r="B316" t="s">
        <v>984</v>
      </c>
      <c r="C316" t="s">
        <v>176</v>
      </c>
      <c r="D316" s="10">
        <v>31267</v>
      </c>
      <c r="E316" t="s">
        <v>33</v>
      </c>
      <c r="F316" t="s">
        <v>33</v>
      </c>
      <c r="G316">
        <v>77</v>
      </c>
      <c r="H316">
        <v>233</v>
      </c>
      <c r="I316">
        <v>2018</v>
      </c>
      <c r="J316" s="4" t="str">
        <f>HYPERLINK("http://legacy.baseballprospectus.com/fantasy/dc/index.php?tm=ANA","ANA")</f>
        <v>ANA</v>
      </c>
      <c r="K316" t="s">
        <v>95</v>
      </c>
      <c r="L316" t="s">
        <v>34</v>
      </c>
      <c r="M316">
        <v>32</v>
      </c>
      <c r="N316">
        <v>1.4</v>
      </c>
      <c r="O316">
        <v>1.4</v>
      </c>
      <c r="P316">
        <v>0</v>
      </c>
      <c r="Q316">
        <v>0</v>
      </c>
      <c r="R316">
        <v>0</v>
      </c>
      <c r="S316">
        <v>1</v>
      </c>
      <c r="T316">
        <v>27</v>
      </c>
      <c r="U316">
        <v>0</v>
      </c>
      <c r="V316" s="9">
        <v>28.666699999999999</v>
      </c>
      <c r="W316">
        <v>126</v>
      </c>
      <c r="X316">
        <v>27</v>
      </c>
      <c r="Y316">
        <v>3</v>
      </c>
      <c r="Z316">
        <v>13</v>
      </c>
      <c r="AA316">
        <v>1</v>
      </c>
      <c r="AB316">
        <v>1</v>
      </c>
      <c r="AC316">
        <v>29</v>
      </c>
      <c r="AD316">
        <v>4</v>
      </c>
      <c r="AE316">
        <v>9</v>
      </c>
      <c r="AF316" s="5">
        <v>0.49299999999999999</v>
      </c>
      <c r="AG316">
        <v>0.30299999999999999</v>
      </c>
      <c r="AH316">
        <v>1.42</v>
      </c>
      <c r="AI316">
        <v>3.97</v>
      </c>
      <c r="AJ316">
        <v>4.2699999999999996</v>
      </c>
      <c r="AK316">
        <v>2.9</v>
      </c>
      <c r="AL316">
        <v>0.3</v>
      </c>
      <c r="AM316">
        <v>18</v>
      </c>
      <c r="AN316">
        <v>39</v>
      </c>
      <c r="AO316">
        <v>15</v>
      </c>
      <c r="AP316">
        <v>18</v>
      </c>
      <c r="AQ316" t="s">
        <v>2487</v>
      </c>
      <c r="AR316">
        <v>69</v>
      </c>
      <c r="AS316" t="s">
        <v>35</v>
      </c>
      <c r="AT316" t="s">
        <v>36</v>
      </c>
      <c r="AU316" s="4">
        <f>HYPERLINK("http://mlb.mlb.com/team/player.jsp?player_id=502028",502028)</f>
        <v>502028</v>
      </c>
      <c r="AV316">
        <v>231</v>
      </c>
      <c r="AW316">
        <v>1231</v>
      </c>
      <c r="AX316">
        <v>74.3</v>
      </c>
    </row>
    <row r="317" spans="1:50" x14ac:dyDescent="0.3">
      <c r="A317" s="4">
        <f>HYPERLINK("http://legacy.baseballprospectus.com/p/53253",53253)</f>
        <v>53253</v>
      </c>
      <c r="B317" t="s">
        <v>783</v>
      </c>
      <c r="C317" t="s">
        <v>208</v>
      </c>
      <c r="D317" s="10">
        <v>31681</v>
      </c>
      <c r="E317" t="s">
        <v>9</v>
      </c>
      <c r="F317" t="s">
        <v>9</v>
      </c>
      <c r="G317">
        <v>74</v>
      </c>
      <c r="H317">
        <v>210</v>
      </c>
      <c r="I317">
        <v>2018</v>
      </c>
      <c r="J317" s="4" t="str">
        <f>HYPERLINK("http://legacy.baseballprospectus.com/fantasy/dc/index.php?tm=WAS","WAS")</f>
        <v>WAS</v>
      </c>
      <c r="K317" t="s">
        <v>100</v>
      </c>
      <c r="L317" t="s">
        <v>34</v>
      </c>
      <c r="M317">
        <v>31</v>
      </c>
      <c r="N317">
        <v>2.9</v>
      </c>
      <c r="O317">
        <v>2.5</v>
      </c>
      <c r="P317">
        <v>0</v>
      </c>
      <c r="Q317">
        <v>0</v>
      </c>
      <c r="R317">
        <v>32</v>
      </c>
      <c r="S317">
        <v>4</v>
      </c>
      <c r="T317">
        <v>54</v>
      </c>
      <c r="U317">
        <v>0</v>
      </c>
      <c r="V317" s="9">
        <v>57.333300000000001</v>
      </c>
      <c r="W317">
        <v>244</v>
      </c>
      <c r="X317">
        <v>52</v>
      </c>
      <c r="Y317">
        <v>10</v>
      </c>
      <c r="Z317">
        <v>22</v>
      </c>
      <c r="AA317">
        <v>2</v>
      </c>
      <c r="AB317">
        <v>2</v>
      </c>
      <c r="AC317">
        <v>67</v>
      </c>
      <c r="AD317">
        <v>3.4</v>
      </c>
      <c r="AE317">
        <v>10.5</v>
      </c>
      <c r="AF317" s="5">
        <v>0.37</v>
      </c>
      <c r="AG317">
        <v>0.29399999999999998</v>
      </c>
      <c r="AH317">
        <v>1.3</v>
      </c>
      <c r="AI317">
        <v>4.2</v>
      </c>
      <c r="AJ317">
        <v>4.46</v>
      </c>
      <c r="AK317">
        <v>3.2</v>
      </c>
      <c r="AL317">
        <v>0.3</v>
      </c>
      <c r="AM317">
        <v>23</v>
      </c>
      <c r="AN317">
        <v>41</v>
      </c>
      <c r="AO317">
        <v>29</v>
      </c>
      <c r="AP317">
        <v>8</v>
      </c>
      <c r="AQ317" t="s">
        <v>2547</v>
      </c>
      <c r="AR317">
        <v>92</v>
      </c>
      <c r="AS317" t="s">
        <v>35</v>
      </c>
      <c r="AT317" t="s">
        <v>36</v>
      </c>
      <c r="AU317" s="4">
        <f>HYPERLINK("http://mlb.mlb.com/team/player.jsp?player_id=448281",448281)</f>
        <v>448281</v>
      </c>
      <c r="AV317">
        <v>1292</v>
      </c>
      <c r="AW317">
        <v>292</v>
      </c>
      <c r="AX317">
        <v>51.3</v>
      </c>
    </row>
    <row r="318" spans="1:50" x14ac:dyDescent="0.3">
      <c r="A318" s="4">
        <f>HYPERLINK("http://legacy.baseballprospectus.com/p/55520",55520)</f>
        <v>55520</v>
      </c>
      <c r="B318" t="s">
        <v>144</v>
      </c>
      <c r="C318" t="s">
        <v>121</v>
      </c>
      <c r="D318" s="10">
        <v>32213</v>
      </c>
      <c r="E318" t="s">
        <v>33</v>
      </c>
      <c r="F318" t="s">
        <v>33</v>
      </c>
      <c r="G318">
        <v>72</v>
      </c>
      <c r="H318">
        <v>230</v>
      </c>
      <c r="I318">
        <v>2018</v>
      </c>
      <c r="J318" s="4" t="str">
        <f>HYPERLINK("http://legacy.baseballprospectus.com/fantasy/dc/index.php?tm=LAN","LAN")</f>
        <v>LAN</v>
      </c>
      <c r="K318" t="s">
        <v>100</v>
      </c>
      <c r="L318" t="s">
        <v>34</v>
      </c>
      <c r="M318">
        <v>30</v>
      </c>
      <c r="N318">
        <v>3.1</v>
      </c>
      <c r="O318">
        <v>2.4</v>
      </c>
      <c r="P318">
        <v>0</v>
      </c>
      <c r="Q318">
        <v>0</v>
      </c>
      <c r="R318">
        <v>0</v>
      </c>
      <c r="S318">
        <v>4</v>
      </c>
      <c r="T318">
        <v>55</v>
      </c>
      <c r="U318">
        <v>0</v>
      </c>
      <c r="V318" s="9">
        <v>58</v>
      </c>
      <c r="W318">
        <v>248</v>
      </c>
      <c r="X318">
        <v>54</v>
      </c>
      <c r="Y318">
        <v>8</v>
      </c>
      <c r="Z318">
        <v>23</v>
      </c>
      <c r="AA318">
        <v>1</v>
      </c>
      <c r="AB318">
        <v>2</v>
      </c>
      <c r="AC318">
        <v>60</v>
      </c>
      <c r="AD318">
        <v>3.5</v>
      </c>
      <c r="AE318">
        <v>9.3000000000000007</v>
      </c>
      <c r="AF318" s="5">
        <v>0.41199999999999998</v>
      </c>
      <c r="AG318">
        <v>0.28799999999999998</v>
      </c>
      <c r="AH318">
        <v>1.3</v>
      </c>
      <c r="AI318">
        <v>4.16</v>
      </c>
      <c r="AJ318">
        <v>4.59</v>
      </c>
      <c r="AK318">
        <v>2.4</v>
      </c>
      <c r="AL318">
        <v>0.3</v>
      </c>
      <c r="AM318">
        <v>23</v>
      </c>
      <c r="AN318">
        <v>45</v>
      </c>
      <c r="AO318">
        <v>16</v>
      </c>
      <c r="AP318">
        <v>15</v>
      </c>
      <c r="AQ318" t="s">
        <v>2989</v>
      </c>
      <c r="AR318">
        <v>80</v>
      </c>
      <c r="AS318" t="s">
        <v>35</v>
      </c>
      <c r="AT318" t="s">
        <v>36</v>
      </c>
      <c r="AU318" s="4">
        <f>HYPERLINK("http://mlb.mlb.com/team/player.jsp?player_id=520980",520980)</f>
        <v>520980</v>
      </c>
      <c r="AV318">
        <v>1258</v>
      </c>
      <c r="AW318">
        <v>258</v>
      </c>
      <c r="AX318">
        <v>64</v>
      </c>
    </row>
    <row r="319" spans="1:50" x14ac:dyDescent="0.3">
      <c r="A319" s="4">
        <f>HYPERLINK("http://legacy.baseballprospectus.com/p/55725",55725)</f>
        <v>55725</v>
      </c>
      <c r="B319" t="s">
        <v>757</v>
      </c>
      <c r="C319" t="s">
        <v>255</v>
      </c>
      <c r="D319" s="10">
        <v>31581</v>
      </c>
      <c r="E319" t="s">
        <v>33</v>
      </c>
      <c r="F319" t="s">
        <v>33</v>
      </c>
      <c r="G319">
        <v>78</v>
      </c>
      <c r="H319">
        <v>215</v>
      </c>
      <c r="I319">
        <v>2018</v>
      </c>
      <c r="J319" s="4" t="str">
        <f>HYPERLINK("http://legacy.baseballprospectus.com/fantasy/dc/index.php?tm=CHN","CHN")</f>
        <v>CHN</v>
      </c>
      <c r="K319" t="s">
        <v>100</v>
      </c>
      <c r="L319" t="s">
        <v>34</v>
      </c>
      <c r="M319">
        <v>32</v>
      </c>
      <c r="N319">
        <v>2</v>
      </c>
      <c r="O319">
        <v>1.9</v>
      </c>
      <c r="P319">
        <v>0</v>
      </c>
      <c r="Q319">
        <v>0</v>
      </c>
      <c r="R319">
        <v>0</v>
      </c>
      <c r="S319">
        <v>1</v>
      </c>
      <c r="T319">
        <v>39</v>
      </c>
      <c r="U319">
        <v>0</v>
      </c>
      <c r="V319" s="9">
        <v>41</v>
      </c>
      <c r="W319">
        <v>182</v>
      </c>
      <c r="X319">
        <v>39</v>
      </c>
      <c r="Y319">
        <v>5</v>
      </c>
      <c r="Z319">
        <v>19</v>
      </c>
      <c r="AA319">
        <v>2</v>
      </c>
      <c r="AB319">
        <v>3</v>
      </c>
      <c r="AC319">
        <v>38</v>
      </c>
      <c r="AD319">
        <v>4.2</v>
      </c>
      <c r="AE319">
        <v>8.4</v>
      </c>
      <c r="AF319" s="5">
        <v>0.47599999999999998</v>
      </c>
      <c r="AG319">
        <v>0.29499999999999998</v>
      </c>
      <c r="AH319">
        <v>1.42</v>
      </c>
      <c r="AI319">
        <v>4.38</v>
      </c>
      <c r="AJ319">
        <v>4.46</v>
      </c>
      <c r="AK319">
        <v>2.2999999999999998</v>
      </c>
      <c r="AL319">
        <v>0.3</v>
      </c>
      <c r="AM319">
        <v>18</v>
      </c>
      <c r="AN319">
        <v>37</v>
      </c>
      <c r="AO319">
        <v>21</v>
      </c>
      <c r="AP319">
        <v>8</v>
      </c>
      <c r="AQ319" t="s">
        <v>2705</v>
      </c>
      <c r="AR319">
        <v>90</v>
      </c>
      <c r="AS319" t="s">
        <v>35</v>
      </c>
      <c r="AT319" t="s">
        <v>36</v>
      </c>
      <c r="AU319" s="4">
        <f>HYPERLINK("http://mlb.mlb.com/team/player.jsp?player_id=518553",518553)</f>
        <v>518553</v>
      </c>
      <c r="AV319">
        <v>1299</v>
      </c>
      <c r="AW319">
        <v>299</v>
      </c>
      <c r="AX319">
        <v>44.7</v>
      </c>
    </row>
    <row r="320" spans="1:50" x14ac:dyDescent="0.3">
      <c r="A320" s="4">
        <f>HYPERLINK("http://legacy.baseballprospectus.com/p/57047",57047)</f>
        <v>57047</v>
      </c>
      <c r="B320" t="s">
        <v>1153</v>
      </c>
      <c r="C320" t="s">
        <v>449</v>
      </c>
      <c r="D320" s="10">
        <v>31097</v>
      </c>
      <c r="E320" t="s">
        <v>33</v>
      </c>
      <c r="F320" t="s">
        <v>33</v>
      </c>
      <c r="G320">
        <v>75</v>
      </c>
      <c r="H320">
        <v>205</v>
      </c>
      <c r="I320">
        <v>2018</v>
      </c>
      <c r="J320" s="4" t="str">
        <f>HYPERLINK("http://legacy.baseballprospectus.com/fantasy/dc/index.php?tm=CLE","CLE")</f>
        <v>CLE</v>
      </c>
      <c r="K320" t="s">
        <v>95</v>
      </c>
      <c r="L320" t="s">
        <v>34</v>
      </c>
      <c r="M320">
        <v>33</v>
      </c>
      <c r="N320">
        <v>2.7</v>
      </c>
      <c r="O320">
        <v>2.2999999999999998</v>
      </c>
      <c r="P320">
        <v>0</v>
      </c>
      <c r="Q320">
        <v>0</v>
      </c>
      <c r="R320">
        <v>0</v>
      </c>
      <c r="S320">
        <v>1</v>
      </c>
      <c r="T320">
        <v>51</v>
      </c>
      <c r="U320">
        <v>0</v>
      </c>
      <c r="V320" s="9">
        <v>53.666699999999999</v>
      </c>
      <c r="W320">
        <v>231</v>
      </c>
      <c r="X320">
        <v>56</v>
      </c>
      <c r="Y320">
        <v>6</v>
      </c>
      <c r="Z320">
        <v>19</v>
      </c>
      <c r="AA320">
        <v>3</v>
      </c>
      <c r="AB320">
        <v>1</v>
      </c>
      <c r="AC320">
        <v>39</v>
      </c>
      <c r="AD320">
        <v>3.2</v>
      </c>
      <c r="AE320">
        <v>6.5</v>
      </c>
      <c r="AF320" s="5">
        <v>0.55800000000000005</v>
      </c>
      <c r="AG320">
        <v>0.29599999999999999</v>
      </c>
      <c r="AH320">
        <v>1.39</v>
      </c>
      <c r="AI320">
        <v>4.29</v>
      </c>
      <c r="AJ320">
        <v>4.68</v>
      </c>
      <c r="AK320">
        <v>3.1</v>
      </c>
      <c r="AL320">
        <v>0.3</v>
      </c>
      <c r="AM320">
        <v>24</v>
      </c>
      <c r="AN320">
        <v>43</v>
      </c>
      <c r="AO320">
        <v>27</v>
      </c>
      <c r="AP320">
        <v>10</v>
      </c>
      <c r="AQ320" t="s">
        <v>2495</v>
      </c>
      <c r="AR320">
        <v>86</v>
      </c>
      <c r="AS320" t="s">
        <v>35</v>
      </c>
      <c r="AT320" t="s">
        <v>36</v>
      </c>
      <c r="AU320" s="4">
        <f>HYPERLINK("http://mlb.mlb.com/team/player.jsp?player_id=519096",519096)</f>
        <v>519096</v>
      </c>
      <c r="AV320">
        <v>258</v>
      </c>
      <c r="AW320">
        <v>1258</v>
      </c>
      <c r="AX320">
        <v>60</v>
      </c>
    </row>
    <row r="321" spans="1:50" x14ac:dyDescent="0.3">
      <c r="A321" s="4">
        <f>HYPERLINK("http://legacy.baseballprospectus.com/p/57181",57181)</f>
        <v>57181</v>
      </c>
      <c r="B321" t="s">
        <v>779</v>
      </c>
      <c r="C321" t="s">
        <v>780</v>
      </c>
      <c r="D321" s="10">
        <v>32913</v>
      </c>
      <c r="E321" t="s">
        <v>33</v>
      </c>
      <c r="F321" t="s">
        <v>33</v>
      </c>
      <c r="G321">
        <v>76</v>
      </c>
      <c r="H321">
        <v>220</v>
      </c>
      <c r="I321">
        <v>2018</v>
      </c>
      <c r="J321" s="4" t="str">
        <f>HYPERLINK("http://legacy.baseballprospectus.com/fantasy/dc/index.php?tm=ARI","ARI")</f>
        <v>ARI</v>
      </c>
      <c r="K321" t="s">
        <v>100</v>
      </c>
      <c r="L321" t="s">
        <v>34</v>
      </c>
      <c r="M321">
        <v>28</v>
      </c>
      <c r="N321">
        <v>1.5</v>
      </c>
      <c r="O321">
        <v>1.3</v>
      </c>
      <c r="P321">
        <v>0</v>
      </c>
      <c r="Q321">
        <v>0</v>
      </c>
      <c r="R321">
        <v>2</v>
      </c>
      <c r="S321">
        <v>1</v>
      </c>
      <c r="T321">
        <v>28</v>
      </c>
      <c r="U321">
        <v>0</v>
      </c>
      <c r="V321" s="9">
        <v>30</v>
      </c>
      <c r="W321">
        <v>128</v>
      </c>
      <c r="X321">
        <v>27</v>
      </c>
      <c r="Y321">
        <v>3</v>
      </c>
      <c r="Z321">
        <v>12</v>
      </c>
      <c r="AA321">
        <v>1</v>
      </c>
      <c r="AB321">
        <v>1</v>
      </c>
      <c r="AC321">
        <v>30</v>
      </c>
      <c r="AD321">
        <v>3.7</v>
      </c>
      <c r="AE321">
        <v>9</v>
      </c>
      <c r="AF321" s="5">
        <v>0.44800000000000001</v>
      </c>
      <c r="AG321">
        <v>0.29599999999999999</v>
      </c>
      <c r="AH321">
        <v>1.32</v>
      </c>
      <c r="AI321">
        <v>3.72</v>
      </c>
      <c r="AJ321">
        <v>4.2300000000000004</v>
      </c>
      <c r="AK321">
        <v>2.4</v>
      </c>
      <c r="AL321">
        <v>0.3</v>
      </c>
      <c r="AM321">
        <v>24</v>
      </c>
      <c r="AN321">
        <v>57</v>
      </c>
      <c r="AO321">
        <v>15</v>
      </c>
      <c r="AP321">
        <v>8</v>
      </c>
      <c r="AQ321" t="s">
        <v>2496</v>
      </c>
      <c r="AR321">
        <v>92</v>
      </c>
      <c r="AS321" t="s">
        <v>35</v>
      </c>
      <c r="AT321" t="s">
        <v>36</v>
      </c>
      <c r="AU321" s="4">
        <f>HYPERLINK("http://mlb.mlb.com/team/player.jsp?player_id=517414",517414)</f>
        <v>517414</v>
      </c>
      <c r="AV321">
        <v>1076</v>
      </c>
      <c r="AW321">
        <v>76</v>
      </c>
      <c r="AX321">
        <v>62.7</v>
      </c>
    </row>
    <row r="322" spans="1:50" x14ac:dyDescent="0.3">
      <c r="A322" s="4">
        <f>HYPERLINK("http://legacy.baseballprospectus.com/p/57860",57860)</f>
        <v>57860</v>
      </c>
      <c r="B322" t="s">
        <v>350</v>
      </c>
      <c r="C322" t="s">
        <v>353</v>
      </c>
      <c r="D322" s="10">
        <v>31952</v>
      </c>
      <c r="E322" t="s">
        <v>33</v>
      </c>
      <c r="F322" t="s">
        <v>9</v>
      </c>
      <c r="G322">
        <v>71</v>
      </c>
      <c r="H322">
        <v>180</v>
      </c>
      <c r="I322">
        <v>2018</v>
      </c>
      <c r="J322" s="4" t="str">
        <f>HYPERLINK("http://legacy.baseballprospectus.com/fantasy/dc/index.php?tm=ATL","ATL")</f>
        <v>ATL</v>
      </c>
      <c r="K322" t="s">
        <v>100</v>
      </c>
      <c r="L322" t="s">
        <v>34</v>
      </c>
      <c r="M322">
        <v>31</v>
      </c>
      <c r="N322">
        <v>2.7</v>
      </c>
      <c r="O322">
        <v>2.5</v>
      </c>
      <c r="P322">
        <v>0</v>
      </c>
      <c r="Q322">
        <v>0</v>
      </c>
      <c r="R322">
        <v>2</v>
      </c>
      <c r="S322">
        <v>4</v>
      </c>
      <c r="T322">
        <v>52</v>
      </c>
      <c r="U322">
        <v>0</v>
      </c>
      <c r="V322" s="9">
        <v>54.666699999999999</v>
      </c>
      <c r="W322">
        <v>242</v>
      </c>
      <c r="X322">
        <v>53</v>
      </c>
      <c r="Y322">
        <v>6</v>
      </c>
      <c r="Z322">
        <v>26</v>
      </c>
      <c r="AA322">
        <v>1</v>
      </c>
      <c r="AB322">
        <v>3</v>
      </c>
      <c r="AC322">
        <v>50</v>
      </c>
      <c r="AD322">
        <v>4.2</v>
      </c>
      <c r="AE322">
        <v>8.3000000000000007</v>
      </c>
      <c r="AF322" s="5">
        <v>0.51</v>
      </c>
      <c r="AG322">
        <v>0.29799999999999999</v>
      </c>
      <c r="AH322">
        <v>1.43</v>
      </c>
      <c r="AI322">
        <v>4.13</v>
      </c>
      <c r="AJ322">
        <v>4.5199999999999996</v>
      </c>
      <c r="AK322">
        <v>2.7</v>
      </c>
      <c r="AL322">
        <v>0.3</v>
      </c>
      <c r="AM322">
        <v>25</v>
      </c>
      <c r="AN322">
        <v>35</v>
      </c>
      <c r="AO322">
        <v>23</v>
      </c>
      <c r="AP322">
        <v>23</v>
      </c>
      <c r="AQ322" t="s">
        <v>2709</v>
      </c>
      <c r="AR322">
        <v>70</v>
      </c>
      <c r="AS322" t="s">
        <v>35</v>
      </c>
      <c r="AT322" t="s">
        <v>36</v>
      </c>
      <c r="AU322" s="4">
        <f>HYPERLINK("http://mlb.mlb.com/team/player.jsp?player_id=518693",518693)</f>
        <v>518693</v>
      </c>
      <c r="AV322">
        <v>1266</v>
      </c>
      <c r="AW322">
        <v>266</v>
      </c>
      <c r="AX322">
        <v>60</v>
      </c>
    </row>
    <row r="323" spans="1:50" x14ac:dyDescent="0.3">
      <c r="A323" s="4">
        <f>HYPERLINK("http://legacy.baseballprospectus.com/p/58075",58075)</f>
        <v>58075</v>
      </c>
      <c r="B323" t="s">
        <v>2049</v>
      </c>
      <c r="C323" t="s">
        <v>917</v>
      </c>
      <c r="D323" s="10">
        <v>31883</v>
      </c>
      <c r="E323" t="s">
        <v>9</v>
      </c>
      <c r="F323" t="s">
        <v>9</v>
      </c>
      <c r="G323">
        <v>75</v>
      </c>
      <c r="H323">
        <v>215</v>
      </c>
      <c r="I323">
        <v>2018</v>
      </c>
      <c r="J323" s="4" t="str">
        <f>HYPERLINK("http://legacy.baseballprospectus.com/fantasy/dc/index.php?tm=BAL","BAL")</f>
        <v>BAL</v>
      </c>
      <c r="K323" t="s">
        <v>95</v>
      </c>
      <c r="L323" t="s">
        <v>34</v>
      </c>
      <c r="M323">
        <v>31</v>
      </c>
      <c r="N323">
        <v>2.1</v>
      </c>
      <c r="O323">
        <v>2.5</v>
      </c>
      <c r="P323">
        <v>0</v>
      </c>
      <c r="Q323">
        <v>0</v>
      </c>
      <c r="R323">
        <v>0</v>
      </c>
      <c r="S323">
        <v>1</v>
      </c>
      <c r="T323">
        <v>46</v>
      </c>
      <c r="U323">
        <v>0</v>
      </c>
      <c r="V323" s="9">
        <v>49</v>
      </c>
      <c r="W323">
        <v>211</v>
      </c>
      <c r="X323">
        <v>51</v>
      </c>
      <c r="Y323">
        <v>6</v>
      </c>
      <c r="Z323">
        <v>16</v>
      </c>
      <c r="AA323">
        <v>2</v>
      </c>
      <c r="AB323">
        <v>2</v>
      </c>
      <c r="AC323">
        <v>31</v>
      </c>
      <c r="AD323">
        <v>3</v>
      </c>
      <c r="AE323">
        <v>5.6</v>
      </c>
      <c r="AF323" s="5">
        <v>0.57799999999999996</v>
      </c>
      <c r="AG323">
        <v>0.28999999999999998</v>
      </c>
      <c r="AH323">
        <v>1.36</v>
      </c>
      <c r="AI323">
        <v>4.5999999999999996</v>
      </c>
      <c r="AJ323">
        <v>4.63</v>
      </c>
      <c r="AK323">
        <v>3.1</v>
      </c>
      <c r="AL323">
        <v>0.3</v>
      </c>
      <c r="AM323">
        <v>16</v>
      </c>
      <c r="AN323">
        <v>24</v>
      </c>
      <c r="AO323">
        <v>10</v>
      </c>
      <c r="AP323">
        <v>13</v>
      </c>
      <c r="AQ323" t="s">
        <v>2497</v>
      </c>
      <c r="AR323">
        <v>44</v>
      </c>
      <c r="AS323" t="s">
        <v>35</v>
      </c>
      <c r="AT323" t="s">
        <v>36</v>
      </c>
      <c r="AU323" s="4">
        <f>HYPERLINK("http://mlb.mlb.com/team/player.jsp?player_id=542947",542947)</f>
        <v>542947</v>
      </c>
      <c r="AV323">
        <v>248</v>
      </c>
      <c r="AW323">
        <v>1248</v>
      </c>
      <c r="AX323">
        <v>63.3</v>
      </c>
    </row>
    <row r="324" spans="1:50" x14ac:dyDescent="0.3">
      <c r="A324" s="4">
        <f>HYPERLINK("http://legacy.baseballprospectus.com/p/58136",58136)</f>
        <v>58136</v>
      </c>
      <c r="B324" t="s">
        <v>747</v>
      </c>
      <c r="C324" t="s">
        <v>204</v>
      </c>
      <c r="D324" s="10">
        <v>31666</v>
      </c>
      <c r="E324" t="s">
        <v>33</v>
      </c>
      <c r="F324" t="s">
        <v>33</v>
      </c>
      <c r="G324">
        <v>78</v>
      </c>
      <c r="H324">
        <v>235</v>
      </c>
      <c r="I324">
        <v>2018</v>
      </c>
      <c r="J324" s="4" t="str">
        <f>HYPERLINK("http://legacy.baseballprospectus.com/fantasy/dc/index.php?tm=BAL","BAL")</f>
        <v>BAL</v>
      </c>
      <c r="K324" t="s">
        <v>95</v>
      </c>
      <c r="L324" t="s">
        <v>34</v>
      </c>
      <c r="M324">
        <v>31</v>
      </c>
      <c r="N324">
        <v>6.9</v>
      </c>
      <c r="O324">
        <v>9.1</v>
      </c>
      <c r="P324">
        <v>9</v>
      </c>
      <c r="Q324">
        <v>0</v>
      </c>
      <c r="R324">
        <v>0</v>
      </c>
      <c r="S324">
        <v>0</v>
      </c>
      <c r="T324">
        <v>23</v>
      </c>
      <c r="U324">
        <v>23</v>
      </c>
      <c r="V324" s="9">
        <v>131</v>
      </c>
      <c r="W324">
        <v>587</v>
      </c>
      <c r="X324">
        <v>141</v>
      </c>
      <c r="Y324">
        <v>20</v>
      </c>
      <c r="Z324">
        <v>57</v>
      </c>
      <c r="AA324">
        <v>2</v>
      </c>
      <c r="AB324">
        <v>7</v>
      </c>
      <c r="AC324">
        <v>93</v>
      </c>
      <c r="AD324">
        <v>3.9</v>
      </c>
      <c r="AE324">
        <v>6.4</v>
      </c>
      <c r="AF324" s="5">
        <v>0.47699999999999998</v>
      </c>
      <c r="AG324">
        <v>0.29599999999999999</v>
      </c>
      <c r="AH324">
        <v>1.52</v>
      </c>
      <c r="AI324">
        <v>5.08</v>
      </c>
      <c r="AJ324">
        <v>5.3</v>
      </c>
      <c r="AK324">
        <v>3.1</v>
      </c>
      <c r="AL324">
        <v>0.3</v>
      </c>
      <c r="AM324">
        <v>9</v>
      </c>
      <c r="AN324">
        <v>37</v>
      </c>
      <c r="AO324">
        <v>34</v>
      </c>
      <c r="AP324">
        <v>10</v>
      </c>
      <c r="AQ324" t="s">
        <v>2425</v>
      </c>
      <c r="AR324">
        <v>91</v>
      </c>
      <c r="AS324" t="s">
        <v>35</v>
      </c>
      <c r="AT324" t="s">
        <v>36</v>
      </c>
      <c r="AU324" s="4">
        <f>HYPERLINK("http://mlb.mlb.com/team/player.jsp?player_id=488768",488768)</f>
        <v>488768</v>
      </c>
      <c r="AV324">
        <v>0</v>
      </c>
      <c r="AW324">
        <v>0</v>
      </c>
      <c r="AX324">
        <v>166.7</v>
      </c>
    </row>
    <row r="325" spans="1:50" x14ac:dyDescent="0.3">
      <c r="A325" s="4">
        <f>HYPERLINK("http://legacy.baseballprospectus.com/p/58407",58407)</f>
        <v>58407</v>
      </c>
      <c r="B325" t="s">
        <v>863</v>
      </c>
      <c r="C325" t="s">
        <v>109</v>
      </c>
      <c r="D325" s="10">
        <v>33165</v>
      </c>
      <c r="E325" t="s">
        <v>33</v>
      </c>
      <c r="F325" t="s">
        <v>33</v>
      </c>
      <c r="G325">
        <v>76</v>
      </c>
      <c r="H325">
        <v>230</v>
      </c>
      <c r="I325">
        <v>2018</v>
      </c>
      <c r="J325" s="4" t="str">
        <f>HYPERLINK("http://legacy.baseballprospectus.com/fantasy/dc/index.php?tm=SDN","SDN")</f>
        <v>SDN</v>
      </c>
      <c r="K325" t="s">
        <v>100</v>
      </c>
      <c r="L325" t="s">
        <v>34</v>
      </c>
      <c r="M325">
        <v>27</v>
      </c>
      <c r="N325">
        <v>4.4000000000000004</v>
      </c>
      <c r="O325">
        <v>5.8</v>
      </c>
      <c r="P325">
        <v>6</v>
      </c>
      <c r="Q325">
        <v>0</v>
      </c>
      <c r="R325">
        <v>0</v>
      </c>
      <c r="S325">
        <v>0</v>
      </c>
      <c r="T325">
        <v>29</v>
      </c>
      <c r="U325">
        <v>13</v>
      </c>
      <c r="V325" s="9">
        <v>86</v>
      </c>
      <c r="W325">
        <v>377</v>
      </c>
      <c r="X325">
        <v>88</v>
      </c>
      <c r="Y325">
        <v>10</v>
      </c>
      <c r="Z325">
        <v>34</v>
      </c>
      <c r="AA325">
        <v>1</v>
      </c>
      <c r="AB325">
        <v>4</v>
      </c>
      <c r="AC325">
        <v>69</v>
      </c>
      <c r="AD325">
        <v>3.6</v>
      </c>
      <c r="AE325">
        <v>7.2</v>
      </c>
      <c r="AF325" s="5">
        <v>0.47399999999999998</v>
      </c>
      <c r="AG325">
        <v>0.3</v>
      </c>
      <c r="AH325">
        <v>1.44</v>
      </c>
      <c r="AI325">
        <v>4.41</v>
      </c>
      <c r="AJ325">
        <v>4.87</v>
      </c>
      <c r="AK325">
        <v>3</v>
      </c>
      <c r="AL325">
        <v>0.3</v>
      </c>
      <c r="AM325">
        <v>25</v>
      </c>
      <c r="AN325">
        <v>60</v>
      </c>
      <c r="AO325">
        <v>16</v>
      </c>
      <c r="AP325">
        <v>17</v>
      </c>
      <c r="AQ325" t="s">
        <v>2550</v>
      </c>
      <c r="AR325">
        <v>92</v>
      </c>
      <c r="AS325" t="s">
        <v>35</v>
      </c>
      <c r="AT325" t="s">
        <v>36</v>
      </c>
      <c r="AU325" s="4">
        <f>HYPERLINK("http://mlb.mlb.com/team/player.jsp?player_id=543475",543475)</f>
        <v>543475</v>
      </c>
      <c r="AV325">
        <v>1073</v>
      </c>
      <c r="AW325">
        <v>73</v>
      </c>
      <c r="AX325">
        <v>69.7</v>
      </c>
    </row>
    <row r="326" spans="1:50" x14ac:dyDescent="0.3">
      <c r="A326" s="4">
        <f>HYPERLINK("http://legacy.baseballprospectus.com/p/59166",59166)</f>
        <v>59166</v>
      </c>
      <c r="B326" t="s">
        <v>333</v>
      </c>
      <c r="C326" t="s">
        <v>150</v>
      </c>
      <c r="D326" s="10">
        <v>31278</v>
      </c>
      <c r="E326" t="s">
        <v>33</v>
      </c>
      <c r="F326" t="s">
        <v>33</v>
      </c>
      <c r="G326">
        <v>72</v>
      </c>
      <c r="H326">
        <v>195</v>
      </c>
      <c r="I326">
        <v>2018</v>
      </c>
      <c r="J326" s="4" t="str">
        <f>HYPERLINK("http://legacy.baseballprospectus.com/fantasy/dc/index.php?tm=LAN","LAN")</f>
        <v>LAN</v>
      </c>
      <c r="K326" t="s">
        <v>100</v>
      </c>
      <c r="L326" t="s">
        <v>34</v>
      </c>
      <c r="M326">
        <v>32</v>
      </c>
      <c r="N326">
        <v>3</v>
      </c>
      <c r="O326">
        <v>2.2999999999999998</v>
      </c>
      <c r="P326">
        <v>0</v>
      </c>
      <c r="Q326">
        <v>0</v>
      </c>
      <c r="R326">
        <v>0</v>
      </c>
      <c r="S326">
        <v>4</v>
      </c>
      <c r="T326">
        <v>52</v>
      </c>
      <c r="U326">
        <v>0</v>
      </c>
      <c r="V326" s="9">
        <v>55.333300000000001</v>
      </c>
      <c r="W326">
        <v>238</v>
      </c>
      <c r="X326">
        <v>51</v>
      </c>
      <c r="Y326">
        <v>8</v>
      </c>
      <c r="Z326">
        <v>23</v>
      </c>
      <c r="AA326">
        <v>2</v>
      </c>
      <c r="AB326">
        <v>2</v>
      </c>
      <c r="AC326">
        <v>61</v>
      </c>
      <c r="AD326">
        <v>3.7</v>
      </c>
      <c r="AE326">
        <v>9.9</v>
      </c>
      <c r="AF326" s="5">
        <v>0.38300000000000001</v>
      </c>
      <c r="AG326">
        <v>0.29499999999999998</v>
      </c>
      <c r="AH326">
        <v>1.32</v>
      </c>
      <c r="AI326">
        <v>4.07</v>
      </c>
      <c r="AJ326">
        <v>4.5199999999999996</v>
      </c>
      <c r="AK326">
        <v>2.7</v>
      </c>
      <c r="AL326">
        <v>0.3</v>
      </c>
      <c r="AM326">
        <v>20</v>
      </c>
      <c r="AN326">
        <v>40</v>
      </c>
      <c r="AO326">
        <v>27</v>
      </c>
      <c r="AP326">
        <v>4</v>
      </c>
      <c r="AQ326" t="s">
        <v>2995</v>
      </c>
      <c r="AR326">
        <v>87</v>
      </c>
      <c r="AS326" t="s">
        <v>35</v>
      </c>
      <c r="AT326" t="s">
        <v>36</v>
      </c>
      <c r="AU326" s="4">
        <f>HYPERLINK("http://mlb.mlb.com/team/player.jsp?player_id=451661",451661)</f>
        <v>451661</v>
      </c>
      <c r="AV326">
        <v>1279</v>
      </c>
      <c r="AW326">
        <v>279</v>
      </c>
      <c r="AX326">
        <v>57</v>
      </c>
    </row>
    <row r="327" spans="1:50" x14ac:dyDescent="0.3">
      <c r="A327" s="4">
        <f>HYPERLINK("http://legacy.baseballprospectus.com/p/59607",59607)</f>
        <v>59607</v>
      </c>
      <c r="B327" t="s">
        <v>2996</v>
      </c>
      <c r="C327" t="s">
        <v>2216</v>
      </c>
      <c r="D327" s="10">
        <v>32129</v>
      </c>
      <c r="E327" t="s">
        <v>9</v>
      </c>
      <c r="F327" t="s">
        <v>9</v>
      </c>
      <c r="G327">
        <v>72</v>
      </c>
      <c r="H327">
        <v>210</v>
      </c>
      <c r="I327">
        <v>2018</v>
      </c>
      <c r="J327" s="4" t="str">
        <f>HYPERLINK("http://legacy.baseballprospectus.com/fantasy/dc/index.php?tm=ATL","ATL")</f>
        <v>ATL</v>
      </c>
      <c r="K327" t="s">
        <v>100</v>
      </c>
      <c r="L327" t="s">
        <v>34</v>
      </c>
      <c r="M327">
        <v>30</v>
      </c>
      <c r="N327">
        <v>1.8</v>
      </c>
      <c r="O327">
        <v>1.7</v>
      </c>
      <c r="P327">
        <v>0</v>
      </c>
      <c r="Q327">
        <v>0</v>
      </c>
      <c r="R327">
        <v>0</v>
      </c>
      <c r="S327">
        <v>1</v>
      </c>
      <c r="T327">
        <v>36</v>
      </c>
      <c r="U327">
        <v>0</v>
      </c>
      <c r="V327" s="9">
        <v>38.333300000000001</v>
      </c>
      <c r="W327">
        <v>168</v>
      </c>
      <c r="X327">
        <v>33</v>
      </c>
      <c r="Y327">
        <v>4</v>
      </c>
      <c r="Z327">
        <v>21</v>
      </c>
      <c r="AA327">
        <v>1</v>
      </c>
      <c r="AB327">
        <v>2</v>
      </c>
      <c r="AC327">
        <v>46</v>
      </c>
      <c r="AD327">
        <v>4.9000000000000004</v>
      </c>
      <c r="AE327">
        <v>10.7</v>
      </c>
      <c r="AF327" s="5">
        <v>0.44</v>
      </c>
      <c r="AG327">
        <v>0.30099999999999999</v>
      </c>
      <c r="AH327">
        <v>1.4</v>
      </c>
      <c r="AI327">
        <v>3.76</v>
      </c>
      <c r="AJ327">
        <v>4.22</v>
      </c>
      <c r="AK327">
        <v>3.1</v>
      </c>
      <c r="AL327">
        <v>0.3</v>
      </c>
      <c r="AM327">
        <v>23</v>
      </c>
      <c r="AN327">
        <v>40</v>
      </c>
      <c r="AO327">
        <v>27</v>
      </c>
      <c r="AP327">
        <v>20</v>
      </c>
      <c r="AQ327" t="s">
        <v>2997</v>
      </c>
      <c r="AR327">
        <v>85</v>
      </c>
      <c r="AS327" t="s">
        <v>35</v>
      </c>
      <c r="AT327" t="s">
        <v>36</v>
      </c>
      <c r="AU327" s="4">
        <f>HYPERLINK("http://mlb.mlb.com/team/player.jsp?player_id=571521",571521)</f>
        <v>571521</v>
      </c>
      <c r="AV327">
        <v>1324</v>
      </c>
      <c r="AW327">
        <v>324</v>
      </c>
      <c r="AX327">
        <v>23.7</v>
      </c>
    </row>
    <row r="328" spans="1:50" x14ac:dyDescent="0.3">
      <c r="A328" s="4">
        <f>HYPERLINK("http://legacy.baseballprospectus.com/p/60317",60317)</f>
        <v>60317</v>
      </c>
      <c r="B328" t="s">
        <v>1821</v>
      </c>
      <c r="C328" t="s">
        <v>314</v>
      </c>
      <c r="D328" s="10">
        <v>33134</v>
      </c>
      <c r="E328" t="s">
        <v>33</v>
      </c>
      <c r="F328" t="s">
        <v>33</v>
      </c>
      <c r="G328">
        <v>76</v>
      </c>
      <c r="H328">
        <v>210</v>
      </c>
      <c r="I328">
        <v>2018</v>
      </c>
      <c r="J328" s="4" t="str">
        <f>HYPERLINK("http://legacy.baseballprospectus.com/fantasy/dc/index.php?tm=CHA","CHA")</f>
        <v>CHA</v>
      </c>
      <c r="K328" t="s">
        <v>95</v>
      </c>
      <c r="L328" t="s">
        <v>34</v>
      </c>
      <c r="M328">
        <v>27</v>
      </c>
      <c r="N328">
        <v>2.5</v>
      </c>
      <c r="O328">
        <v>2.9</v>
      </c>
      <c r="P328">
        <v>0</v>
      </c>
      <c r="Q328">
        <v>0</v>
      </c>
      <c r="R328">
        <v>5</v>
      </c>
      <c r="S328">
        <v>4</v>
      </c>
      <c r="T328">
        <v>54</v>
      </c>
      <c r="U328">
        <v>0</v>
      </c>
      <c r="V328" s="9">
        <v>57.666699999999999</v>
      </c>
      <c r="W328">
        <v>254</v>
      </c>
      <c r="X328">
        <v>56</v>
      </c>
      <c r="Y328">
        <v>9</v>
      </c>
      <c r="Z328">
        <v>25</v>
      </c>
      <c r="AA328">
        <v>2</v>
      </c>
      <c r="AB328">
        <v>4</v>
      </c>
      <c r="AC328">
        <v>59</v>
      </c>
      <c r="AD328">
        <v>4</v>
      </c>
      <c r="AE328">
        <v>9.3000000000000007</v>
      </c>
      <c r="AF328" s="5">
        <v>0.41299999999999998</v>
      </c>
      <c r="AG328">
        <v>0.30099999999999999</v>
      </c>
      <c r="AH328">
        <v>1.42</v>
      </c>
      <c r="AI328">
        <v>4.6500000000000004</v>
      </c>
      <c r="AJ328">
        <v>4.76</v>
      </c>
      <c r="AK328">
        <v>2.9</v>
      </c>
      <c r="AL328">
        <v>0.3</v>
      </c>
      <c r="AM328">
        <v>20</v>
      </c>
      <c r="AN328">
        <v>29</v>
      </c>
      <c r="AO328">
        <v>15</v>
      </c>
      <c r="AP328">
        <v>35</v>
      </c>
      <c r="AQ328" t="s">
        <v>2712</v>
      </c>
      <c r="AR328">
        <v>54</v>
      </c>
      <c r="AS328" t="s">
        <v>35</v>
      </c>
      <c r="AT328" t="s">
        <v>36</v>
      </c>
      <c r="AU328" s="4">
        <f>HYPERLINK("http://mlb.mlb.com/team/player.jsp?player_id=573668",573668)</f>
        <v>573668</v>
      </c>
      <c r="AV328">
        <v>295</v>
      </c>
      <c r="AW328">
        <v>1295</v>
      </c>
      <c r="AX328">
        <v>43.7</v>
      </c>
    </row>
    <row r="329" spans="1:50" x14ac:dyDescent="0.3">
      <c r="A329" s="4">
        <f>HYPERLINK("http://legacy.baseballprospectus.com/p/60626",60626)</f>
        <v>60626</v>
      </c>
      <c r="B329" t="s">
        <v>516</v>
      </c>
      <c r="C329" t="s">
        <v>882</v>
      </c>
      <c r="D329" s="10">
        <v>33156</v>
      </c>
      <c r="E329" t="s">
        <v>33</v>
      </c>
      <c r="F329" t="s">
        <v>33</v>
      </c>
      <c r="G329">
        <v>75</v>
      </c>
      <c r="H329">
        <v>225</v>
      </c>
      <c r="I329">
        <v>2018</v>
      </c>
      <c r="J329" s="4" t="str">
        <f>HYPERLINK("http://legacy.baseballprospectus.com/fantasy/dc/index.php?tm=ARI","ARI")</f>
        <v>ARI</v>
      </c>
      <c r="K329" t="s">
        <v>100</v>
      </c>
      <c r="L329" t="s">
        <v>34</v>
      </c>
      <c r="M329">
        <v>27</v>
      </c>
      <c r="N329">
        <v>1.6</v>
      </c>
      <c r="O329">
        <v>1.5</v>
      </c>
      <c r="P329">
        <v>3</v>
      </c>
      <c r="Q329">
        <v>0</v>
      </c>
      <c r="R329">
        <v>0</v>
      </c>
      <c r="S329">
        <v>0</v>
      </c>
      <c r="T329">
        <v>5</v>
      </c>
      <c r="U329">
        <v>5</v>
      </c>
      <c r="V329" s="9">
        <v>25</v>
      </c>
      <c r="W329">
        <v>106</v>
      </c>
      <c r="X329">
        <v>23</v>
      </c>
      <c r="Y329">
        <v>2</v>
      </c>
      <c r="Z329">
        <v>9</v>
      </c>
      <c r="AA329">
        <v>1</v>
      </c>
      <c r="AB329">
        <v>1</v>
      </c>
      <c r="AC329">
        <v>25</v>
      </c>
      <c r="AD329">
        <v>3.4</v>
      </c>
      <c r="AE329">
        <v>8.8000000000000007</v>
      </c>
      <c r="AF329" s="5">
        <v>0.45800000000000002</v>
      </c>
      <c r="AG329">
        <v>0.29599999999999999</v>
      </c>
      <c r="AH329">
        <v>1.28</v>
      </c>
      <c r="AI329">
        <v>3.55</v>
      </c>
      <c r="AJ329">
        <v>4.0599999999999996</v>
      </c>
      <c r="AK329">
        <v>3.1</v>
      </c>
      <c r="AL329">
        <v>0.3</v>
      </c>
      <c r="AM329">
        <v>23</v>
      </c>
      <c r="AN329">
        <v>49</v>
      </c>
      <c r="AO329">
        <v>24</v>
      </c>
      <c r="AP329">
        <v>14</v>
      </c>
      <c r="AQ329" t="s">
        <v>2713</v>
      </c>
      <c r="AR329">
        <v>95</v>
      </c>
      <c r="AS329" t="s">
        <v>35</v>
      </c>
      <c r="AT329" t="s">
        <v>36</v>
      </c>
      <c r="AU329" s="4">
        <f>HYPERLINK("http://mlb.mlb.com/team/player.jsp?player_id=571946",571946)</f>
        <v>571946</v>
      </c>
      <c r="AV329">
        <v>1110</v>
      </c>
      <c r="AW329">
        <v>110</v>
      </c>
      <c r="AX329">
        <v>22</v>
      </c>
    </row>
    <row r="330" spans="1:50" x14ac:dyDescent="0.3">
      <c r="A330" s="4">
        <f>HYPERLINK("http://legacy.baseballprospectus.com/p/65851",65851)</f>
        <v>65851</v>
      </c>
      <c r="B330" t="s">
        <v>1323</v>
      </c>
      <c r="C330" t="s">
        <v>262</v>
      </c>
      <c r="D330" s="10">
        <v>32699</v>
      </c>
      <c r="E330" t="s">
        <v>9</v>
      </c>
      <c r="F330" t="s">
        <v>9</v>
      </c>
      <c r="G330">
        <v>74</v>
      </c>
      <c r="H330">
        <v>190</v>
      </c>
      <c r="I330">
        <v>2018</v>
      </c>
      <c r="J330" s="4" t="str">
        <f>HYPERLINK("http://legacy.baseballprospectus.com/fantasy/dc/index.php?tm=LAN","LAN")</f>
        <v>LAN</v>
      </c>
      <c r="K330" t="s">
        <v>100</v>
      </c>
      <c r="L330" t="s">
        <v>34</v>
      </c>
      <c r="M330">
        <v>28</v>
      </c>
      <c r="N330">
        <v>2.7</v>
      </c>
      <c r="O330">
        <v>1.9</v>
      </c>
      <c r="P330">
        <v>0</v>
      </c>
      <c r="Q330">
        <v>0</v>
      </c>
      <c r="R330">
        <v>0</v>
      </c>
      <c r="S330">
        <v>1</v>
      </c>
      <c r="T330">
        <v>45</v>
      </c>
      <c r="U330">
        <v>0</v>
      </c>
      <c r="V330" s="9">
        <v>47.333300000000001</v>
      </c>
      <c r="W330">
        <v>203</v>
      </c>
      <c r="X330">
        <v>45</v>
      </c>
      <c r="Y330">
        <v>5</v>
      </c>
      <c r="Z330">
        <v>19</v>
      </c>
      <c r="AA330">
        <v>1</v>
      </c>
      <c r="AB330">
        <v>1</v>
      </c>
      <c r="AC330">
        <v>41</v>
      </c>
      <c r="AD330">
        <v>3.7</v>
      </c>
      <c r="AE330">
        <v>7.8</v>
      </c>
      <c r="AF330" s="5">
        <v>0.58899999999999997</v>
      </c>
      <c r="AG330">
        <v>0.29699999999999999</v>
      </c>
      <c r="AH330">
        <v>1.37</v>
      </c>
      <c r="AI330">
        <v>3.91</v>
      </c>
      <c r="AJ330">
        <v>4.38</v>
      </c>
      <c r="AK330">
        <v>3</v>
      </c>
      <c r="AL330">
        <v>0.3</v>
      </c>
      <c r="AM330">
        <v>28</v>
      </c>
      <c r="AN330">
        <v>37</v>
      </c>
      <c r="AO330">
        <v>20</v>
      </c>
      <c r="AP330">
        <v>17</v>
      </c>
      <c r="AQ330" t="s">
        <v>2558</v>
      </c>
      <c r="AR330">
        <v>69</v>
      </c>
      <c r="AS330" t="s">
        <v>35</v>
      </c>
      <c r="AT330" t="s">
        <v>36</v>
      </c>
      <c r="AU330" s="4">
        <f>HYPERLINK("http://mlb.mlb.com/team/player.jsp?player_id=518397",518397)</f>
        <v>518397</v>
      </c>
      <c r="AV330">
        <v>1247</v>
      </c>
      <c r="AW330">
        <v>247</v>
      </c>
      <c r="AX330">
        <v>69</v>
      </c>
    </row>
    <row r="331" spans="1:50" x14ac:dyDescent="0.3">
      <c r="A331" s="4">
        <f>HYPERLINK("http://legacy.baseballprospectus.com/p/5034",5034)</f>
        <v>5034</v>
      </c>
      <c r="B331" t="s">
        <v>781</v>
      </c>
      <c r="C331" t="s">
        <v>782</v>
      </c>
      <c r="D331" s="10">
        <v>27331</v>
      </c>
      <c r="E331" t="s">
        <v>33</v>
      </c>
      <c r="F331" t="s">
        <v>33</v>
      </c>
      <c r="G331">
        <v>75</v>
      </c>
      <c r="H331">
        <v>215</v>
      </c>
      <c r="I331">
        <v>2018</v>
      </c>
      <c r="J331" s="4" t="str">
        <f>HYPERLINK("http://legacy.baseballprospectus.com/fantasy/dc/index.php?tm=ATL","ATL")</f>
        <v>ATL</v>
      </c>
      <c r="K331" t="s">
        <v>100</v>
      </c>
      <c r="L331" t="s">
        <v>34</v>
      </c>
      <c r="M331">
        <v>43</v>
      </c>
      <c r="N331">
        <v>8.6999999999999993</v>
      </c>
      <c r="O331">
        <v>9.4</v>
      </c>
      <c r="P331">
        <v>10.9</v>
      </c>
      <c r="Q331">
        <v>0</v>
      </c>
      <c r="R331">
        <v>0</v>
      </c>
      <c r="S331">
        <v>0</v>
      </c>
      <c r="T331">
        <v>24.7</v>
      </c>
      <c r="U331">
        <v>24.7</v>
      </c>
      <c r="V331" s="9">
        <v>152.66669999999999</v>
      </c>
      <c r="W331">
        <v>647</v>
      </c>
      <c r="X331">
        <v>154</v>
      </c>
      <c r="Y331">
        <v>20</v>
      </c>
      <c r="Z331">
        <v>59</v>
      </c>
      <c r="AA331" t="s">
        <v>1680</v>
      </c>
      <c r="AB331">
        <v>8</v>
      </c>
      <c r="AC331">
        <v>109</v>
      </c>
      <c r="AD331">
        <v>3.5</v>
      </c>
      <c r="AE331">
        <v>6.4</v>
      </c>
      <c r="AF331" s="5">
        <v>0.44921663403510997</v>
      </c>
      <c r="AG331">
        <v>0.29599999999999999</v>
      </c>
      <c r="AH331">
        <v>1.39</v>
      </c>
      <c r="AI331">
        <v>4.72</v>
      </c>
      <c r="AJ331">
        <v>5.47</v>
      </c>
      <c r="AK331">
        <v>2.4</v>
      </c>
      <c r="AL331">
        <v>0.3</v>
      </c>
      <c r="AM331">
        <v>7</v>
      </c>
      <c r="AN331">
        <v>9</v>
      </c>
      <c r="AO331">
        <v>36</v>
      </c>
      <c r="AP331">
        <v>10</v>
      </c>
      <c r="AQ331" t="s">
        <v>2563</v>
      </c>
      <c r="AR331">
        <v>69</v>
      </c>
      <c r="AS331" t="s">
        <v>36</v>
      </c>
      <c r="AT331" t="s">
        <v>36</v>
      </c>
      <c r="AU331" s="4">
        <f>HYPERLINK("http://mlb.mlb.com/team/player.jsp?player_id=285079",285079)</f>
        <v>285079</v>
      </c>
      <c r="AV331">
        <v>0</v>
      </c>
      <c r="AW331">
        <v>0</v>
      </c>
      <c r="AX331">
        <v>190</v>
      </c>
    </row>
    <row r="332" spans="1:50" x14ac:dyDescent="0.3">
      <c r="A332" s="4">
        <f>HYPERLINK("http://legacy.baseballprospectus.com/p/45622",45622)</f>
        <v>45622</v>
      </c>
      <c r="B332" t="s">
        <v>793</v>
      </c>
      <c r="C332" t="s">
        <v>262</v>
      </c>
      <c r="D332" s="10">
        <v>30354</v>
      </c>
      <c r="E332" t="s">
        <v>9</v>
      </c>
      <c r="F332" t="s">
        <v>33</v>
      </c>
      <c r="G332">
        <v>78</v>
      </c>
      <c r="H332">
        <v>225</v>
      </c>
      <c r="I332">
        <v>2018</v>
      </c>
      <c r="J332" s="4" t="str">
        <f>HYPERLINK("http://legacy.baseballprospectus.com/fantasy/dc/index.php?tm=CIN","CIN")</f>
        <v>CIN</v>
      </c>
      <c r="K332" t="s">
        <v>100</v>
      </c>
      <c r="L332" t="s">
        <v>34</v>
      </c>
      <c r="M332">
        <v>35</v>
      </c>
      <c r="N332">
        <v>5</v>
      </c>
      <c r="O332">
        <v>4.9000000000000004</v>
      </c>
      <c r="P332">
        <v>5.6</v>
      </c>
      <c r="Q332">
        <v>0</v>
      </c>
      <c r="R332">
        <v>0.1</v>
      </c>
      <c r="S332">
        <v>0</v>
      </c>
      <c r="T332">
        <v>22</v>
      </c>
      <c r="U332">
        <v>13.3</v>
      </c>
      <c r="V332" s="9">
        <v>85.333299999999994</v>
      </c>
      <c r="W332">
        <v>362</v>
      </c>
      <c r="X332">
        <v>86</v>
      </c>
      <c r="Y332">
        <v>13</v>
      </c>
      <c r="Z332">
        <v>33</v>
      </c>
      <c r="AA332" t="s">
        <v>1680</v>
      </c>
      <c r="AB332">
        <v>5</v>
      </c>
      <c r="AC332">
        <v>69</v>
      </c>
      <c r="AD332">
        <v>3.5</v>
      </c>
      <c r="AE332">
        <v>7.2</v>
      </c>
      <c r="AF332" s="5">
        <v>0.47574570775031999</v>
      </c>
      <c r="AG332">
        <v>0.30099999999999999</v>
      </c>
      <c r="AH332">
        <v>1.4</v>
      </c>
      <c r="AI332">
        <v>4.9400000000000004</v>
      </c>
      <c r="AJ332">
        <v>5.29</v>
      </c>
      <c r="AK332">
        <v>2.5</v>
      </c>
      <c r="AL332">
        <v>0.3</v>
      </c>
      <c r="AM332">
        <v>14</v>
      </c>
      <c r="AN332">
        <v>42</v>
      </c>
      <c r="AO332">
        <v>27</v>
      </c>
      <c r="AP332">
        <v>7</v>
      </c>
      <c r="AQ332" t="s">
        <v>2723</v>
      </c>
      <c r="AR332">
        <v>86</v>
      </c>
      <c r="AS332" t="s">
        <v>36</v>
      </c>
      <c r="AT332" t="s">
        <v>36</v>
      </c>
      <c r="AU332" s="4">
        <f>HYPERLINK("http://mlb.mlb.com/team/player.jsp?player_id=444857",444857)</f>
        <v>444857</v>
      </c>
      <c r="AV332">
        <v>0</v>
      </c>
      <c r="AW332">
        <v>0</v>
      </c>
      <c r="AX332">
        <v>111.3</v>
      </c>
    </row>
    <row r="333" spans="1:50" x14ac:dyDescent="0.3">
      <c r="A333" s="4">
        <f>HYPERLINK("http://legacy.baseballprospectus.com/p/51574",51574)</f>
        <v>51574</v>
      </c>
      <c r="B333" t="s">
        <v>820</v>
      </c>
      <c r="C333" t="s">
        <v>1588</v>
      </c>
      <c r="D333" s="10">
        <v>32615</v>
      </c>
      <c r="E333" t="s">
        <v>33</v>
      </c>
      <c r="F333" t="s">
        <v>33</v>
      </c>
      <c r="G333">
        <v>77</v>
      </c>
      <c r="H333">
        <v>245</v>
      </c>
      <c r="I333">
        <v>2018</v>
      </c>
      <c r="J333" s="4" t="str">
        <f>HYPERLINK("http://legacy.baseballprospectus.com/fantasy/dc/index.php?tm=TEX","TEX")</f>
        <v>TEX</v>
      </c>
      <c r="K333" t="s">
        <v>95</v>
      </c>
      <c r="L333" t="s">
        <v>34</v>
      </c>
      <c r="M333">
        <v>29</v>
      </c>
      <c r="N333">
        <v>2.4</v>
      </c>
      <c r="O333">
        <v>0.9</v>
      </c>
      <c r="P333">
        <v>0</v>
      </c>
      <c r="Q333">
        <v>0</v>
      </c>
      <c r="R333">
        <v>1.2</v>
      </c>
      <c r="S333">
        <v>0</v>
      </c>
      <c r="T333">
        <v>49.2</v>
      </c>
      <c r="U333">
        <v>0</v>
      </c>
      <c r="V333" s="9">
        <v>52</v>
      </c>
      <c r="W333">
        <v>222</v>
      </c>
      <c r="X333">
        <v>49</v>
      </c>
      <c r="Y333">
        <v>8</v>
      </c>
      <c r="Z333">
        <v>19</v>
      </c>
      <c r="AA333" t="s">
        <v>1680</v>
      </c>
      <c r="AB333">
        <v>2</v>
      </c>
      <c r="AC333">
        <v>46</v>
      </c>
      <c r="AD333">
        <v>3.3</v>
      </c>
      <c r="AE333">
        <v>7.9</v>
      </c>
      <c r="AF333" s="5">
        <v>0.42016160488128601</v>
      </c>
      <c r="AG333">
        <v>0.28100000000000003</v>
      </c>
      <c r="AH333">
        <v>1.31</v>
      </c>
      <c r="AI333">
        <v>4.7300000000000004</v>
      </c>
      <c r="AJ333">
        <v>4.9000000000000004</v>
      </c>
      <c r="AK333">
        <v>2.5</v>
      </c>
      <c r="AL333">
        <v>0.3</v>
      </c>
      <c r="AM333">
        <v>20</v>
      </c>
      <c r="AN333">
        <v>43</v>
      </c>
      <c r="AO333">
        <v>24</v>
      </c>
      <c r="AP333">
        <v>25</v>
      </c>
      <c r="AQ333" t="s">
        <v>2568</v>
      </c>
      <c r="AR333">
        <v>85</v>
      </c>
      <c r="AS333" t="s">
        <v>36</v>
      </c>
      <c r="AT333" t="s">
        <v>36</v>
      </c>
      <c r="AU333" s="4">
        <f>HYPERLINK("http://mlb.mlb.com/team/player.jsp?player_id=500610",500610)</f>
        <v>500610</v>
      </c>
      <c r="AV333">
        <v>0</v>
      </c>
      <c r="AW333">
        <v>0</v>
      </c>
      <c r="AX333">
        <v>25</v>
      </c>
    </row>
    <row r="334" spans="1:50" x14ac:dyDescent="0.3">
      <c r="A334" s="4">
        <f>HYPERLINK("http://legacy.baseballprospectus.com/p/55592",55592)</f>
        <v>55592</v>
      </c>
      <c r="B334" t="s">
        <v>1178</v>
      </c>
      <c r="C334" t="s">
        <v>181</v>
      </c>
      <c r="D334" s="10">
        <v>32583</v>
      </c>
      <c r="E334" t="s">
        <v>33</v>
      </c>
      <c r="F334" t="s">
        <v>33</v>
      </c>
      <c r="G334">
        <v>72</v>
      </c>
      <c r="H334">
        <v>205</v>
      </c>
      <c r="I334">
        <v>2018</v>
      </c>
      <c r="J334" s="4" t="str">
        <f>HYPERLINK("http://legacy.baseballprospectus.com/fantasy/dc/index.php?tm=ARI","ARI")</f>
        <v>ARI</v>
      </c>
      <c r="K334" t="s">
        <v>100</v>
      </c>
      <c r="L334" t="s">
        <v>34</v>
      </c>
      <c r="M334">
        <v>29</v>
      </c>
      <c r="N334">
        <v>3.9</v>
      </c>
      <c r="O334">
        <v>3</v>
      </c>
      <c r="P334">
        <v>3.5</v>
      </c>
      <c r="Q334">
        <v>0</v>
      </c>
      <c r="R334">
        <v>0.2</v>
      </c>
      <c r="S334">
        <v>0</v>
      </c>
      <c r="T334">
        <v>42.9</v>
      </c>
      <c r="U334">
        <v>7.4</v>
      </c>
      <c r="V334" s="9">
        <v>72.666700000000006</v>
      </c>
      <c r="W334">
        <v>305</v>
      </c>
      <c r="X334">
        <v>69</v>
      </c>
      <c r="Y334">
        <v>9</v>
      </c>
      <c r="Z334">
        <v>31</v>
      </c>
      <c r="AA334" t="s">
        <v>1680</v>
      </c>
      <c r="AB334">
        <v>3</v>
      </c>
      <c r="AC334">
        <v>65</v>
      </c>
      <c r="AD334">
        <v>3.8</v>
      </c>
      <c r="AE334">
        <v>8</v>
      </c>
      <c r="AF334" s="5">
        <v>0.45492249727249101</v>
      </c>
      <c r="AG334">
        <v>0.30099999999999999</v>
      </c>
      <c r="AH334">
        <v>1.37</v>
      </c>
      <c r="AI334">
        <v>4.46</v>
      </c>
      <c r="AJ334">
        <v>5</v>
      </c>
      <c r="AK334">
        <v>3.1</v>
      </c>
      <c r="AL334">
        <v>0.3</v>
      </c>
      <c r="AM334">
        <v>24</v>
      </c>
      <c r="AN334">
        <v>38</v>
      </c>
      <c r="AO334">
        <v>20</v>
      </c>
      <c r="AP334">
        <v>25</v>
      </c>
      <c r="AQ334" t="s">
        <v>2727</v>
      </c>
      <c r="AR334">
        <v>65</v>
      </c>
      <c r="AS334" t="s">
        <v>36</v>
      </c>
      <c r="AT334" t="s">
        <v>36</v>
      </c>
      <c r="AU334" s="4">
        <f>HYPERLINK("http://mlb.mlb.com/team/player.jsp?player_id=518468",518468)</f>
        <v>518468</v>
      </c>
      <c r="AV334">
        <v>0</v>
      </c>
      <c r="AW334">
        <v>0</v>
      </c>
      <c r="AX334">
        <v>8.6999999999999993</v>
      </c>
    </row>
    <row r="335" spans="1:50" x14ac:dyDescent="0.3">
      <c r="A335" s="4">
        <f>HYPERLINK("http://legacy.baseballprospectus.com/p/57923",57923)</f>
        <v>57923</v>
      </c>
      <c r="B335" t="s">
        <v>2643</v>
      </c>
      <c r="C335" t="s">
        <v>156</v>
      </c>
      <c r="D335" s="10">
        <v>32152</v>
      </c>
      <c r="E335" t="s">
        <v>9</v>
      </c>
      <c r="F335" t="s">
        <v>9</v>
      </c>
      <c r="G335">
        <v>72</v>
      </c>
      <c r="H335">
        <v>170</v>
      </c>
      <c r="I335">
        <v>2018</v>
      </c>
      <c r="J335" s="4" t="str">
        <f>HYPERLINK("http://legacy.baseballprospectus.com/fantasy/dc/index.php?tm=ANA","ANA")</f>
        <v>ANA</v>
      </c>
      <c r="K335" t="s">
        <v>95</v>
      </c>
      <c r="L335" t="s">
        <v>34</v>
      </c>
      <c r="M335">
        <v>30</v>
      </c>
      <c r="N335">
        <v>2</v>
      </c>
      <c r="O335">
        <v>0.9</v>
      </c>
      <c r="P335">
        <v>0.4</v>
      </c>
      <c r="Q335">
        <v>0</v>
      </c>
      <c r="R335">
        <v>1.1000000000000001</v>
      </c>
      <c r="S335">
        <v>0</v>
      </c>
      <c r="T335">
        <v>35.700000000000003</v>
      </c>
      <c r="U335">
        <v>1</v>
      </c>
      <c r="V335" s="9">
        <v>41.333300000000001</v>
      </c>
      <c r="W335">
        <v>180</v>
      </c>
      <c r="X335">
        <v>41</v>
      </c>
      <c r="Y335">
        <v>5</v>
      </c>
      <c r="Z335">
        <v>16</v>
      </c>
      <c r="AA335" t="s">
        <v>1680</v>
      </c>
      <c r="AB335">
        <v>3</v>
      </c>
      <c r="AC335">
        <v>37</v>
      </c>
      <c r="AD335">
        <v>3.6</v>
      </c>
      <c r="AE335">
        <v>8.1</v>
      </c>
      <c r="AF335" s="5">
        <v>0.50146019458770696</v>
      </c>
      <c r="AG335">
        <v>0.30199999999999999</v>
      </c>
      <c r="AH335">
        <v>1.4</v>
      </c>
      <c r="AI335">
        <v>4.66</v>
      </c>
      <c r="AJ335">
        <v>4.82</v>
      </c>
      <c r="AK335">
        <v>2.6</v>
      </c>
      <c r="AL335">
        <v>0.3</v>
      </c>
      <c r="AM335">
        <v>12</v>
      </c>
      <c r="AN335">
        <v>16</v>
      </c>
      <c r="AO335">
        <v>12</v>
      </c>
      <c r="AP335">
        <v>19</v>
      </c>
      <c r="AQ335" t="s">
        <v>2644</v>
      </c>
      <c r="AR335">
        <v>31</v>
      </c>
      <c r="AS335" t="s">
        <v>36</v>
      </c>
      <c r="AT335" t="s">
        <v>35</v>
      </c>
      <c r="AU335" s="4">
        <f>HYPERLINK("http://mlb.mlb.com/team/player.jsp?player_id=543261",543261)</f>
        <v>543261</v>
      </c>
      <c r="AV335">
        <v>0</v>
      </c>
      <c r="AW335">
        <v>0</v>
      </c>
      <c r="AX335">
        <v>0.7</v>
      </c>
    </row>
    <row r="336" spans="1:50" x14ac:dyDescent="0.3">
      <c r="A336" s="4">
        <f>HYPERLINK("http://legacy.baseballprospectus.com/p/59345",59345)</f>
        <v>59345</v>
      </c>
      <c r="B336" t="s">
        <v>953</v>
      </c>
      <c r="C336" t="s">
        <v>210</v>
      </c>
      <c r="D336" s="10">
        <v>32000</v>
      </c>
      <c r="E336" t="s">
        <v>37</v>
      </c>
      <c r="F336" t="s">
        <v>33</v>
      </c>
      <c r="G336">
        <v>73</v>
      </c>
      <c r="H336">
        <v>195</v>
      </c>
      <c r="I336">
        <v>2018</v>
      </c>
      <c r="J336" s="4" t="str">
        <f>HYPERLINK("http://legacy.baseballprospectus.com/fantasy/dc/index.php?tm=CIN","CIN")</f>
        <v>CIN</v>
      </c>
      <c r="K336" t="s">
        <v>100</v>
      </c>
      <c r="L336" t="s">
        <v>34</v>
      </c>
      <c r="M336">
        <v>30</v>
      </c>
      <c r="N336">
        <v>2.2999999999999998</v>
      </c>
      <c r="O336">
        <v>0.9</v>
      </c>
      <c r="P336">
        <v>0</v>
      </c>
      <c r="Q336">
        <v>0</v>
      </c>
      <c r="R336">
        <v>0.9</v>
      </c>
      <c r="S336">
        <v>0</v>
      </c>
      <c r="T336">
        <v>45.8</v>
      </c>
      <c r="U336">
        <v>0</v>
      </c>
      <c r="V336" s="9">
        <v>48.666699999999999</v>
      </c>
      <c r="W336">
        <v>205</v>
      </c>
      <c r="X336">
        <v>44</v>
      </c>
      <c r="Y336">
        <v>6</v>
      </c>
      <c r="Z336">
        <v>20</v>
      </c>
      <c r="AA336" t="s">
        <v>1680</v>
      </c>
      <c r="AB336">
        <v>5</v>
      </c>
      <c r="AC336">
        <v>49</v>
      </c>
      <c r="AD336">
        <v>3.8</v>
      </c>
      <c r="AE336">
        <v>9</v>
      </c>
      <c r="AF336" s="5">
        <v>0.46738871932029702</v>
      </c>
      <c r="AG336">
        <v>0.30599999999999999</v>
      </c>
      <c r="AH336">
        <v>1.33</v>
      </c>
      <c r="AI336">
        <v>4.3499999999999996</v>
      </c>
      <c r="AJ336">
        <v>4.6500000000000004</v>
      </c>
      <c r="AK336">
        <v>2.4</v>
      </c>
      <c r="AL336">
        <v>0.3</v>
      </c>
      <c r="AM336">
        <v>30</v>
      </c>
      <c r="AN336">
        <v>47</v>
      </c>
      <c r="AO336">
        <v>23</v>
      </c>
      <c r="AP336">
        <v>10</v>
      </c>
      <c r="AQ336" t="s">
        <v>2734</v>
      </c>
      <c r="AR336">
        <v>86</v>
      </c>
      <c r="AS336" t="s">
        <v>36</v>
      </c>
      <c r="AT336" t="s">
        <v>36</v>
      </c>
      <c r="AU336" s="4">
        <f>HYPERLINK("http://mlb.mlb.com/team/player.jsp?player_id=519322",519322)</f>
        <v>519322</v>
      </c>
      <c r="AV336">
        <v>0</v>
      </c>
      <c r="AW336">
        <v>0</v>
      </c>
      <c r="AX336">
        <v>54.7</v>
      </c>
    </row>
    <row r="337" spans="1:50" x14ac:dyDescent="0.3">
      <c r="A337" s="4">
        <f>HYPERLINK("http://legacy.baseballprospectus.com/p/59890",59890)</f>
        <v>59890</v>
      </c>
      <c r="B337" t="s">
        <v>1547</v>
      </c>
      <c r="C337" t="s">
        <v>1387</v>
      </c>
      <c r="D337" s="10">
        <v>33200</v>
      </c>
      <c r="E337" t="s">
        <v>33</v>
      </c>
      <c r="F337" t="s">
        <v>33</v>
      </c>
      <c r="G337">
        <v>76</v>
      </c>
      <c r="H337">
        <v>250</v>
      </c>
      <c r="I337">
        <v>2018</v>
      </c>
      <c r="J337" s="4" t="str">
        <f>HYPERLINK("http://legacy.baseballprospectus.com/fantasy/dc/index.php?tm=DET","DET")</f>
        <v>DET</v>
      </c>
      <c r="K337" t="s">
        <v>95</v>
      </c>
      <c r="L337" t="s">
        <v>34</v>
      </c>
      <c r="M337">
        <v>27</v>
      </c>
      <c r="N337">
        <v>1.6</v>
      </c>
      <c r="O337">
        <v>0.6</v>
      </c>
      <c r="P337">
        <v>0</v>
      </c>
      <c r="Q337">
        <v>0</v>
      </c>
      <c r="R337">
        <v>0.8</v>
      </c>
      <c r="S337">
        <v>0</v>
      </c>
      <c r="T337">
        <v>32.700000000000003</v>
      </c>
      <c r="U337">
        <v>0</v>
      </c>
      <c r="V337" s="9">
        <v>34.666699999999999</v>
      </c>
      <c r="W337">
        <v>155</v>
      </c>
      <c r="X337">
        <v>34</v>
      </c>
      <c r="Y337">
        <v>5</v>
      </c>
      <c r="Z337">
        <v>18</v>
      </c>
      <c r="AA337" t="s">
        <v>1680</v>
      </c>
      <c r="AB337">
        <v>1</v>
      </c>
      <c r="AC337">
        <v>38</v>
      </c>
      <c r="AD337">
        <v>4.7</v>
      </c>
      <c r="AE337">
        <v>10</v>
      </c>
      <c r="AF337" s="5">
        <v>0.42868554592132502</v>
      </c>
      <c r="AG337">
        <v>0.317</v>
      </c>
      <c r="AH337">
        <v>1.51</v>
      </c>
      <c r="AI337">
        <v>4.55</v>
      </c>
      <c r="AJ337">
        <v>4.57</v>
      </c>
      <c r="AK337">
        <v>2.2999999999999998</v>
      </c>
      <c r="AL337">
        <v>0.3</v>
      </c>
      <c r="AM337">
        <v>24</v>
      </c>
      <c r="AN337">
        <v>36</v>
      </c>
      <c r="AO337">
        <v>13</v>
      </c>
      <c r="AP337">
        <v>22</v>
      </c>
      <c r="AQ337" t="s">
        <v>3036</v>
      </c>
      <c r="AR337">
        <v>65</v>
      </c>
      <c r="AS337" t="s">
        <v>36</v>
      </c>
      <c r="AT337" t="s">
        <v>36</v>
      </c>
      <c r="AU337" s="4">
        <f>HYPERLINK("http://mlb.mlb.com/team/player.jsp?player_id=542609",542609)</f>
        <v>542609</v>
      </c>
      <c r="AV337">
        <v>0</v>
      </c>
      <c r="AW337">
        <v>0</v>
      </c>
      <c r="AX337">
        <v>0</v>
      </c>
    </row>
    <row r="338" spans="1:50" x14ac:dyDescent="0.3">
      <c r="A338" s="4">
        <f>HYPERLINK("http://legacy.baseballprospectus.com/p/60728",60728)</f>
        <v>60728</v>
      </c>
      <c r="B338" t="s">
        <v>373</v>
      </c>
      <c r="C338" t="s">
        <v>397</v>
      </c>
      <c r="D338" s="10">
        <v>32683</v>
      </c>
      <c r="E338" t="s">
        <v>9</v>
      </c>
      <c r="F338" t="s">
        <v>9</v>
      </c>
      <c r="G338">
        <v>71</v>
      </c>
      <c r="H338">
        <v>215</v>
      </c>
      <c r="I338">
        <v>2018</v>
      </c>
      <c r="J338" s="4" t="str">
        <f>HYPERLINK("http://legacy.baseballprospectus.com/fantasy/dc/index.php?tm=BOS","BOS")</f>
        <v>BOS</v>
      </c>
      <c r="K338" t="s">
        <v>95</v>
      </c>
      <c r="L338" t="s">
        <v>34</v>
      </c>
      <c r="M338">
        <v>29</v>
      </c>
      <c r="N338">
        <v>1.8</v>
      </c>
      <c r="O338">
        <v>1.2</v>
      </c>
      <c r="P338">
        <v>1.3</v>
      </c>
      <c r="Q338">
        <v>0</v>
      </c>
      <c r="R338">
        <v>0</v>
      </c>
      <c r="S338">
        <v>0</v>
      </c>
      <c r="T338">
        <v>21.3</v>
      </c>
      <c r="U338">
        <v>2.6</v>
      </c>
      <c r="V338" s="9">
        <v>33.666699999999999</v>
      </c>
      <c r="W338">
        <v>150</v>
      </c>
      <c r="X338">
        <v>34</v>
      </c>
      <c r="Y338">
        <v>3</v>
      </c>
      <c r="Z338">
        <v>15</v>
      </c>
      <c r="AA338" t="s">
        <v>1680</v>
      </c>
      <c r="AB338">
        <v>3</v>
      </c>
      <c r="AC338">
        <v>32</v>
      </c>
      <c r="AD338">
        <v>4.0999999999999996</v>
      </c>
      <c r="AE338">
        <v>8.6</v>
      </c>
      <c r="AF338" s="5">
        <v>0.46905720233917197</v>
      </c>
      <c r="AG338">
        <v>0.31900000000000001</v>
      </c>
      <c r="AH338">
        <v>1.45</v>
      </c>
      <c r="AI338">
        <v>4.2</v>
      </c>
      <c r="AJ338">
        <v>4.6100000000000003</v>
      </c>
      <c r="AK338">
        <v>3</v>
      </c>
      <c r="AL338">
        <v>0.3</v>
      </c>
      <c r="AM338">
        <v>32</v>
      </c>
      <c r="AN338">
        <v>52</v>
      </c>
      <c r="AO338">
        <v>23</v>
      </c>
      <c r="AP338">
        <v>17</v>
      </c>
      <c r="AQ338" t="s">
        <v>2736</v>
      </c>
      <c r="AR338">
        <v>93</v>
      </c>
      <c r="AS338" t="s">
        <v>36</v>
      </c>
      <c r="AT338" t="s">
        <v>36</v>
      </c>
      <c r="AU338" s="4">
        <f>HYPERLINK("http://mlb.mlb.com/team/player.jsp?player_id=543726",543726)</f>
        <v>543726</v>
      </c>
      <c r="AV338">
        <v>0</v>
      </c>
      <c r="AW338">
        <v>0</v>
      </c>
      <c r="AX338">
        <v>9</v>
      </c>
    </row>
    <row r="339" spans="1:50" x14ac:dyDescent="0.3">
      <c r="A339" s="4">
        <f>HYPERLINK("http://legacy.baseballprospectus.com/p/67604",67604)</f>
        <v>67604</v>
      </c>
      <c r="B339" t="s">
        <v>566</v>
      </c>
      <c r="C339" t="s">
        <v>1820</v>
      </c>
      <c r="D339" s="10">
        <v>33446</v>
      </c>
      <c r="E339" t="s">
        <v>9</v>
      </c>
      <c r="F339" t="s">
        <v>9</v>
      </c>
      <c r="G339">
        <v>72</v>
      </c>
      <c r="H339">
        <v>220</v>
      </c>
      <c r="I339">
        <v>2018</v>
      </c>
      <c r="J339" s="4" t="str">
        <f>HYPERLINK("http://legacy.baseballprospectus.com/fantasy/dc/index.php?tm=CIN","CIN")</f>
        <v>CIN</v>
      </c>
      <c r="K339" t="s">
        <v>100</v>
      </c>
      <c r="L339" t="s">
        <v>34</v>
      </c>
      <c r="M339">
        <v>26</v>
      </c>
      <c r="N339">
        <v>2.6</v>
      </c>
      <c r="O339">
        <v>2.7</v>
      </c>
      <c r="P339">
        <v>0</v>
      </c>
      <c r="Q339">
        <v>0</v>
      </c>
      <c r="R339">
        <v>2</v>
      </c>
      <c r="S339">
        <v>4</v>
      </c>
      <c r="T339">
        <v>54</v>
      </c>
      <c r="U339">
        <v>0</v>
      </c>
      <c r="V339" s="9">
        <v>56.666699999999999</v>
      </c>
      <c r="W339">
        <v>248</v>
      </c>
      <c r="X339">
        <v>55</v>
      </c>
      <c r="Y339">
        <v>7</v>
      </c>
      <c r="Z339">
        <v>26</v>
      </c>
      <c r="AA339">
        <v>2</v>
      </c>
      <c r="AB339">
        <v>2</v>
      </c>
      <c r="AC339">
        <v>51</v>
      </c>
      <c r="AD339">
        <v>4.2</v>
      </c>
      <c r="AE339">
        <v>8.1</v>
      </c>
      <c r="AF339" s="5">
        <v>0.503</v>
      </c>
      <c r="AG339">
        <v>0.29499999999999998</v>
      </c>
      <c r="AH339">
        <v>1.43</v>
      </c>
      <c r="AI339">
        <v>4.5999999999999996</v>
      </c>
      <c r="AJ339">
        <v>4.54</v>
      </c>
      <c r="AK339">
        <v>2.7</v>
      </c>
      <c r="AL339">
        <v>0.3</v>
      </c>
      <c r="AM339">
        <v>40</v>
      </c>
      <c r="AN339">
        <v>53</v>
      </c>
      <c r="AO339">
        <v>12</v>
      </c>
      <c r="AP339">
        <v>35</v>
      </c>
      <c r="AQ339" t="s">
        <v>2638</v>
      </c>
      <c r="AR339">
        <v>70</v>
      </c>
      <c r="AS339" t="s">
        <v>35</v>
      </c>
      <c r="AT339" t="s">
        <v>36</v>
      </c>
      <c r="AU339" s="4">
        <f>HYPERLINK("http://mlb.mlb.com/team/player.jsp?player_id=593974",593974)</f>
        <v>593974</v>
      </c>
      <c r="AV339">
        <v>1257</v>
      </c>
      <c r="AW339">
        <v>257</v>
      </c>
      <c r="AX339">
        <v>64.7</v>
      </c>
    </row>
    <row r="340" spans="1:50" x14ac:dyDescent="0.3">
      <c r="A340" s="4">
        <f>HYPERLINK("http://legacy.baseballprospectus.com/p/68372",68372)</f>
        <v>68372</v>
      </c>
      <c r="B340" t="s">
        <v>315</v>
      </c>
      <c r="C340" t="s">
        <v>353</v>
      </c>
      <c r="D340" s="10">
        <v>32270</v>
      </c>
      <c r="E340" t="s">
        <v>33</v>
      </c>
      <c r="F340" t="s">
        <v>33</v>
      </c>
      <c r="G340">
        <v>73</v>
      </c>
      <c r="H340">
        <v>205</v>
      </c>
      <c r="I340">
        <v>2018</v>
      </c>
      <c r="J340" s="4" t="str">
        <f>HYPERLINK("http://legacy.baseballprospectus.com/fantasy/dc/index.php?tm=SFN","SFN")</f>
        <v>SFN</v>
      </c>
      <c r="K340" t="s">
        <v>100</v>
      </c>
      <c r="L340" t="s">
        <v>34</v>
      </c>
      <c r="M340">
        <v>30</v>
      </c>
      <c r="N340">
        <v>2.9</v>
      </c>
      <c r="O340">
        <v>2.5</v>
      </c>
      <c r="P340">
        <v>0</v>
      </c>
      <c r="Q340">
        <v>0</v>
      </c>
      <c r="R340">
        <v>5</v>
      </c>
      <c r="S340">
        <v>4</v>
      </c>
      <c r="T340">
        <v>54</v>
      </c>
      <c r="U340">
        <v>0</v>
      </c>
      <c r="V340" s="9">
        <v>57.333300000000001</v>
      </c>
      <c r="W340">
        <v>251</v>
      </c>
      <c r="X340">
        <v>56</v>
      </c>
      <c r="Y340">
        <v>4</v>
      </c>
      <c r="Z340">
        <v>25</v>
      </c>
      <c r="AA340">
        <v>3</v>
      </c>
      <c r="AB340">
        <v>3</v>
      </c>
      <c r="AC340">
        <v>46</v>
      </c>
      <c r="AD340">
        <v>3.9</v>
      </c>
      <c r="AE340">
        <v>7.2</v>
      </c>
      <c r="AF340" s="5">
        <v>0.59199999999999997</v>
      </c>
      <c r="AG340">
        <v>0.29899999999999999</v>
      </c>
      <c r="AH340">
        <v>1.41</v>
      </c>
      <c r="AI340">
        <v>3.77</v>
      </c>
      <c r="AJ340">
        <v>4.47</v>
      </c>
      <c r="AK340">
        <v>3.1</v>
      </c>
      <c r="AL340">
        <v>0.3</v>
      </c>
      <c r="AM340">
        <v>28</v>
      </c>
      <c r="AN340">
        <v>55</v>
      </c>
      <c r="AO340">
        <v>24</v>
      </c>
      <c r="AP340">
        <v>15</v>
      </c>
      <c r="AQ340" t="s">
        <v>2639</v>
      </c>
      <c r="AR340">
        <v>84</v>
      </c>
      <c r="AS340" t="s">
        <v>35</v>
      </c>
      <c r="AT340" t="s">
        <v>36</v>
      </c>
      <c r="AU340" s="4">
        <f>HYPERLINK("http://mlb.mlb.com/team/player.jsp?player_id=473879",473879)</f>
        <v>473879</v>
      </c>
      <c r="AV340">
        <v>1287</v>
      </c>
      <c r="AW340">
        <v>287</v>
      </c>
      <c r="AX340">
        <v>54.7</v>
      </c>
    </row>
    <row r="341" spans="1:50" x14ac:dyDescent="0.3">
      <c r="A341" s="4">
        <f>HYPERLINK("http://legacy.baseballprospectus.com/p/68419",68419)</f>
        <v>68419</v>
      </c>
      <c r="B341" t="s">
        <v>1303</v>
      </c>
      <c r="C341" t="s">
        <v>724</v>
      </c>
      <c r="D341" s="10">
        <v>32719</v>
      </c>
      <c r="E341" t="s">
        <v>33</v>
      </c>
      <c r="F341" t="s">
        <v>33</v>
      </c>
      <c r="G341">
        <v>76</v>
      </c>
      <c r="H341">
        <v>215</v>
      </c>
      <c r="I341">
        <v>2018</v>
      </c>
      <c r="J341" s="4" t="str">
        <f>HYPERLINK("http://legacy.baseballprospectus.com/fantasy/dc/index.php?tm=KCA","KCA")</f>
        <v>KCA</v>
      </c>
      <c r="K341" t="s">
        <v>95</v>
      </c>
      <c r="L341" t="s">
        <v>34</v>
      </c>
      <c r="M341">
        <v>28</v>
      </c>
      <c r="N341">
        <v>1.6</v>
      </c>
      <c r="O341">
        <v>2.2999999999999998</v>
      </c>
      <c r="P341">
        <v>3</v>
      </c>
      <c r="Q341">
        <v>0</v>
      </c>
      <c r="R341">
        <v>0</v>
      </c>
      <c r="S341">
        <v>0</v>
      </c>
      <c r="T341">
        <v>6</v>
      </c>
      <c r="U341">
        <v>6</v>
      </c>
      <c r="V341" s="9">
        <v>31.666699999999999</v>
      </c>
      <c r="W341">
        <v>141</v>
      </c>
      <c r="X341">
        <v>33</v>
      </c>
      <c r="Y341">
        <v>4</v>
      </c>
      <c r="Z341">
        <v>13</v>
      </c>
      <c r="AA341">
        <v>1</v>
      </c>
      <c r="AB341">
        <v>1</v>
      </c>
      <c r="AC341">
        <v>24</v>
      </c>
      <c r="AD341">
        <v>3.6</v>
      </c>
      <c r="AE341">
        <v>6.7</v>
      </c>
      <c r="AF341" s="5">
        <v>0.48699999999999999</v>
      </c>
      <c r="AG341">
        <v>0.29599999999999999</v>
      </c>
      <c r="AH341">
        <v>1.47</v>
      </c>
      <c r="AI341">
        <v>4.53</v>
      </c>
      <c r="AJ341">
        <v>4.79</v>
      </c>
      <c r="AK341">
        <v>2.4</v>
      </c>
      <c r="AL341">
        <v>0.3</v>
      </c>
      <c r="AM341">
        <v>22</v>
      </c>
      <c r="AN341">
        <v>48</v>
      </c>
      <c r="AO341">
        <v>26</v>
      </c>
      <c r="AP341">
        <v>19</v>
      </c>
      <c r="AQ341" t="s">
        <v>2574</v>
      </c>
      <c r="AR341">
        <v>91</v>
      </c>
      <c r="AS341" t="s">
        <v>35</v>
      </c>
      <c r="AT341" t="s">
        <v>36</v>
      </c>
      <c r="AU341" s="4">
        <f>HYPERLINK("http://mlb.mlb.com/team/player.jsp?player_id=534910",534910)</f>
        <v>534910</v>
      </c>
      <c r="AV341">
        <v>70</v>
      </c>
      <c r="AW341">
        <v>1070</v>
      </c>
      <c r="AX341">
        <v>69.7</v>
      </c>
    </row>
    <row r="342" spans="1:50" x14ac:dyDescent="0.3">
      <c r="A342" s="4">
        <f>HYPERLINK("http://legacy.baseballprospectus.com/p/69169",69169)</f>
        <v>69169</v>
      </c>
      <c r="B342" t="s">
        <v>798</v>
      </c>
      <c r="C342" t="s">
        <v>173</v>
      </c>
      <c r="D342" s="10">
        <v>32982</v>
      </c>
      <c r="E342" t="s">
        <v>9</v>
      </c>
      <c r="F342" t="s">
        <v>9</v>
      </c>
      <c r="G342">
        <v>79</v>
      </c>
      <c r="H342">
        <v>250</v>
      </c>
      <c r="I342">
        <v>2018</v>
      </c>
      <c r="J342" s="4" t="str">
        <f>HYPERLINK("http://legacy.baseballprospectus.com/fantasy/dc/index.php?tm=KCA","KCA")</f>
        <v>KCA</v>
      </c>
      <c r="K342" t="s">
        <v>95</v>
      </c>
      <c r="L342" t="s">
        <v>34</v>
      </c>
      <c r="M342">
        <v>28</v>
      </c>
      <c r="N342">
        <v>2.2000000000000002</v>
      </c>
      <c r="O342">
        <v>2.6</v>
      </c>
      <c r="P342">
        <v>0</v>
      </c>
      <c r="Q342">
        <v>0</v>
      </c>
      <c r="R342">
        <v>0</v>
      </c>
      <c r="S342">
        <v>4</v>
      </c>
      <c r="T342">
        <v>49</v>
      </c>
      <c r="U342">
        <v>0</v>
      </c>
      <c r="V342" s="9">
        <v>51.666699999999999</v>
      </c>
      <c r="W342">
        <v>226</v>
      </c>
      <c r="X342">
        <v>52</v>
      </c>
      <c r="Y342">
        <v>7</v>
      </c>
      <c r="Z342">
        <v>22</v>
      </c>
      <c r="AA342">
        <v>2</v>
      </c>
      <c r="AB342">
        <v>2</v>
      </c>
      <c r="AC342">
        <v>48</v>
      </c>
      <c r="AD342">
        <v>3.8</v>
      </c>
      <c r="AE342">
        <v>8.4</v>
      </c>
      <c r="AF342" s="5">
        <v>0.47299999999999998</v>
      </c>
      <c r="AG342">
        <v>0.30299999999999999</v>
      </c>
      <c r="AH342">
        <v>1.43</v>
      </c>
      <c r="AI342">
        <v>4.75</v>
      </c>
      <c r="AJ342">
        <v>4.79</v>
      </c>
      <c r="AK342">
        <v>2.5</v>
      </c>
      <c r="AL342">
        <v>0.3</v>
      </c>
      <c r="AM342">
        <v>26</v>
      </c>
      <c r="AN342">
        <v>44</v>
      </c>
      <c r="AO342">
        <v>13</v>
      </c>
      <c r="AP342">
        <v>27</v>
      </c>
      <c r="AQ342" t="s">
        <v>2652</v>
      </c>
      <c r="AR342">
        <v>66</v>
      </c>
      <c r="AS342" t="s">
        <v>35</v>
      </c>
      <c r="AT342" t="s">
        <v>36</v>
      </c>
      <c r="AU342" s="4">
        <f>HYPERLINK("http://mlb.mlb.com/team/player.jsp?player_id=543169",543169)</f>
        <v>543169</v>
      </c>
      <c r="AV342">
        <v>126</v>
      </c>
      <c r="AW342">
        <v>1126</v>
      </c>
      <c r="AX342">
        <v>2.2999999999999998</v>
      </c>
    </row>
    <row r="343" spans="1:50" x14ac:dyDescent="0.3">
      <c r="A343" s="4">
        <f>HYPERLINK("http://legacy.baseballprospectus.com/p/69377",69377)</f>
        <v>69377</v>
      </c>
      <c r="B343" t="s">
        <v>1674</v>
      </c>
      <c r="C343" t="s">
        <v>119</v>
      </c>
      <c r="D343" s="10">
        <v>34322</v>
      </c>
      <c r="E343" t="s">
        <v>33</v>
      </c>
      <c r="F343" t="s">
        <v>33</v>
      </c>
      <c r="G343">
        <v>72</v>
      </c>
      <c r="H343">
        <v>190</v>
      </c>
      <c r="I343">
        <v>2018</v>
      </c>
      <c r="J343" s="4" t="str">
        <f>HYPERLINK("http://legacy.baseballprospectus.com/fantasy/dc/index.php?tm=TEX","TEX")</f>
        <v>TEX</v>
      </c>
      <c r="K343" t="s">
        <v>95</v>
      </c>
      <c r="L343" t="s">
        <v>34</v>
      </c>
      <c r="M343">
        <v>24</v>
      </c>
      <c r="N343">
        <v>1.2</v>
      </c>
      <c r="O343">
        <v>1.3</v>
      </c>
      <c r="P343">
        <v>0</v>
      </c>
      <c r="Q343">
        <v>0</v>
      </c>
      <c r="R343">
        <v>0</v>
      </c>
      <c r="S343">
        <v>1</v>
      </c>
      <c r="T343">
        <v>25</v>
      </c>
      <c r="U343">
        <v>0</v>
      </c>
      <c r="V343" s="9">
        <v>26.333300000000001</v>
      </c>
      <c r="W343">
        <v>115</v>
      </c>
      <c r="X343">
        <v>22</v>
      </c>
      <c r="Y343">
        <v>3</v>
      </c>
      <c r="Z343">
        <v>15</v>
      </c>
      <c r="AA343">
        <v>1</v>
      </c>
      <c r="AB343">
        <v>1</v>
      </c>
      <c r="AC343">
        <v>30</v>
      </c>
      <c r="AD343">
        <v>5.3</v>
      </c>
      <c r="AE343">
        <v>10.4</v>
      </c>
      <c r="AF343" s="5">
        <v>0.38500000000000001</v>
      </c>
      <c r="AG343">
        <v>0.29099999999999998</v>
      </c>
      <c r="AH343">
        <v>1.41</v>
      </c>
      <c r="AI343">
        <v>4.1500000000000004</v>
      </c>
      <c r="AJ343">
        <v>4.16</v>
      </c>
      <c r="AK343">
        <v>2.9</v>
      </c>
      <c r="AL343">
        <v>0.3</v>
      </c>
      <c r="AM343">
        <v>23</v>
      </c>
      <c r="AN343">
        <v>34</v>
      </c>
      <c r="AO343">
        <v>15</v>
      </c>
      <c r="AP343">
        <v>32</v>
      </c>
      <c r="AQ343" t="s">
        <v>2653</v>
      </c>
      <c r="AR343">
        <v>64</v>
      </c>
      <c r="AS343" t="s">
        <v>35</v>
      </c>
      <c r="AT343" t="s">
        <v>36</v>
      </c>
      <c r="AU343" s="4">
        <f>HYPERLINK("http://mlb.mlb.com/team/player.jsp?player_id=600917",600917)</f>
        <v>600917</v>
      </c>
      <c r="AV343">
        <v>289</v>
      </c>
      <c r="AW343">
        <v>1289</v>
      </c>
      <c r="AX343">
        <v>45.7</v>
      </c>
    </row>
    <row r="344" spans="1:50" x14ac:dyDescent="0.3">
      <c r="A344" s="4">
        <f>HYPERLINK("http://legacy.baseballprospectus.com/p/69856",69856)</f>
        <v>69856</v>
      </c>
      <c r="B344" t="s">
        <v>1587</v>
      </c>
      <c r="C344" t="s">
        <v>1197</v>
      </c>
      <c r="D344" s="10">
        <v>33055</v>
      </c>
      <c r="E344" t="s">
        <v>33</v>
      </c>
      <c r="F344" t="s">
        <v>33</v>
      </c>
      <c r="G344">
        <v>77</v>
      </c>
      <c r="H344">
        <v>225</v>
      </c>
      <c r="I344">
        <v>2018</v>
      </c>
      <c r="J344" s="4" t="str">
        <f>HYPERLINK("http://legacy.baseballprospectus.com/fantasy/dc/index.php?tm=SDN","SDN")</f>
        <v>SDN</v>
      </c>
      <c r="K344" t="s">
        <v>100</v>
      </c>
      <c r="L344" t="s">
        <v>34</v>
      </c>
      <c r="M344">
        <v>27</v>
      </c>
      <c r="N344">
        <v>3.7</v>
      </c>
      <c r="O344">
        <v>4.4000000000000004</v>
      </c>
      <c r="P344">
        <v>4</v>
      </c>
      <c r="Q344">
        <v>0</v>
      </c>
      <c r="R344">
        <v>0</v>
      </c>
      <c r="S344">
        <v>0</v>
      </c>
      <c r="T344">
        <v>35</v>
      </c>
      <c r="U344">
        <v>8</v>
      </c>
      <c r="V344" s="9">
        <v>70.666700000000006</v>
      </c>
      <c r="W344">
        <v>307</v>
      </c>
      <c r="X344">
        <v>68</v>
      </c>
      <c r="Y344">
        <v>8</v>
      </c>
      <c r="Z344">
        <v>29</v>
      </c>
      <c r="AA344">
        <v>2</v>
      </c>
      <c r="AB344">
        <v>4</v>
      </c>
      <c r="AC344">
        <v>61</v>
      </c>
      <c r="AD344">
        <v>3.7</v>
      </c>
      <c r="AE344">
        <v>7.8</v>
      </c>
      <c r="AF344" s="5">
        <v>0.46500000000000002</v>
      </c>
      <c r="AG344">
        <v>0.29199999999999998</v>
      </c>
      <c r="AH344">
        <v>1.36</v>
      </c>
      <c r="AI344">
        <v>4.3499999999999996</v>
      </c>
      <c r="AJ344">
        <v>4.7699999999999996</v>
      </c>
      <c r="AK344">
        <v>2.8</v>
      </c>
      <c r="AL344">
        <v>0.3</v>
      </c>
      <c r="AM344">
        <v>28</v>
      </c>
      <c r="AN344">
        <v>47</v>
      </c>
      <c r="AO344">
        <v>17</v>
      </c>
      <c r="AP344">
        <v>16</v>
      </c>
      <c r="AQ344" t="s">
        <v>2473</v>
      </c>
      <c r="AR344">
        <v>79</v>
      </c>
      <c r="AS344" t="s">
        <v>35</v>
      </c>
      <c r="AT344" t="s">
        <v>36</v>
      </c>
      <c r="AU344" s="4">
        <f>HYPERLINK("http://mlb.mlb.com/team/player.jsp?player_id=607067",607067)</f>
        <v>607067</v>
      </c>
      <c r="AV344">
        <v>1143</v>
      </c>
      <c r="AW344">
        <v>143</v>
      </c>
      <c r="AX344">
        <v>0</v>
      </c>
    </row>
    <row r="345" spans="1:50" x14ac:dyDescent="0.3">
      <c r="A345" s="4">
        <f>HYPERLINK("http://legacy.baseballprospectus.com/p/70434",70434)</f>
        <v>70434</v>
      </c>
      <c r="B345" t="s">
        <v>743</v>
      </c>
      <c r="C345" t="s">
        <v>233</v>
      </c>
      <c r="D345" s="10">
        <v>33092</v>
      </c>
      <c r="E345" t="s">
        <v>33</v>
      </c>
      <c r="F345" t="s">
        <v>33</v>
      </c>
      <c r="G345">
        <v>77</v>
      </c>
      <c r="H345">
        <v>230</v>
      </c>
      <c r="I345">
        <v>2018</v>
      </c>
      <c r="J345" s="4" t="str">
        <f>HYPERLINK("http://legacy.baseballprospectus.com/fantasy/dc/index.php?tm=SDN","SDN")</f>
        <v>SDN</v>
      </c>
      <c r="K345" t="s">
        <v>100</v>
      </c>
      <c r="L345" t="s">
        <v>34</v>
      </c>
      <c r="M345">
        <v>27</v>
      </c>
      <c r="N345">
        <v>2</v>
      </c>
      <c r="O345">
        <v>1.8</v>
      </c>
      <c r="P345">
        <v>0</v>
      </c>
      <c r="Q345">
        <v>0</v>
      </c>
      <c r="R345">
        <v>0</v>
      </c>
      <c r="S345">
        <v>1</v>
      </c>
      <c r="T345">
        <v>38</v>
      </c>
      <c r="U345">
        <v>0</v>
      </c>
      <c r="V345" s="9">
        <v>39.666699999999999</v>
      </c>
      <c r="W345">
        <v>171</v>
      </c>
      <c r="X345">
        <v>35</v>
      </c>
      <c r="Y345">
        <v>5</v>
      </c>
      <c r="Z345">
        <v>18</v>
      </c>
      <c r="AA345">
        <v>1</v>
      </c>
      <c r="AB345">
        <v>1</v>
      </c>
      <c r="AC345">
        <v>45</v>
      </c>
      <c r="AD345">
        <v>4.0999999999999996</v>
      </c>
      <c r="AE345">
        <v>10.1</v>
      </c>
      <c r="AF345" s="5">
        <v>0.45800000000000002</v>
      </c>
      <c r="AG345">
        <v>0.29899999999999999</v>
      </c>
      <c r="AH345">
        <v>1.34</v>
      </c>
      <c r="AI345">
        <v>3.79</v>
      </c>
      <c r="AJ345">
        <v>4.24</v>
      </c>
      <c r="AK345">
        <v>3.1</v>
      </c>
      <c r="AL345">
        <v>0.3</v>
      </c>
      <c r="AM345">
        <v>39</v>
      </c>
      <c r="AN345">
        <v>56</v>
      </c>
      <c r="AO345">
        <v>19</v>
      </c>
      <c r="AP345">
        <v>16</v>
      </c>
      <c r="AQ345" t="s">
        <v>2575</v>
      </c>
      <c r="AR345">
        <v>93</v>
      </c>
      <c r="AS345" t="s">
        <v>35</v>
      </c>
      <c r="AT345" t="s">
        <v>36</v>
      </c>
      <c r="AU345" s="4">
        <f>HYPERLINK("http://mlb.mlb.com/team/player.jsp?player_id=605169",605169)</f>
        <v>605169</v>
      </c>
      <c r="AV345">
        <v>1335</v>
      </c>
      <c r="AW345">
        <v>335</v>
      </c>
      <c r="AX345">
        <v>12.3</v>
      </c>
    </row>
    <row r="346" spans="1:50" x14ac:dyDescent="0.3">
      <c r="A346" s="4">
        <f>HYPERLINK("http://legacy.baseballprospectus.com/p/70472",70472)</f>
        <v>70472</v>
      </c>
      <c r="B346" t="s">
        <v>526</v>
      </c>
      <c r="C346" t="s">
        <v>313</v>
      </c>
      <c r="D346" s="10">
        <v>32931</v>
      </c>
      <c r="E346" t="s">
        <v>9</v>
      </c>
      <c r="F346" t="s">
        <v>9</v>
      </c>
      <c r="G346">
        <v>73</v>
      </c>
      <c r="H346">
        <v>200</v>
      </c>
      <c r="I346">
        <v>2018</v>
      </c>
      <c r="J346" s="4" t="str">
        <f>HYPERLINK("http://legacy.baseballprospectus.com/fantasy/dc/index.php?tm=PHI","PHI")</f>
        <v>PHI</v>
      </c>
      <c r="K346" t="s">
        <v>100</v>
      </c>
      <c r="L346" t="s">
        <v>34</v>
      </c>
      <c r="M346">
        <v>28</v>
      </c>
      <c r="N346">
        <v>3.7</v>
      </c>
      <c r="O346">
        <v>3.8</v>
      </c>
      <c r="P346">
        <v>1</v>
      </c>
      <c r="Q346">
        <v>0</v>
      </c>
      <c r="R346">
        <v>0</v>
      </c>
      <c r="S346">
        <v>1</v>
      </c>
      <c r="T346">
        <v>58</v>
      </c>
      <c r="U346">
        <v>3</v>
      </c>
      <c r="V346" s="9">
        <v>73.666700000000006</v>
      </c>
      <c r="W346">
        <v>318</v>
      </c>
      <c r="X346">
        <v>73</v>
      </c>
      <c r="Y346">
        <v>11</v>
      </c>
      <c r="Z346">
        <v>27</v>
      </c>
      <c r="AA346">
        <v>3</v>
      </c>
      <c r="AB346">
        <v>3</v>
      </c>
      <c r="AC346">
        <v>71</v>
      </c>
      <c r="AD346">
        <v>3.4</v>
      </c>
      <c r="AE346">
        <v>8.6999999999999993</v>
      </c>
      <c r="AF346" s="5">
        <v>0.41599999999999998</v>
      </c>
      <c r="AG346">
        <v>0.29899999999999999</v>
      </c>
      <c r="AH346">
        <v>1.37</v>
      </c>
      <c r="AI346">
        <v>4.54</v>
      </c>
      <c r="AJ346">
        <v>4.63</v>
      </c>
      <c r="AK346">
        <v>3.2</v>
      </c>
      <c r="AL346">
        <v>0.3</v>
      </c>
      <c r="AM346">
        <v>27</v>
      </c>
      <c r="AN346">
        <v>41</v>
      </c>
      <c r="AO346">
        <v>21</v>
      </c>
      <c r="AP346">
        <v>37</v>
      </c>
      <c r="AQ346" t="s">
        <v>2576</v>
      </c>
      <c r="AR346">
        <v>78</v>
      </c>
      <c r="AS346" t="s">
        <v>35</v>
      </c>
      <c r="AT346" t="s">
        <v>36</v>
      </c>
      <c r="AU346" s="4">
        <f>HYPERLINK("http://mlb.mlb.com/team/player.jsp?player_id=605388",605388)</f>
        <v>605388</v>
      </c>
      <c r="AV346">
        <v>1082</v>
      </c>
      <c r="AW346">
        <v>82</v>
      </c>
      <c r="AX346">
        <v>54.7</v>
      </c>
    </row>
    <row r="347" spans="1:50" x14ac:dyDescent="0.3">
      <c r="A347" s="4">
        <f>HYPERLINK("http://legacy.baseballprospectus.com/p/70498",70498)</f>
        <v>70498</v>
      </c>
      <c r="B347" t="s">
        <v>988</v>
      </c>
      <c r="C347" t="s">
        <v>142</v>
      </c>
      <c r="D347" s="10">
        <v>32876</v>
      </c>
      <c r="E347" t="s">
        <v>33</v>
      </c>
      <c r="F347" t="s">
        <v>33</v>
      </c>
      <c r="G347">
        <v>78</v>
      </c>
      <c r="H347">
        <v>215</v>
      </c>
      <c r="I347">
        <v>2018</v>
      </c>
      <c r="J347" s="4" t="str">
        <f>HYPERLINK("http://legacy.baseballprospectus.com/fantasy/dc/index.php?tm=BAL","BAL")</f>
        <v>BAL</v>
      </c>
      <c r="K347" t="s">
        <v>95</v>
      </c>
      <c r="L347" t="s">
        <v>34</v>
      </c>
      <c r="M347">
        <v>28</v>
      </c>
      <c r="N347">
        <v>3.6</v>
      </c>
      <c r="O347">
        <v>4.5999999999999996</v>
      </c>
      <c r="P347">
        <v>3</v>
      </c>
      <c r="Q347">
        <v>0</v>
      </c>
      <c r="R347">
        <v>0</v>
      </c>
      <c r="S347">
        <v>0</v>
      </c>
      <c r="T347">
        <v>34</v>
      </c>
      <c r="U347">
        <v>8</v>
      </c>
      <c r="V347" s="9">
        <v>73</v>
      </c>
      <c r="W347">
        <v>322</v>
      </c>
      <c r="X347">
        <v>77</v>
      </c>
      <c r="Y347">
        <v>12</v>
      </c>
      <c r="Z347">
        <v>29</v>
      </c>
      <c r="AA347">
        <v>2</v>
      </c>
      <c r="AB347">
        <v>4</v>
      </c>
      <c r="AC347">
        <v>59</v>
      </c>
      <c r="AD347">
        <v>3.5</v>
      </c>
      <c r="AE347">
        <v>7.3</v>
      </c>
      <c r="AF347" s="5">
        <v>0.436</v>
      </c>
      <c r="AG347">
        <v>0.29599999999999999</v>
      </c>
      <c r="AH347">
        <v>1.45</v>
      </c>
      <c r="AI347">
        <v>5.0599999999999996</v>
      </c>
      <c r="AJ347">
        <v>5.09</v>
      </c>
      <c r="AK347">
        <v>2.5</v>
      </c>
      <c r="AL347">
        <v>0.3</v>
      </c>
      <c r="AM347">
        <v>25</v>
      </c>
      <c r="AN347">
        <v>42</v>
      </c>
      <c r="AO347">
        <v>17</v>
      </c>
      <c r="AP347">
        <v>32</v>
      </c>
      <c r="AQ347" t="s">
        <v>2577</v>
      </c>
      <c r="AR347">
        <v>66</v>
      </c>
      <c r="AS347" t="s">
        <v>35</v>
      </c>
      <c r="AT347" t="s">
        <v>36</v>
      </c>
      <c r="AU347" s="4">
        <f>HYPERLINK("http://mlb.mlb.com/team/player.jsp?player_id=605541",605541)</f>
        <v>605541</v>
      </c>
      <c r="AV347">
        <v>99</v>
      </c>
      <c r="AW347">
        <v>1099</v>
      </c>
      <c r="AX347">
        <v>25</v>
      </c>
    </row>
    <row r="348" spans="1:50" x14ac:dyDescent="0.3">
      <c r="A348" s="4">
        <f>HYPERLINK("http://legacy.baseballprospectus.com/p/70759",70759)</f>
        <v>70759</v>
      </c>
      <c r="B348" t="s">
        <v>1510</v>
      </c>
      <c r="C348" t="s">
        <v>258</v>
      </c>
      <c r="D348" s="10">
        <v>34112</v>
      </c>
      <c r="E348" t="s">
        <v>33</v>
      </c>
      <c r="F348" t="s">
        <v>33</v>
      </c>
      <c r="G348">
        <v>75</v>
      </c>
      <c r="H348">
        <v>210</v>
      </c>
      <c r="I348">
        <v>2018</v>
      </c>
      <c r="J348" s="4" t="str">
        <f>HYPERLINK("http://legacy.baseballprospectus.com/fantasy/dc/index.php?tm=SFN","SFN")</f>
        <v>SFN</v>
      </c>
      <c r="K348" t="s">
        <v>100</v>
      </c>
      <c r="L348" t="s">
        <v>34</v>
      </c>
      <c r="M348">
        <v>25</v>
      </c>
      <c r="N348">
        <v>4.7</v>
      </c>
      <c r="O348">
        <v>5.2</v>
      </c>
      <c r="P348">
        <v>7</v>
      </c>
      <c r="Q348">
        <v>0</v>
      </c>
      <c r="R348">
        <v>0</v>
      </c>
      <c r="S348">
        <v>0</v>
      </c>
      <c r="T348">
        <v>15</v>
      </c>
      <c r="U348">
        <v>15</v>
      </c>
      <c r="V348" s="9">
        <v>79.666700000000006</v>
      </c>
      <c r="W348">
        <v>338</v>
      </c>
      <c r="X348">
        <v>78</v>
      </c>
      <c r="Y348">
        <v>10</v>
      </c>
      <c r="Z348">
        <v>27</v>
      </c>
      <c r="AA348">
        <v>2</v>
      </c>
      <c r="AB348">
        <v>2</v>
      </c>
      <c r="AC348">
        <v>69</v>
      </c>
      <c r="AD348">
        <v>3.1</v>
      </c>
      <c r="AE348">
        <v>7.8</v>
      </c>
      <c r="AF348" s="5">
        <v>0.49199999999999999</v>
      </c>
      <c r="AG348">
        <v>0.29599999999999999</v>
      </c>
      <c r="AH348">
        <v>1.33</v>
      </c>
      <c r="AI348">
        <v>4.0999999999999996</v>
      </c>
      <c r="AJ348">
        <v>4.9000000000000004</v>
      </c>
      <c r="AK348">
        <v>3</v>
      </c>
      <c r="AL348">
        <v>0.3</v>
      </c>
      <c r="AM348">
        <v>14</v>
      </c>
      <c r="AN348">
        <v>16</v>
      </c>
      <c r="AO348">
        <v>13</v>
      </c>
      <c r="AP348">
        <v>26</v>
      </c>
      <c r="AQ348" t="s">
        <v>2477</v>
      </c>
      <c r="AR348">
        <v>39</v>
      </c>
      <c r="AS348" t="s">
        <v>35</v>
      </c>
      <c r="AT348" t="s">
        <v>35</v>
      </c>
      <c r="AU348" s="4">
        <f>HYPERLINK("http://mlb.mlb.com/team/player.jsp?player_id=595881",595881)</f>
        <v>595881</v>
      </c>
      <c r="AV348">
        <v>1214</v>
      </c>
      <c r="AW348">
        <v>214</v>
      </c>
      <c r="AX348">
        <v>0</v>
      </c>
    </row>
    <row r="349" spans="1:50" x14ac:dyDescent="0.3">
      <c r="A349" s="4">
        <f>HYPERLINK("http://legacy.baseballprospectus.com/p/70826",70826)</f>
        <v>70826</v>
      </c>
      <c r="B349" t="s">
        <v>1276</v>
      </c>
      <c r="C349" t="s">
        <v>373</v>
      </c>
      <c r="D349" s="10">
        <v>32835</v>
      </c>
      <c r="E349" t="s">
        <v>33</v>
      </c>
      <c r="F349" t="s">
        <v>33</v>
      </c>
      <c r="G349">
        <v>75</v>
      </c>
      <c r="H349">
        <v>210</v>
      </c>
      <c r="I349">
        <v>2018</v>
      </c>
      <c r="J349" s="4" t="str">
        <f>HYPERLINK("http://legacy.baseballprospectus.com/fantasy/dc/index.php?tm=LAN","LAN")</f>
        <v>LAN</v>
      </c>
      <c r="K349" t="s">
        <v>100</v>
      </c>
      <c r="L349" t="s">
        <v>34</v>
      </c>
      <c r="M349">
        <v>28</v>
      </c>
      <c r="N349">
        <v>4.7</v>
      </c>
      <c r="O349">
        <v>3.6</v>
      </c>
      <c r="P349">
        <v>2</v>
      </c>
      <c r="Q349">
        <v>0</v>
      </c>
      <c r="R349">
        <v>0</v>
      </c>
      <c r="S349">
        <v>0</v>
      </c>
      <c r="T349">
        <v>55</v>
      </c>
      <c r="U349">
        <v>5</v>
      </c>
      <c r="V349" s="9">
        <v>79.333299999999994</v>
      </c>
      <c r="W349">
        <v>337</v>
      </c>
      <c r="X349">
        <v>76</v>
      </c>
      <c r="Y349">
        <v>12</v>
      </c>
      <c r="Z349">
        <v>30</v>
      </c>
      <c r="AA349">
        <v>3</v>
      </c>
      <c r="AB349">
        <v>2</v>
      </c>
      <c r="AC349">
        <v>74</v>
      </c>
      <c r="AD349">
        <v>3.4</v>
      </c>
      <c r="AE349">
        <v>8.4</v>
      </c>
      <c r="AF349" s="5">
        <v>0.48599999999999999</v>
      </c>
      <c r="AG349">
        <v>0.29199999999999998</v>
      </c>
      <c r="AH349">
        <v>1.33</v>
      </c>
      <c r="AI349">
        <v>4.3</v>
      </c>
      <c r="AJ349">
        <v>4.7300000000000004</v>
      </c>
      <c r="AK349">
        <v>2.9</v>
      </c>
      <c r="AL349">
        <v>0.3</v>
      </c>
      <c r="AM349">
        <v>20</v>
      </c>
      <c r="AN349">
        <v>53</v>
      </c>
      <c r="AO349">
        <v>14</v>
      </c>
      <c r="AP349">
        <v>25</v>
      </c>
      <c r="AQ349" t="s">
        <v>2429</v>
      </c>
      <c r="AR349">
        <v>85</v>
      </c>
      <c r="AS349" t="s">
        <v>35</v>
      </c>
      <c r="AT349" t="s">
        <v>36</v>
      </c>
      <c r="AU349" s="4">
        <f>HYPERLINK("http://mlb.mlb.com/team/player.jsp?player_id=548389",548389)</f>
        <v>548389</v>
      </c>
      <c r="AV349">
        <v>1068</v>
      </c>
      <c r="AW349">
        <v>68</v>
      </c>
      <c r="AX349">
        <v>74.3</v>
      </c>
    </row>
    <row r="350" spans="1:50" x14ac:dyDescent="0.3">
      <c r="A350" s="4">
        <f>HYPERLINK("http://legacy.baseballprospectus.com/p/70946",70946)</f>
        <v>70946</v>
      </c>
      <c r="B350" t="s">
        <v>451</v>
      </c>
      <c r="C350" t="s">
        <v>1195</v>
      </c>
      <c r="D350" s="10">
        <v>33727</v>
      </c>
      <c r="E350" t="s">
        <v>33</v>
      </c>
      <c r="F350" t="s">
        <v>9</v>
      </c>
      <c r="G350">
        <v>77</v>
      </c>
      <c r="H350">
        <v>228</v>
      </c>
      <c r="I350">
        <v>2018</v>
      </c>
      <c r="J350" s="4" t="str">
        <f>HYPERLINK("http://legacy.baseballprospectus.com/fantasy/dc/index.php?tm=CIN","CIN")</f>
        <v>CIN</v>
      </c>
      <c r="K350" t="s">
        <v>100</v>
      </c>
      <c r="L350" t="s">
        <v>34</v>
      </c>
      <c r="M350">
        <v>26</v>
      </c>
      <c r="N350">
        <v>5.7</v>
      </c>
      <c r="O350">
        <v>7.3</v>
      </c>
      <c r="P350">
        <v>8</v>
      </c>
      <c r="Q350">
        <v>0</v>
      </c>
      <c r="R350">
        <v>0</v>
      </c>
      <c r="S350">
        <v>0</v>
      </c>
      <c r="T350">
        <v>29</v>
      </c>
      <c r="U350">
        <v>18</v>
      </c>
      <c r="V350" s="9">
        <v>106.66670000000001</v>
      </c>
      <c r="W350">
        <v>461</v>
      </c>
      <c r="X350">
        <v>102</v>
      </c>
      <c r="Y350">
        <v>19</v>
      </c>
      <c r="Z350">
        <v>46</v>
      </c>
      <c r="AA350">
        <v>3</v>
      </c>
      <c r="AB350">
        <v>4</v>
      </c>
      <c r="AC350">
        <v>102</v>
      </c>
      <c r="AD350">
        <v>3.9</v>
      </c>
      <c r="AE350">
        <v>8.6</v>
      </c>
      <c r="AF350" s="5">
        <v>0.436</v>
      </c>
      <c r="AG350">
        <v>0.28799999999999998</v>
      </c>
      <c r="AH350">
        <v>1.37</v>
      </c>
      <c r="AI350">
        <v>4.9800000000000004</v>
      </c>
      <c r="AJ350">
        <v>5.01</v>
      </c>
      <c r="AK350">
        <v>2.5</v>
      </c>
      <c r="AL350">
        <v>0.3</v>
      </c>
      <c r="AM350">
        <v>19</v>
      </c>
      <c r="AN350">
        <v>34</v>
      </c>
      <c r="AO350">
        <v>15</v>
      </c>
      <c r="AP350">
        <v>40</v>
      </c>
      <c r="AQ350" t="s">
        <v>3062</v>
      </c>
      <c r="AR350">
        <v>55</v>
      </c>
      <c r="AS350" t="s">
        <v>35</v>
      </c>
      <c r="AT350" t="s">
        <v>36</v>
      </c>
      <c r="AU350" s="4">
        <f>HYPERLINK("http://mlb.mlb.com/team/player.jsp?player_id=607237",607237)</f>
        <v>607237</v>
      </c>
      <c r="AV350">
        <v>1071</v>
      </c>
      <c r="AW350">
        <v>71</v>
      </c>
      <c r="AX350">
        <v>70.7</v>
      </c>
    </row>
    <row r="351" spans="1:50" x14ac:dyDescent="0.3">
      <c r="A351" s="4">
        <f>HYPERLINK("http://legacy.baseballprospectus.com/p/100322",100322)</f>
        <v>100322</v>
      </c>
      <c r="B351" t="s">
        <v>2040</v>
      </c>
      <c r="C351" t="s">
        <v>210</v>
      </c>
      <c r="D351" s="10">
        <v>33248</v>
      </c>
      <c r="E351" t="s">
        <v>33</v>
      </c>
      <c r="F351" t="s">
        <v>33</v>
      </c>
      <c r="G351">
        <v>77</v>
      </c>
      <c r="H351">
        <v>215</v>
      </c>
      <c r="I351">
        <v>2018</v>
      </c>
      <c r="J351" s="4" t="str">
        <f>HYPERLINK("http://legacy.baseballprospectus.com/fantasy/dc/index.php?tm=MIA","MIA")</f>
        <v>MIA</v>
      </c>
      <c r="K351" t="s">
        <v>100</v>
      </c>
      <c r="L351" t="s">
        <v>34</v>
      </c>
      <c r="M351">
        <v>27</v>
      </c>
      <c r="N351">
        <v>1.9</v>
      </c>
      <c r="O351">
        <v>2.2000000000000002</v>
      </c>
      <c r="P351">
        <v>0</v>
      </c>
      <c r="Q351">
        <v>0</v>
      </c>
      <c r="R351">
        <v>0</v>
      </c>
      <c r="S351">
        <v>1</v>
      </c>
      <c r="T351">
        <v>41</v>
      </c>
      <c r="U351">
        <v>0</v>
      </c>
      <c r="V351" s="9">
        <v>43.333300000000001</v>
      </c>
      <c r="W351">
        <v>188</v>
      </c>
      <c r="X351">
        <v>39</v>
      </c>
      <c r="Y351">
        <v>6</v>
      </c>
      <c r="Z351">
        <v>20</v>
      </c>
      <c r="AA351">
        <v>1</v>
      </c>
      <c r="AB351">
        <v>1</v>
      </c>
      <c r="AC351">
        <v>50</v>
      </c>
      <c r="AD351">
        <v>4.2</v>
      </c>
      <c r="AE351">
        <v>10.3</v>
      </c>
      <c r="AF351" s="5">
        <v>0.45400000000000001</v>
      </c>
      <c r="AG351">
        <v>0.29799999999999999</v>
      </c>
      <c r="AH351">
        <v>1.37</v>
      </c>
      <c r="AI351">
        <v>4.1399999999999997</v>
      </c>
      <c r="AJ351">
        <v>4.37</v>
      </c>
      <c r="AK351">
        <v>2.8</v>
      </c>
      <c r="AL351">
        <v>0.3</v>
      </c>
      <c r="AM351">
        <v>21</v>
      </c>
      <c r="AN351">
        <v>38</v>
      </c>
      <c r="AO351">
        <v>20</v>
      </c>
      <c r="AP351">
        <v>26</v>
      </c>
      <c r="AQ351" t="s">
        <v>2763</v>
      </c>
      <c r="AR351">
        <v>66</v>
      </c>
      <c r="AS351" t="s">
        <v>35</v>
      </c>
      <c r="AT351" t="s">
        <v>35</v>
      </c>
      <c r="AU351" s="4">
        <f>HYPERLINK("http://mlb.mlb.com/team/player.jsp?player_id=608716",608716)</f>
        <v>608716</v>
      </c>
      <c r="AV351">
        <v>1308</v>
      </c>
      <c r="AW351">
        <v>308</v>
      </c>
      <c r="AX351">
        <v>34.700000000000003</v>
      </c>
    </row>
    <row r="352" spans="1:50" x14ac:dyDescent="0.3">
      <c r="A352" s="4">
        <f>HYPERLINK("http://legacy.baseballprospectus.com/p/100613",100613)</f>
        <v>100613</v>
      </c>
      <c r="B352" t="s">
        <v>1630</v>
      </c>
      <c r="C352" t="s">
        <v>232</v>
      </c>
      <c r="D352" s="10">
        <v>33242</v>
      </c>
      <c r="E352" t="s">
        <v>9</v>
      </c>
      <c r="F352" t="s">
        <v>9</v>
      </c>
      <c r="G352">
        <v>74</v>
      </c>
      <c r="H352">
        <v>200</v>
      </c>
      <c r="I352">
        <v>2018</v>
      </c>
      <c r="J352" s="4" t="str">
        <f>HYPERLINK("http://legacy.baseballprospectus.com/fantasy/dc/index.php?tm=DET","DET")</f>
        <v>DET</v>
      </c>
      <c r="K352" t="s">
        <v>95</v>
      </c>
      <c r="L352" t="s">
        <v>34</v>
      </c>
      <c r="M352">
        <v>27</v>
      </c>
      <c r="N352">
        <v>2.5</v>
      </c>
      <c r="O352">
        <v>3.2</v>
      </c>
      <c r="P352">
        <v>0</v>
      </c>
      <c r="Q352">
        <v>0</v>
      </c>
      <c r="R352">
        <v>0</v>
      </c>
      <c r="S352">
        <v>1</v>
      </c>
      <c r="T352">
        <v>58</v>
      </c>
      <c r="U352">
        <v>0</v>
      </c>
      <c r="V352" s="9">
        <v>61</v>
      </c>
      <c r="W352">
        <v>267</v>
      </c>
      <c r="X352">
        <v>60</v>
      </c>
      <c r="Y352">
        <v>10</v>
      </c>
      <c r="Z352">
        <v>26</v>
      </c>
      <c r="AA352">
        <v>2</v>
      </c>
      <c r="AB352">
        <v>3</v>
      </c>
      <c r="AC352">
        <v>61</v>
      </c>
      <c r="AD352">
        <v>3.8</v>
      </c>
      <c r="AE352">
        <v>9</v>
      </c>
      <c r="AF352" s="5">
        <v>0.47099999999999997</v>
      </c>
      <c r="AG352">
        <v>0.30099999999999999</v>
      </c>
      <c r="AH352">
        <v>1.42</v>
      </c>
      <c r="AI352">
        <v>4.8899999999999997</v>
      </c>
      <c r="AJ352">
        <v>4.82</v>
      </c>
      <c r="AK352">
        <v>2.7</v>
      </c>
      <c r="AL352">
        <v>0.3</v>
      </c>
      <c r="AM352">
        <v>23</v>
      </c>
      <c r="AN352">
        <v>42</v>
      </c>
      <c r="AO352">
        <v>12</v>
      </c>
      <c r="AP352">
        <v>35</v>
      </c>
      <c r="AQ352" t="s">
        <v>2582</v>
      </c>
      <c r="AR352">
        <v>65</v>
      </c>
      <c r="AS352" t="s">
        <v>35</v>
      </c>
      <c r="AT352" t="s">
        <v>35</v>
      </c>
      <c r="AU352" s="4">
        <f>HYPERLINK("http://mlb.mlb.com/team/player.jsp?player_id=621385",621385)</f>
        <v>621385</v>
      </c>
      <c r="AV352">
        <v>302</v>
      </c>
      <c r="AW352">
        <v>1302</v>
      </c>
      <c r="AX352">
        <v>37.700000000000003</v>
      </c>
    </row>
    <row r="353" spans="1:50" x14ac:dyDescent="0.3">
      <c r="A353" s="4">
        <f>HYPERLINK("http://legacy.baseballprospectus.com/p/67599",67599)</f>
        <v>67599</v>
      </c>
      <c r="B353" t="s">
        <v>1176</v>
      </c>
      <c r="C353" t="s">
        <v>541</v>
      </c>
      <c r="D353" s="10">
        <v>33930</v>
      </c>
      <c r="E353" t="s">
        <v>9</v>
      </c>
      <c r="F353" t="s">
        <v>9</v>
      </c>
      <c r="G353">
        <v>73</v>
      </c>
      <c r="H353">
        <v>225</v>
      </c>
      <c r="I353">
        <v>2018</v>
      </c>
      <c r="J353" s="4" t="str">
        <f>HYPERLINK("http://legacy.baseballprospectus.com/fantasy/dc/index.php?tm=BAL","BAL")</f>
        <v>BAL</v>
      </c>
      <c r="K353" t="s">
        <v>95</v>
      </c>
      <c r="L353" t="s">
        <v>34</v>
      </c>
      <c r="M353">
        <v>25</v>
      </c>
      <c r="N353">
        <v>6.1</v>
      </c>
      <c r="O353">
        <v>7.4</v>
      </c>
      <c r="P353">
        <v>7.1</v>
      </c>
      <c r="Q353">
        <v>0</v>
      </c>
      <c r="R353">
        <v>0</v>
      </c>
      <c r="S353">
        <v>0</v>
      </c>
      <c r="T353">
        <v>19.100000000000001</v>
      </c>
      <c r="U353">
        <v>19.100000000000001</v>
      </c>
      <c r="V353" s="9">
        <v>109</v>
      </c>
      <c r="W353">
        <v>489</v>
      </c>
      <c r="X353">
        <v>127</v>
      </c>
      <c r="Y353">
        <v>20</v>
      </c>
      <c r="Z353">
        <v>40</v>
      </c>
      <c r="AA353" t="s">
        <v>1680</v>
      </c>
      <c r="AB353">
        <v>4</v>
      </c>
      <c r="AC353">
        <v>86</v>
      </c>
      <c r="AD353">
        <v>3.3</v>
      </c>
      <c r="AE353">
        <v>7.1</v>
      </c>
      <c r="AF353" s="5">
        <v>0.50116080045699996</v>
      </c>
      <c r="AG353">
        <v>0.314</v>
      </c>
      <c r="AH353">
        <v>1.53</v>
      </c>
      <c r="AI353">
        <v>5.45</v>
      </c>
      <c r="AJ353">
        <v>5.49</v>
      </c>
      <c r="AK353">
        <v>2.4</v>
      </c>
      <c r="AL353">
        <v>0.3</v>
      </c>
      <c r="AM353">
        <v>25</v>
      </c>
      <c r="AN353">
        <v>34</v>
      </c>
      <c r="AO353">
        <v>6</v>
      </c>
      <c r="AP353">
        <v>28</v>
      </c>
      <c r="AQ353" t="s">
        <v>2468</v>
      </c>
      <c r="AR353">
        <v>50</v>
      </c>
      <c r="AS353" t="s">
        <v>36</v>
      </c>
      <c r="AT353" t="s">
        <v>35</v>
      </c>
      <c r="AU353" s="4">
        <f>HYPERLINK("http://mlb.mlb.com/team/player.jsp?player_id=593969",593969)</f>
        <v>593969</v>
      </c>
      <c r="AV353">
        <v>0</v>
      </c>
      <c r="AW353">
        <v>0</v>
      </c>
      <c r="AX353">
        <v>13.3</v>
      </c>
    </row>
    <row r="354" spans="1:50" x14ac:dyDescent="0.3">
      <c r="A354" s="4">
        <f>HYPERLINK("http://legacy.baseballprospectus.com/p/67864",67864)</f>
        <v>67864</v>
      </c>
      <c r="B354" t="s">
        <v>102</v>
      </c>
      <c r="C354" t="s">
        <v>182</v>
      </c>
      <c r="D354" s="10">
        <v>33506</v>
      </c>
      <c r="E354" t="s">
        <v>9</v>
      </c>
      <c r="F354" t="s">
        <v>9</v>
      </c>
      <c r="G354">
        <v>77</v>
      </c>
      <c r="H354">
        <v>215</v>
      </c>
      <c r="I354">
        <v>2018</v>
      </c>
      <c r="J354" s="4" t="str">
        <f>HYPERLINK("http://legacy.baseballprospectus.com/fantasy/dc/index.php?tm=CHN","CHN")</f>
        <v>CHN</v>
      </c>
      <c r="K354" t="s">
        <v>95</v>
      </c>
      <c r="L354" t="s">
        <v>34</v>
      </c>
      <c r="M354">
        <v>26</v>
      </c>
      <c r="N354">
        <v>2.5</v>
      </c>
      <c r="O354">
        <v>2.2000000000000002</v>
      </c>
      <c r="P354">
        <v>2.2999999999999998</v>
      </c>
      <c r="Q354">
        <v>0</v>
      </c>
      <c r="R354">
        <v>0.1</v>
      </c>
      <c r="S354">
        <v>0</v>
      </c>
      <c r="T354">
        <v>19.7</v>
      </c>
      <c r="U354">
        <v>5.3</v>
      </c>
      <c r="V354" s="9">
        <v>47</v>
      </c>
      <c r="W354">
        <v>210</v>
      </c>
      <c r="X354">
        <v>52</v>
      </c>
      <c r="Y354">
        <v>6</v>
      </c>
      <c r="Z354">
        <v>21</v>
      </c>
      <c r="AA354" t="s">
        <v>1680</v>
      </c>
      <c r="AB354">
        <v>2</v>
      </c>
      <c r="AC354">
        <v>36</v>
      </c>
      <c r="AD354">
        <v>4.0999999999999996</v>
      </c>
      <c r="AE354">
        <v>6.9</v>
      </c>
      <c r="AF354" s="5">
        <v>0.50689721107482899</v>
      </c>
      <c r="AG354">
        <v>0.315</v>
      </c>
      <c r="AH354">
        <v>1.55</v>
      </c>
      <c r="AI354">
        <v>4.91</v>
      </c>
      <c r="AJ354">
        <v>4.95</v>
      </c>
      <c r="AK354">
        <v>3</v>
      </c>
      <c r="AL354">
        <v>0.3</v>
      </c>
      <c r="AM354">
        <v>25</v>
      </c>
      <c r="AN354">
        <v>46</v>
      </c>
      <c r="AO354">
        <v>18</v>
      </c>
      <c r="AP354">
        <v>29</v>
      </c>
      <c r="AQ354" t="s">
        <v>2648</v>
      </c>
      <c r="AR354">
        <v>77</v>
      </c>
      <c r="AS354" t="s">
        <v>36</v>
      </c>
      <c r="AT354" t="s">
        <v>36</v>
      </c>
      <c r="AU354" s="4">
        <f>HYPERLINK("http://mlb.mlb.com/team/player.jsp?player_id=594986",594986)</f>
        <v>594986</v>
      </c>
      <c r="AV354">
        <v>0</v>
      </c>
      <c r="AW354">
        <v>0</v>
      </c>
      <c r="AX354">
        <v>5.7</v>
      </c>
    </row>
    <row r="355" spans="1:50" x14ac:dyDescent="0.3">
      <c r="A355" s="4">
        <f>HYPERLINK("http://legacy.baseballprospectus.com/p/68688",68688)</f>
        <v>68688</v>
      </c>
      <c r="B355" t="s">
        <v>948</v>
      </c>
      <c r="C355" t="s">
        <v>210</v>
      </c>
      <c r="D355" s="10">
        <v>32672</v>
      </c>
      <c r="E355" t="s">
        <v>9</v>
      </c>
      <c r="F355" t="s">
        <v>9</v>
      </c>
      <c r="G355">
        <v>75</v>
      </c>
      <c r="H355">
        <v>190</v>
      </c>
      <c r="I355">
        <v>2018</v>
      </c>
      <c r="J355" s="4" t="str">
        <f>HYPERLINK("http://legacy.baseballprospectus.com/fantasy/dc/index.php?tm=CHN","CHN")</f>
        <v>CHN</v>
      </c>
      <c r="K355" t="s">
        <v>100</v>
      </c>
      <c r="L355" t="s">
        <v>34</v>
      </c>
      <c r="M355">
        <v>29</v>
      </c>
      <c r="N355">
        <v>2.4</v>
      </c>
      <c r="O355">
        <v>2</v>
      </c>
      <c r="P355">
        <v>3</v>
      </c>
      <c r="Q355">
        <v>0</v>
      </c>
      <c r="R355">
        <v>0</v>
      </c>
      <c r="S355">
        <v>0</v>
      </c>
      <c r="T355">
        <v>6.6</v>
      </c>
      <c r="U355">
        <v>6.6</v>
      </c>
      <c r="V355" s="9">
        <v>36.333300000000001</v>
      </c>
      <c r="W355">
        <v>150</v>
      </c>
      <c r="X355">
        <v>34</v>
      </c>
      <c r="Y355">
        <v>7</v>
      </c>
      <c r="Z355">
        <v>13</v>
      </c>
      <c r="AA355" t="s">
        <v>1680</v>
      </c>
      <c r="AB355">
        <v>1</v>
      </c>
      <c r="AC355">
        <v>38</v>
      </c>
      <c r="AD355">
        <v>3.2</v>
      </c>
      <c r="AE355">
        <v>9.4</v>
      </c>
      <c r="AF355" s="5">
        <v>0.377674549818038</v>
      </c>
      <c r="AG355">
        <v>0.29899999999999999</v>
      </c>
      <c r="AH355">
        <v>1.28</v>
      </c>
      <c r="AI355">
        <v>4.55</v>
      </c>
      <c r="AJ355">
        <v>4.99</v>
      </c>
      <c r="AK355">
        <v>2.4</v>
      </c>
      <c r="AL355">
        <v>0.3</v>
      </c>
      <c r="AM355">
        <v>18</v>
      </c>
      <c r="AN355">
        <v>42</v>
      </c>
      <c r="AO355">
        <v>24</v>
      </c>
      <c r="AP355">
        <v>5</v>
      </c>
      <c r="AQ355" t="s">
        <v>2668</v>
      </c>
      <c r="AR355">
        <v>98</v>
      </c>
      <c r="AS355" t="s">
        <v>36</v>
      </c>
      <c r="AT355" t="s">
        <v>36</v>
      </c>
      <c r="AU355" s="4">
        <f>HYPERLINK("http://mlb.mlb.com/team/player.jsp?player_id=592767",592767)</f>
        <v>592767</v>
      </c>
      <c r="AV355">
        <v>1140</v>
      </c>
      <c r="AW355">
        <v>140</v>
      </c>
      <c r="AX355">
        <v>0</v>
      </c>
    </row>
    <row r="356" spans="1:50" x14ac:dyDescent="0.3">
      <c r="A356" s="4">
        <f>HYPERLINK("http://legacy.baseballprospectus.com/p/68710",68710)</f>
        <v>68710</v>
      </c>
      <c r="B356" t="s">
        <v>1309</v>
      </c>
      <c r="C356" t="s">
        <v>94</v>
      </c>
      <c r="D356" s="10">
        <v>33684</v>
      </c>
      <c r="E356" t="s">
        <v>33</v>
      </c>
      <c r="F356" t="s">
        <v>33</v>
      </c>
      <c r="G356">
        <v>74</v>
      </c>
      <c r="H356">
        <v>210</v>
      </c>
      <c r="I356">
        <v>2018</v>
      </c>
      <c r="J356" s="4" t="str">
        <f>HYPERLINK("http://legacy.baseballprospectus.com/fantasy/dc/index.php?tm=OAK","OAK")</f>
        <v>OAK</v>
      </c>
      <c r="K356" t="s">
        <v>95</v>
      </c>
      <c r="L356" t="s">
        <v>34</v>
      </c>
      <c r="M356">
        <v>26</v>
      </c>
      <c r="N356">
        <v>1.7</v>
      </c>
      <c r="O356">
        <v>0.9</v>
      </c>
      <c r="P356">
        <v>0.6</v>
      </c>
      <c r="Q356">
        <v>0</v>
      </c>
      <c r="R356">
        <v>0.3</v>
      </c>
      <c r="S356">
        <v>0</v>
      </c>
      <c r="T356">
        <v>28.9</v>
      </c>
      <c r="U356">
        <v>1.3</v>
      </c>
      <c r="V356" s="9">
        <v>34.666699999999999</v>
      </c>
      <c r="W356">
        <v>150</v>
      </c>
      <c r="X356">
        <v>32</v>
      </c>
      <c r="Y356">
        <v>6</v>
      </c>
      <c r="Z356">
        <v>15</v>
      </c>
      <c r="AA356" t="s">
        <v>1680</v>
      </c>
      <c r="AB356">
        <v>1</v>
      </c>
      <c r="AC356">
        <v>42</v>
      </c>
      <c r="AD356">
        <v>4</v>
      </c>
      <c r="AE356">
        <v>10.8</v>
      </c>
      <c r="AF356" s="5">
        <v>0.417255789041519</v>
      </c>
      <c r="AG356">
        <v>0.308</v>
      </c>
      <c r="AH356">
        <v>1.37</v>
      </c>
      <c r="AI356">
        <v>4.42</v>
      </c>
      <c r="AJ356">
        <v>4.58</v>
      </c>
      <c r="AK356">
        <v>3</v>
      </c>
      <c r="AL356">
        <v>0.3</v>
      </c>
      <c r="AM356">
        <v>11</v>
      </c>
      <c r="AN356">
        <v>16</v>
      </c>
      <c r="AO356">
        <v>5</v>
      </c>
      <c r="AP356">
        <v>19</v>
      </c>
      <c r="AQ356" t="s">
        <v>3204</v>
      </c>
      <c r="AR356">
        <v>24</v>
      </c>
      <c r="AS356" t="s">
        <v>36</v>
      </c>
      <c r="AT356" t="s">
        <v>35</v>
      </c>
      <c r="AU356" s="4">
        <f>HYPERLINK("http://mlb.mlb.com/team/player.jsp?player_id=592833",592833)</f>
        <v>592833</v>
      </c>
      <c r="AV356">
        <v>0</v>
      </c>
      <c r="AW356">
        <v>0</v>
      </c>
      <c r="AX356">
        <v>7.7</v>
      </c>
    </row>
    <row r="357" spans="1:50" x14ac:dyDescent="0.3">
      <c r="A357" s="4">
        <f>HYPERLINK("http://legacy.baseballprospectus.com/p/69964",69964)</f>
        <v>69964</v>
      </c>
      <c r="B357" t="s">
        <v>966</v>
      </c>
      <c r="C357" t="s">
        <v>108</v>
      </c>
      <c r="D357" s="10">
        <v>33112</v>
      </c>
      <c r="E357" t="s">
        <v>33</v>
      </c>
      <c r="F357" t="s">
        <v>33</v>
      </c>
      <c r="G357">
        <v>76</v>
      </c>
      <c r="H357">
        <v>200</v>
      </c>
      <c r="I357">
        <v>2018</v>
      </c>
      <c r="J357" s="4" t="str">
        <f>HYPERLINK("http://legacy.baseballprospectus.com/fantasy/dc/index.php?tm=ANA","ANA")</f>
        <v>ANA</v>
      </c>
      <c r="K357" t="s">
        <v>95</v>
      </c>
      <c r="L357" t="s">
        <v>34</v>
      </c>
      <c r="M357">
        <v>27</v>
      </c>
      <c r="N357">
        <v>2</v>
      </c>
      <c r="O357">
        <v>2.4</v>
      </c>
      <c r="P357">
        <v>2.8</v>
      </c>
      <c r="Q357">
        <v>0</v>
      </c>
      <c r="R357">
        <v>0</v>
      </c>
      <c r="S357">
        <v>0</v>
      </c>
      <c r="T357">
        <v>6.5</v>
      </c>
      <c r="U357">
        <v>6.5</v>
      </c>
      <c r="V357" s="9">
        <v>35</v>
      </c>
      <c r="W357">
        <v>150</v>
      </c>
      <c r="X357">
        <v>34</v>
      </c>
      <c r="Y357">
        <v>6</v>
      </c>
      <c r="Z357">
        <v>14</v>
      </c>
      <c r="AA357" t="s">
        <v>1680</v>
      </c>
      <c r="AB357">
        <v>1</v>
      </c>
      <c r="AC357">
        <v>34</v>
      </c>
      <c r="AD357">
        <v>3.5</v>
      </c>
      <c r="AE357">
        <v>8.6999999999999993</v>
      </c>
      <c r="AF357" s="5">
        <v>0.40499681234359702</v>
      </c>
      <c r="AG357">
        <v>0.29099999999999998</v>
      </c>
      <c r="AH357">
        <v>1.35</v>
      </c>
      <c r="AI357">
        <v>4.8099999999999996</v>
      </c>
      <c r="AJ357">
        <v>4.99</v>
      </c>
      <c r="AK357">
        <v>2.6</v>
      </c>
      <c r="AL357">
        <v>0.3</v>
      </c>
      <c r="AM357">
        <v>36</v>
      </c>
      <c r="AN357">
        <v>56</v>
      </c>
      <c r="AO357">
        <v>16</v>
      </c>
      <c r="AP357">
        <v>28</v>
      </c>
      <c r="AQ357" t="s">
        <v>2671</v>
      </c>
      <c r="AR357">
        <v>85</v>
      </c>
      <c r="AS357" t="s">
        <v>36</v>
      </c>
      <c r="AT357" t="s">
        <v>36</v>
      </c>
      <c r="AU357" s="4">
        <f>HYPERLINK("http://mlb.mlb.com/team/player.jsp?player_id=607374",607374)</f>
        <v>607374</v>
      </c>
      <c r="AV357">
        <v>136</v>
      </c>
      <c r="AW357">
        <v>1136</v>
      </c>
      <c r="AX357">
        <v>0</v>
      </c>
    </row>
    <row r="358" spans="1:50" x14ac:dyDescent="0.3">
      <c r="A358" s="4">
        <f>HYPERLINK("http://legacy.baseballprospectus.com/p/70168",70168)</f>
        <v>70168</v>
      </c>
      <c r="B358" t="s">
        <v>2409</v>
      </c>
      <c r="C358" t="s">
        <v>210</v>
      </c>
      <c r="D358" s="10">
        <v>32507</v>
      </c>
      <c r="E358" t="s">
        <v>33</v>
      </c>
      <c r="F358" t="s">
        <v>33</v>
      </c>
      <c r="G358">
        <v>74</v>
      </c>
      <c r="H358">
        <v>190</v>
      </c>
      <c r="I358">
        <v>2018</v>
      </c>
      <c r="J358" s="4" t="str">
        <f>HYPERLINK("http://legacy.baseballprospectus.com/fantasy/dc/index.php?tm=MIA","MIA")</f>
        <v>MIA</v>
      </c>
      <c r="K358" t="s">
        <v>95</v>
      </c>
      <c r="L358" t="s">
        <v>34</v>
      </c>
      <c r="M358">
        <v>29</v>
      </c>
      <c r="N358">
        <v>3.7</v>
      </c>
      <c r="O358">
        <v>3.9</v>
      </c>
      <c r="P358">
        <v>4</v>
      </c>
      <c r="Q358">
        <v>0</v>
      </c>
      <c r="R358">
        <v>0.2</v>
      </c>
      <c r="S358">
        <v>0</v>
      </c>
      <c r="T358">
        <v>19.5</v>
      </c>
      <c r="U358">
        <v>10.5</v>
      </c>
      <c r="V358" s="9">
        <v>65.666700000000006</v>
      </c>
      <c r="W358">
        <v>293</v>
      </c>
      <c r="X358">
        <v>76</v>
      </c>
      <c r="Y358">
        <v>12</v>
      </c>
      <c r="Z358">
        <v>24</v>
      </c>
      <c r="AA358" t="s">
        <v>1680</v>
      </c>
      <c r="AB358">
        <v>3</v>
      </c>
      <c r="AC358">
        <v>54</v>
      </c>
      <c r="AD358">
        <v>3.3</v>
      </c>
      <c r="AE358">
        <v>7.4</v>
      </c>
      <c r="AF358" s="5">
        <v>0.44720244407653797</v>
      </c>
      <c r="AG358">
        <v>0.32</v>
      </c>
      <c r="AH358">
        <v>1.52</v>
      </c>
      <c r="AI358">
        <v>5.21</v>
      </c>
      <c r="AJ358">
        <v>5.28</v>
      </c>
      <c r="AK358">
        <v>2.4</v>
      </c>
      <c r="AL358">
        <v>0.3</v>
      </c>
      <c r="AM358">
        <v>5</v>
      </c>
      <c r="AN358">
        <v>8</v>
      </c>
      <c r="AO358">
        <v>7</v>
      </c>
      <c r="AP358">
        <v>13</v>
      </c>
      <c r="AQ358" t="s">
        <v>2410</v>
      </c>
      <c r="AR358">
        <v>17</v>
      </c>
      <c r="AS358" t="s">
        <v>36</v>
      </c>
      <c r="AT358" t="s">
        <v>35</v>
      </c>
      <c r="AU358" s="4">
        <f>HYPERLINK("http://mlb.mlb.com/team/player.jsp?player_id=607968",607968)</f>
        <v>607968</v>
      </c>
      <c r="AV358">
        <v>0</v>
      </c>
      <c r="AW358">
        <v>0</v>
      </c>
      <c r="AX358">
        <v>4.3</v>
      </c>
    </row>
    <row r="359" spans="1:50" x14ac:dyDescent="0.3">
      <c r="A359" s="4">
        <f>HYPERLINK("http://legacy.baseballprospectus.com/p/70293",70293)</f>
        <v>70293</v>
      </c>
      <c r="B359" t="s">
        <v>1572</v>
      </c>
      <c r="C359" t="s">
        <v>741</v>
      </c>
      <c r="D359" s="10">
        <v>33127</v>
      </c>
      <c r="E359" t="s">
        <v>33</v>
      </c>
      <c r="F359" t="s">
        <v>33</v>
      </c>
      <c r="G359">
        <v>74</v>
      </c>
      <c r="H359">
        <v>225</v>
      </c>
      <c r="I359">
        <v>2018</v>
      </c>
      <c r="J359" s="4" t="str">
        <f>HYPERLINK("http://legacy.baseballprospectus.com/fantasy/dc/index.php?tm=SEA","SEA")</f>
        <v>SEA</v>
      </c>
      <c r="K359" t="s">
        <v>95</v>
      </c>
      <c r="L359" t="s">
        <v>34</v>
      </c>
      <c r="M359">
        <v>27</v>
      </c>
      <c r="N359">
        <v>1</v>
      </c>
      <c r="O359">
        <v>0.4</v>
      </c>
      <c r="P359">
        <v>0</v>
      </c>
      <c r="Q359">
        <v>0</v>
      </c>
      <c r="R359">
        <v>0</v>
      </c>
      <c r="S359">
        <v>0</v>
      </c>
      <c r="T359">
        <v>19.899999999999999</v>
      </c>
      <c r="U359">
        <v>0</v>
      </c>
      <c r="V359" s="9">
        <v>21</v>
      </c>
      <c r="W359">
        <v>90</v>
      </c>
      <c r="X359">
        <v>18</v>
      </c>
      <c r="Y359">
        <v>3</v>
      </c>
      <c r="Z359">
        <v>10</v>
      </c>
      <c r="AA359" t="s">
        <v>1680</v>
      </c>
      <c r="AB359">
        <v>1</v>
      </c>
      <c r="AC359">
        <v>26</v>
      </c>
      <c r="AD359">
        <v>4.2</v>
      </c>
      <c r="AE359">
        <v>10.9</v>
      </c>
      <c r="AF359" s="5">
        <v>0.43326866626739502</v>
      </c>
      <c r="AG359">
        <v>0.29099999999999998</v>
      </c>
      <c r="AH359">
        <v>1.29</v>
      </c>
      <c r="AI359">
        <v>3.95</v>
      </c>
      <c r="AJ359">
        <v>4.18</v>
      </c>
      <c r="AK359">
        <v>2.4</v>
      </c>
      <c r="AL359">
        <v>0.3</v>
      </c>
      <c r="AM359">
        <v>20</v>
      </c>
      <c r="AN359">
        <v>31</v>
      </c>
      <c r="AO359">
        <v>21</v>
      </c>
      <c r="AP359">
        <v>27</v>
      </c>
      <c r="AQ359" t="s">
        <v>2746</v>
      </c>
      <c r="AR359">
        <v>66</v>
      </c>
      <c r="AS359" t="s">
        <v>36</v>
      </c>
      <c r="AT359" t="s">
        <v>35</v>
      </c>
      <c r="AU359" s="4">
        <f>HYPERLINK("http://mlb.mlb.com/team/player.jsp?player_id=542888",542888)</f>
        <v>542888</v>
      </c>
      <c r="AV359">
        <v>312</v>
      </c>
      <c r="AW359">
        <v>1312</v>
      </c>
      <c r="AX359">
        <v>24.7</v>
      </c>
    </row>
    <row r="360" spans="1:50" x14ac:dyDescent="0.3">
      <c r="A360" s="4">
        <f>HYPERLINK("http://legacy.baseballprospectus.com/p/70461",70461)</f>
        <v>70461</v>
      </c>
      <c r="B360" t="s">
        <v>1474</v>
      </c>
      <c r="C360" t="s">
        <v>278</v>
      </c>
      <c r="D360" s="10">
        <v>33068</v>
      </c>
      <c r="E360" t="s">
        <v>33</v>
      </c>
      <c r="F360" t="s">
        <v>9</v>
      </c>
      <c r="G360">
        <v>72</v>
      </c>
      <c r="H360">
        <v>205</v>
      </c>
      <c r="I360">
        <v>2018</v>
      </c>
      <c r="J360" s="4" t="str">
        <f>HYPERLINK("http://legacy.baseballprospectus.com/fantasy/dc/index.php?tm=CLE","CLE")</f>
        <v>CLE</v>
      </c>
      <c r="K360" t="s">
        <v>100</v>
      </c>
      <c r="L360" t="s">
        <v>34</v>
      </c>
      <c r="M360">
        <v>27</v>
      </c>
      <c r="N360">
        <v>1.3</v>
      </c>
      <c r="O360">
        <v>0.6</v>
      </c>
      <c r="P360">
        <v>0</v>
      </c>
      <c r="Q360">
        <v>0</v>
      </c>
      <c r="R360">
        <v>0</v>
      </c>
      <c r="S360">
        <v>0</v>
      </c>
      <c r="T360">
        <v>25.3</v>
      </c>
      <c r="U360">
        <v>0</v>
      </c>
      <c r="V360" s="9">
        <v>26.666699999999999</v>
      </c>
      <c r="W360">
        <v>112</v>
      </c>
      <c r="X360">
        <v>22</v>
      </c>
      <c r="Y360">
        <v>3</v>
      </c>
      <c r="Z360">
        <v>13</v>
      </c>
      <c r="AA360" t="s">
        <v>1680</v>
      </c>
      <c r="AB360">
        <v>2</v>
      </c>
      <c r="AC360">
        <v>36</v>
      </c>
      <c r="AD360">
        <v>4.3</v>
      </c>
      <c r="AE360">
        <v>12.1</v>
      </c>
      <c r="AF360" s="5">
        <v>0.41493758559226901</v>
      </c>
      <c r="AG360">
        <v>0.33200000000000002</v>
      </c>
      <c r="AH360">
        <v>1.31</v>
      </c>
      <c r="AI360">
        <v>3.6</v>
      </c>
      <c r="AJ360">
        <v>4.03</v>
      </c>
      <c r="AK360">
        <v>3.1</v>
      </c>
      <c r="AL360">
        <v>0.3</v>
      </c>
      <c r="AM360">
        <v>14</v>
      </c>
      <c r="AN360">
        <v>21</v>
      </c>
      <c r="AO360">
        <v>23</v>
      </c>
      <c r="AP360">
        <v>26</v>
      </c>
      <c r="AQ360" t="s">
        <v>3185</v>
      </c>
      <c r="AR360">
        <v>56</v>
      </c>
      <c r="AS360" t="s">
        <v>36</v>
      </c>
      <c r="AT360" t="s">
        <v>35</v>
      </c>
      <c r="AU360" s="4">
        <f>HYPERLINK("http://mlb.mlb.com/team/player.jsp?player_id=605333",605333)</f>
        <v>605333</v>
      </c>
      <c r="AV360">
        <v>1350</v>
      </c>
      <c r="AW360">
        <v>350</v>
      </c>
      <c r="AX360">
        <v>5</v>
      </c>
    </row>
    <row r="361" spans="1:50" x14ac:dyDescent="0.3">
      <c r="A361" s="4">
        <f>HYPERLINK("http://legacy.baseballprospectus.com/p/70546",70546)</f>
        <v>70546</v>
      </c>
      <c r="B361" t="s">
        <v>725</v>
      </c>
      <c r="C361" t="s">
        <v>726</v>
      </c>
      <c r="D361" s="10">
        <v>33975</v>
      </c>
      <c r="E361" t="s">
        <v>9</v>
      </c>
      <c r="F361" t="s">
        <v>33</v>
      </c>
      <c r="G361">
        <v>75</v>
      </c>
      <c r="H361">
        <v>230</v>
      </c>
      <c r="I361">
        <v>2018</v>
      </c>
      <c r="J361" s="4" t="str">
        <f>HYPERLINK("http://legacy.baseballprospectus.com/fantasy/dc/index.php?tm=TEX","TEX")</f>
        <v>TEX</v>
      </c>
      <c r="K361" t="s">
        <v>95</v>
      </c>
      <c r="L361" t="s">
        <v>34</v>
      </c>
      <c r="M361">
        <v>25</v>
      </c>
      <c r="N361">
        <v>1.9</v>
      </c>
      <c r="O361">
        <v>2</v>
      </c>
      <c r="P361">
        <v>2.6</v>
      </c>
      <c r="Q361">
        <v>0</v>
      </c>
      <c r="R361">
        <v>0</v>
      </c>
      <c r="S361">
        <v>0</v>
      </c>
      <c r="T361">
        <v>6</v>
      </c>
      <c r="U361">
        <v>6</v>
      </c>
      <c r="V361" s="9">
        <v>31.666699999999999</v>
      </c>
      <c r="W361">
        <v>139</v>
      </c>
      <c r="X361">
        <v>34</v>
      </c>
      <c r="Y361">
        <v>4</v>
      </c>
      <c r="Z361">
        <v>12</v>
      </c>
      <c r="AA361" t="s">
        <v>1680</v>
      </c>
      <c r="AB361">
        <v>2</v>
      </c>
      <c r="AC361">
        <v>24</v>
      </c>
      <c r="AD361">
        <v>3.3</v>
      </c>
      <c r="AE361">
        <v>6.9</v>
      </c>
      <c r="AF361" s="5">
        <v>0.47455173730850198</v>
      </c>
      <c r="AG361">
        <v>0.30399999999999999</v>
      </c>
      <c r="AH361">
        <v>1.43</v>
      </c>
      <c r="AI361">
        <v>4.84</v>
      </c>
      <c r="AJ361">
        <v>4.87</v>
      </c>
      <c r="AK361">
        <v>2.7</v>
      </c>
      <c r="AL361">
        <v>0.3</v>
      </c>
      <c r="AM361">
        <v>18</v>
      </c>
      <c r="AN361">
        <v>46</v>
      </c>
      <c r="AO361">
        <v>14</v>
      </c>
      <c r="AP361">
        <v>26</v>
      </c>
      <c r="AQ361" t="s">
        <v>2516</v>
      </c>
      <c r="AR361">
        <v>66</v>
      </c>
      <c r="AS361" t="s">
        <v>36</v>
      </c>
      <c r="AT361" t="s">
        <v>35</v>
      </c>
      <c r="AU361" s="4">
        <f>HYPERLINK("http://mlb.mlb.com/team/player.jsp?player_id=607185",607185)</f>
        <v>607185</v>
      </c>
      <c r="AV361">
        <v>206</v>
      </c>
      <c r="AW361">
        <v>1206</v>
      </c>
      <c r="AX361">
        <v>0</v>
      </c>
    </row>
    <row r="362" spans="1:50" x14ac:dyDescent="0.3">
      <c r="A362" s="4">
        <f>HYPERLINK("http://legacy.baseballprospectus.com/p/99824",99824)</f>
        <v>99824</v>
      </c>
      <c r="B362" t="s">
        <v>2055</v>
      </c>
      <c r="C362" t="s">
        <v>2056</v>
      </c>
      <c r="D362" s="10">
        <v>33382</v>
      </c>
      <c r="E362" t="s">
        <v>33</v>
      </c>
      <c r="F362" t="s">
        <v>33</v>
      </c>
      <c r="G362">
        <v>73</v>
      </c>
      <c r="H362">
        <v>195</v>
      </c>
      <c r="I362">
        <v>2018</v>
      </c>
      <c r="J362" s="4" t="str">
        <f>HYPERLINK("http://legacy.baseballprospectus.com/fantasy/dc/index.php?tm=PIT","PIT")</f>
        <v>PIT</v>
      </c>
      <c r="K362" t="s">
        <v>100</v>
      </c>
      <c r="L362" t="s">
        <v>34</v>
      </c>
      <c r="M362">
        <v>27</v>
      </c>
      <c r="N362">
        <v>2.9</v>
      </c>
      <c r="O362">
        <v>1.9</v>
      </c>
      <c r="P362">
        <v>2</v>
      </c>
      <c r="Q362">
        <v>0</v>
      </c>
      <c r="R362">
        <v>0.6</v>
      </c>
      <c r="S362">
        <v>0</v>
      </c>
      <c r="T362">
        <v>34.299999999999997</v>
      </c>
      <c r="U362">
        <v>4.0999999999999996</v>
      </c>
      <c r="V362" s="9">
        <v>54.333300000000001</v>
      </c>
      <c r="W362">
        <v>231</v>
      </c>
      <c r="X362">
        <v>53</v>
      </c>
      <c r="Y362">
        <v>6</v>
      </c>
      <c r="Z362">
        <v>25</v>
      </c>
      <c r="AA362" t="s">
        <v>1680</v>
      </c>
      <c r="AB362">
        <v>1</v>
      </c>
      <c r="AC362">
        <v>50</v>
      </c>
      <c r="AD362">
        <v>4.0999999999999996</v>
      </c>
      <c r="AE362">
        <v>8.3000000000000007</v>
      </c>
      <c r="AF362" s="5">
        <v>0.51850914955139105</v>
      </c>
      <c r="AG362">
        <v>0.316</v>
      </c>
      <c r="AH362">
        <v>1.43</v>
      </c>
      <c r="AI362">
        <v>4.3099999999999996</v>
      </c>
      <c r="AJ362">
        <v>4.8499999999999996</v>
      </c>
      <c r="AK362">
        <v>3</v>
      </c>
      <c r="AL362">
        <v>0.3</v>
      </c>
      <c r="AM362">
        <v>14</v>
      </c>
      <c r="AN362">
        <v>22</v>
      </c>
      <c r="AO362">
        <v>6</v>
      </c>
      <c r="AP362">
        <v>20</v>
      </c>
      <c r="AQ362" t="s">
        <v>2787</v>
      </c>
      <c r="AR362">
        <v>31</v>
      </c>
      <c r="AS362" t="s">
        <v>36</v>
      </c>
      <c r="AT362" t="s">
        <v>35</v>
      </c>
      <c r="AU362" s="4">
        <f>HYPERLINK("http://mlb.mlb.com/team/player.jsp?player_id=571911",571911)</f>
        <v>571911</v>
      </c>
      <c r="AV362">
        <v>0</v>
      </c>
      <c r="AW362">
        <v>0</v>
      </c>
      <c r="AX362">
        <v>0.3</v>
      </c>
    </row>
    <row r="363" spans="1:50" x14ac:dyDescent="0.3">
      <c r="A363" s="4">
        <f>HYPERLINK("http://legacy.baseballprospectus.com/p/101264",101264)</f>
        <v>101264</v>
      </c>
      <c r="B363" t="s">
        <v>1479</v>
      </c>
      <c r="C363" t="s">
        <v>262</v>
      </c>
      <c r="D363" s="10">
        <v>32945</v>
      </c>
      <c r="E363" t="s">
        <v>33</v>
      </c>
      <c r="F363" t="s">
        <v>33</v>
      </c>
      <c r="G363">
        <v>74</v>
      </c>
      <c r="H363">
        <v>205</v>
      </c>
      <c r="I363">
        <v>2018</v>
      </c>
      <c r="J363" s="4" t="str">
        <f>HYPERLINK("http://legacy.baseballprospectus.com/fantasy/dc/index.php?tm=COL","COL")</f>
        <v>COL</v>
      </c>
      <c r="K363" t="s">
        <v>100</v>
      </c>
      <c r="L363" t="s">
        <v>34</v>
      </c>
      <c r="M363">
        <v>28</v>
      </c>
      <c r="N363">
        <v>2.4</v>
      </c>
      <c r="O363">
        <v>2.4</v>
      </c>
      <c r="P363">
        <v>0</v>
      </c>
      <c r="Q363">
        <v>0</v>
      </c>
      <c r="R363">
        <v>0</v>
      </c>
      <c r="S363">
        <v>1</v>
      </c>
      <c r="T363">
        <v>47</v>
      </c>
      <c r="U363">
        <v>0</v>
      </c>
      <c r="V363" s="9">
        <v>49.666699999999999</v>
      </c>
      <c r="W363">
        <v>219</v>
      </c>
      <c r="X363">
        <v>50</v>
      </c>
      <c r="Y363">
        <v>6</v>
      </c>
      <c r="Z363">
        <v>23</v>
      </c>
      <c r="AA363">
        <v>2</v>
      </c>
      <c r="AB363">
        <v>2</v>
      </c>
      <c r="AC363">
        <v>45</v>
      </c>
      <c r="AD363">
        <v>4.0999999999999996</v>
      </c>
      <c r="AE363">
        <v>8.1</v>
      </c>
      <c r="AF363" s="5">
        <v>0.51600000000000001</v>
      </c>
      <c r="AG363">
        <v>0.30499999999999999</v>
      </c>
      <c r="AH363">
        <v>1.47</v>
      </c>
      <c r="AI363">
        <v>4.4400000000000004</v>
      </c>
      <c r="AJ363">
        <v>4.5199999999999996</v>
      </c>
      <c r="AK363">
        <v>2.5</v>
      </c>
      <c r="AL363">
        <v>0.3</v>
      </c>
      <c r="AM363">
        <v>18</v>
      </c>
      <c r="AN363">
        <v>42</v>
      </c>
      <c r="AO363">
        <v>25</v>
      </c>
      <c r="AP363">
        <v>21</v>
      </c>
      <c r="AQ363" t="s">
        <v>2667</v>
      </c>
      <c r="AR363">
        <v>87</v>
      </c>
      <c r="AS363" t="s">
        <v>35</v>
      </c>
      <c r="AT363" t="s">
        <v>36</v>
      </c>
      <c r="AU363" s="4">
        <f>HYPERLINK("http://mlb.mlb.com/team/player.jsp?player_id=623184",623184)</f>
        <v>623184</v>
      </c>
      <c r="AV363">
        <v>1273</v>
      </c>
      <c r="AW363">
        <v>273</v>
      </c>
      <c r="AX363">
        <v>58.3</v>
      </c>
    </row>
    <row r="364" spans="1:50" x14ac:dyDescent="0.3">
      <c r="A364" s="4">
        <f>HYPERLINK("http://legacy.baseballprospectus.com/p/101728",101728)</f>
        <v>101728</v>
      </c>
      <c r="B364" t="s">
        <v>482</v>
      </c>
      <c r="C364" t="s">
        <v>1366</v>
      </c>
      <c r="D364" s="10">
        <v>34338</v>
      </c>
      <c r="E364" t="s">
        <v>33</v>
      </c>
      <c r="F364" t="s">
        <v>33</v>
      </c>
      <c r="G364">
        <v>72</v>
      </c>
      <c r="H364">
        <v>185</v>
      </c>
      <c r="I364">
        <v>2018</v>
      </c>
      <c r="J364" s="4" t="str">
        <f>HYPERLINK("http://legacy.baseballprospectus.com/fantasy/dc/index.php?tm=CHA","CHA")</f>
        <v>CHA</v>
      </c>
      <c r="K364" t="s">
        <v>95</v>
      </c>
      <c r="L364" t="s">
        <v>34</v>
      </c>
      <c r="M364">
        <v>24</v>
      </c>
      <c r="N364">
        <v>5.6</v>
      </c>
      <c r="O364">
        <v>7.6</v>
      </c>
      <c r="P364">
        <v>8</v>
      </c>
      <c r="Q364">
        <v>0</v>
      </c>
      <c r="R364">
        <v>0</v>
      </c>
      <c r="S364">
        <v>0</v>
      </c>
      <c r="T364">
        <v>19</v>
      </c>
      <c r="U364">
        <v>19</v>
      </c>
      <c r="V364" s="9">
        <v>108.33329999999999</v>
      </c>
      <c r="W364">
        <v>473</v>
      </c>
      <c r="X364">
        <v>108</v>
      </c>
      <c r="Y364">
        <v>22</v>
      </c>
      <c r="Z364">
        <v>43</v>
      </c>
      <c r="AA364">
        <v>2</v>
      </c>
      <c r="AB364">
        <v>4</v>
      </c>
      <c r="AC364">
        <v>109</v>
      </c>
      <c r="AD364">
        <v>3.6</v>
      </c>
      <c r="AE364">
        <v>9.1</v>
      </c>
      <c r="AF364" s="5">
        <v>0.40300000000000002</v>
      </c>
      <c r="AG364">
        <v>0.29099999999999998</v>
      </c>
      <c r="AH364">
        <v>1.39</v>
      </c>
      <c r="AI364">
        <v>4.92</v>
      </c>
      <c r="AJ364">
        <v>5.25</v>
      </c>
      <c r="AK364">
        <v>3.1</v>
      </c>
      <c r="AL364">
        <v>0.3</v>
      </c>
      <c r="AM364">
        <v>24</v>
      </c>
      <c r="AN364">
        <v>64</v>
      </c>
      <c r="AO364">
        <v>11</v>
      </c>
      <c r="AP364">
        <v>19</v>
      </c>
      <c r="AQ364" t="s">
        <v>2434</v>
      </c>
      <c r="AR364">
        <v>85</v>
      </c>
      <c r="AS364" t="s">
        <v>35</v>
      </c>
      <c r="AT364" t="s">
        <v>36</v>
      </c>
      <c r="AU364" s="4">
        <f>HYPERLINK("http://mlb.mlb.com/team/player.jsp?player_id=625643",625643)</f>
        <v>625643</v>
      </c>
      <c r="AV364">
        <v>84</v>
      </c>
      <c r="AW364">
        <v>1084</v>
      </c>
      <c r="AX364">
        <v>47.7</v>
      </c>
    </row>
    <row r="365" spans="1:50" x14ac:dyDescent="0.3">
      <c r="A365" s="4">
        <f>HYPERLINK("http://legacy.baseballprospectus.com/p/101991",101991)</f>
        <v>101991</v>
      </c>
      <c r="B365" t="s">
        <v>1282</v>
      </c>
      <c r="C365" t="s">
        <v>689</v>
      </c>
      <c r="D365" s="10">
        <v>33166</v>
      </c>
      <c r="E365" t="s">
        <v>33</v>
      </c>
      <c r="F365" t="s">
        <v>9</v>
      </c>
      <c r="G365">
        <v>74</v>
      </c>
      <c r="H365">
        <v>200</v>
      </c>
      <c r="I365">
        <v>2018</v>
      </c>
      <c r="J365" s="4" t="str">
        <f>HYPERLINK("http://legacy.baseballprospectus.com/fantasy/dc/index.php?tm=SFN","SFN")</f>
        <v>SFN</v>
      </c>
      <c r="K365" t="s">
        <v>100</v>
      </c>
      <c r="L365" t="s">
        <v>34</v>
      </c>
      <c r="M365">
        <v>27</v>
      </c>
      <c r="N365">
        <v>7.1</v>
      </c>
      <c r="O365">
        <v>8.1</v>
      </c>
      <c r="P365">
        <v>10</v>
      </c>
      <c r="Q365">
        <v>0</v>
      </c>
      <c r="R365">
        <v>0</v>
      </c>
      <c r="S365">
        <v>0</v>
      </c>
      <c r="T365">
        <v>23</v>
      </c>
      <c r="U365">
        <v>23</v>
      </c>
      <c r="V365" s="9">
        <v>122</v>
      </c>
      <c r="W365">
        <v>515</v>
      </c>
      <c r="X365">
        <v>124</v>
      </c>
      <c r="Y365">
        <v>16</v>
      </c>
      <c r="Z365">
        <v>35</v>
      </c>
      <c r="AA365">
        <v>2</v>
      </c>
      <c r="AB365">
        <v>3</v>
      </c>
      <c r="AC365">
        <v>85</v>
      </c>
      <c r="AD365">
        <v>2.6</v>
      </c>
      <c r="AE365">
        <v>6.3</v>
      </c>
      <c r="AF365" s="5">
        <v>0.46899999999999997</v>
      </c>
      <c r="AG365">
        <v>0.29099999999999998</v>
      </c>
      <c r="AH365">
        <v>1.3</v>
      </c>
      <c r="AI365">
        <v>4.21</v>
      </c>
      <c r="AJ365">
        <v>5.03</v>
      </c>
      <c r="AK365">
        <v>3</v>
      </c>
      <c r="AL365">
        <v>0.3</v>
      </c>
      <c r="AM365">
        <v>22</v>
      </c>
      <c r="AN365">
        <v>43</v>
      </c>
      <c r="AO365">
        <v>13</v>
      </c>
      <c r="AP365">
        <v>15</v>
      </c>
      <c r="AQ365" t="s">
        <v>2335</v>
      </c>
      <c r="AR365">
        <v>71</v>
      </c>
      <c r="AS365" t="s">
        <v>35</v>
      </c>
      <c r="AT365" t="s">
        <v>36</v>
      </c>
      <c r="AU365" s="4">
        <f>HYPERLINK("http://mlb.mlb.com/team/player.jsp?player_id=621389",621389)</f>
        <v>621389</v>
      </c>
      <c r="AV365">
        <v>1023</v>
      </c>
      <c r="AW365">
        <v>23</v>
      </c>
      <c r="AX365">
        <v>163.69999999999999</v>
      </c>
    </row>
    <row r="366" spans="1:50" x14ac:dyDescent="0.3">
      <c r="A366" s="4">
        <f>HYPERLINK("http://legacy.baseballprospectus.com/p/102043",102043)</f>
        <v>102043</v>
      </c>
      <c r="B366" t="s">
        <v>1458</v>
      </c>
      <c r="C366" t="s">
        <v>108</v>
      </c>
      <c r="D366" s="10">
        <v>33487</v>
      </c>
      <c r="E366" t="s">
        <v>33</v>
      </c>
      <c r="F366" t="s">
        <v>33</v>
      </c>
      <c r="G366">
        <v>72</v>
      </c>
      <c r="H366">
        <v>190</v>
      </c>
      <c r="I366">
        <v>2018</v>
      </c>
      <c r="J366" s="4" t="str">
        <f>HYPERLINK("http://legacy.baseballprospectus.com/fantasy/dc/index.php?tm=SEA","SEA")</f>
        <v>SEA</v>
      </c>
      <c r="K366" t="s">
        <v>95</v>
      </c>
      <c r="L366" t="s">
        <v>34</v>
      </c>
      <c r="M366">
        <v>26</v>
      </c>
      <c r="N366">
        <v>1.3</v>
      </c>
      <c r="O366">
        <v>1.3</v>
      </c>
      <c r="P366">
        <v>0</v>
      </c>
      <c r="Q366">
        <v>0</v>
      </c>
      <c r="R366">
        <v>0</v>
      </c>
      <c r="S366">
        <v>1</v>
      </c>
      <c r="T366">
        <v>25</v>
      </c>
      <c r="U366">
        <v>0</v>
      </c>
      <c r="V366" s="9">
        <v>26.333300000000001</v>
      </c>
      <c r="W366">
        <v>114</v>
      </c>
      <c r="X366">
        <v>25</v>
      </c>
      <c r="Y366">
        <v>3</v>
      </c>
      <c r="Z366">
        <v>11</v>
      </c>
      <c r="AA366">
        <v>1</v>
      </c>
      <c r="AB366">
        <v>1</v>
      </c>
      <c r="AC366">
        <v>25</v>
      </c>
      <c r="AD366">
        <v>3.8</v>
      </c>
      <c r="AE366">
        <v>8.6999999999999993</v>
      </c>
      <c r="AF366" s="5">
        <v>0.46300000000000002</v>
      </c>
      <c r="AG366">
        <v>0.29399999999999998</v>
      </c>
      <c r="AH366">
        <v>1.35</v>
      </c>
      <c r="AI366">
        <v>4.0199999999999996</v>
      </c>
      <c r="AJ366">
        <v>4.3499999999999996</v>
      </c>
      <c r="AK366">
        <v>2.5</v>
      </c>
      <c r="AL366">
        <v>0.3</v>
      </c>
      <c r="AM366">
        <v>23</v>
      </c>
      <c r="AN366">
        <v>40</v>
      </c>
      <c r="AO366">
        <v>13</v>
      </c>
      <c r="AP366">
        <v>20</v>
      </c>
      <c r="AQ366" t="s">
        <v>2774</v>
      </c>
      <c r="AR366">
        <v>64</v>
      </c>
      <c r="AS366" t="s">
        <v>35</v>
      </c>
      <c r="AT366" t="s">
        <v>35</v>
      </c>
      <c r="AU366" s="4">
        <f>HYPERLINK("http://mlb.mlb.com/team/player.jsp?player_id=592705",592705)</f>
        <v>592705</v>
      </c>
      <c r="AV366">
        <v>345</v>
      </c>
      <c r="AW366">
        <v>1345</v>
      </c>
      <c r="AX366">
        <v>0</v>
      </c>
    </row>
    <row r="367" spans="1:50" x14ac:dyDescent="0.3">
      <c r="A367" s="4">
        <f>HYPERLINK("http://legacy.baseballprospectus.com/p/102136",102136)</f>
        <v>102136</v>
      </c>
      <c r="B367" t="s">
        <v>1497</v>
      </c>
      <c r="C367" t="s">
        <v>803</v>
      </c>
      <c r="D367" s="10">
        <v>33409</v>
      </c>
      <c r="E367" t="s">
        <v>33</v>
      </c>
      <c r="F367" t="s">
        <v>33</v>
      </c>
      <c r="G367">
        <v>70</v>
      </c>
      <c r="H367">
        <v>200</v>
      </c>
      <c r="I367">
        <v>2018</v>
      </c>
      <c r="J367" s="4" t="str">
        <f>HYPERLINK("http://legacy.baseballprospectus.com/fantasy/dc/index.php?tm=TBA","TBA")</f>
        <v>TBA</v>
      </c>
      <c r="K367" t="s">
        <v>95</v>
      </c>
      <c r="L367" t="s">
        <v>34</v>
      </c>
      <c r="M367">
        <v>27</v>
      </c>
      <c r="N367">
        <v>0.9</v>
      </c>
      <c r="O367">
        <v>0.7</v>
      </c>
      <c r="P367">
        <v>0</v>
      </c>
      <c r="Q367">
        <v>0</v>
      </c>
      <c r="R367">
        <v>0</v>
      </c>
      <c r="S367">
        <v>0</v>
      </c>
      <c r="T367">
        <v>16</v>
      </c>
      <c r="U367">
        <v>0</v>
      </c>
      <c r="V367" s="9">
        <v>17</v>
      </c>
      <c r="W367">
        <v>72</v>
      </c>
      <c r="X367">
        <v>13</v>
      </c>
      <c r="Y367">
        <v>2</v>
      </c>
      <c r="Z367">
        <v>8</v>
      </c>
      <c r="AA367">
        <v>1</v>
      </c>
      <c r="AB367">
        <v>1</v>
      </c>
      <c r="AC367">
        <v>22</v>
      </c>
      <c r="AD367">
        <v>4.5</v>
      </c>
      <c r="AE367">
        <v>11.8</v>
      </c>
      <c r="AF367" s="5">
        <v>0.435</v>
      </c>
      <c r="AG367">
        <v>0.29399999999999998</v>
      </c>
      <c r="AH367">
        <v>1.27</v>
      </c>
      <c r="AI367">
        <v>3.26</v>
      </c>
      <c r="AJ367">
        <v>3.9</v>
      </c>
      <c r="AK367">
        <v>2.4</v>
      </c>
      <c r="AL367">
        <v>0.3</v>
      </c>
      <c r="AM367">
        <v>22</v>
      </c>
      <c r="AN367">
        <v>31</v>
      </c>
      <c r="AO367">
        <v>21</v>
      </c>
      <c r="AP367">
        <v>26</v>
      </c>
      <c r="AQ367" t="s">
        <v>2777</v>
      </c>
      <c r="AR367">
        <v>58</v>
      </c>
      <c r="AS367" t="s">
        <v>35</v>
      </c>
      <c r="AT367" t="s">
        <v>35</v>
      </c>
      <c r="AU367" s="4">
        <f>HYPERLINK("http://mlb.mlb.com/team/player.jsp?player_id=621289",621289)</f>
        <v>621289</v>
      </c>
      <c r="AV367">
        <v>219</v>
      </c>
      <c r="AW367">
        <v>1219</v>
      </c>
      <c r="AX367">
        <v>0</v>
      </c>
    </row>
    <row r="368" spans="1:50" x14ac:dyDescent="0.3">
      <c r="A368" s="4">
        <f>HYPERLINK("http://legacy.baseballprospectus.com/p/102138",102138)</f>
        <v>102138</v>
      </c>
      <c r="B368" t="s">
        <v>1632</v>
      </c>
      <c r="C368" t="s">
        <v>345</v>
      </c>
      <c r="D368" s="10">
        <v>33455</v>
      </c>
      <c r="E368" t="s">
        <v>33</v>
      </c>
      <c r="F368" t="s">
        <v>33</v>
      </c>
      <c r="G368">
        <v>75</v>
      </c>
      <c r="H368">
        <v>205</v>
      </c>
      <c r="I368">
        <v>2018</v>
      </c>
      <c r="J368" s="4" t="str">
        <f>HYPERLINK("http://legacy.baseballprospectus.com/fantasy/dc/index.php?tm=NYA","NYA")</f>
        <v>NYA</v>
      </c>
      <c r="K368" t="s">
        <v>95</v>
      </c>
      <c r="L368" t="s">
        <v>34</v>
      </c>
      <c r="M368">
        <v>26</v>
      </c>
      <c r="N368">
        <v>1.3</v>
      </c>
      <c r="O368">
        <v>1.1000000000000001</v>
      </c>
      <c r="P368">
        <v>0</v>
      </c>
      <c r="Q368">
        <v>0</v>
      </c>
      <c r="R368">
        <v>0</v>
      </c>
      <c r="S368">
        <v>1</v>
      </c>
      <c r="T368">
        <v>23</v>
      </c>
      <c r="U368">
        <v>0</v>
      </c>
      <c r="V368" s="9">
        <v>24.666699999999999</v>
      </c>
      <c r="W368">
        <v>105</v>
      </c>
      <c r="X368">
        <v>20</v>
      </c>
      <c r="Y368">
        <v>3</v>
      </c>
      <c r="Z368">
        <v>11</v>
      </c>
      <c r="AA368">
        <v>1</v>
      </c>
      <c r="AB368">
        <v>1</v>
      </c>
      <c r="AC368">
        <v>30</v>
      </c>
      <c r="AD368">
        <v>4</v>
      </c>
      <c r="AE368">
        <v>10.9</v>
      </c>
      <c r="AF368" s="5">
        <v>0.42799999999999999</v>
      </c>
      <c r="AG368">
        <v>0.28899999999999998</v>
      </c>
      <c r="AH368">
        <v>1.27</v>
      </c>
      <c r="AI368">
        <v>3.9</v>
      </c>
      <c r="AJ368">
        <v>4.17</v>
      </c>
      <c r="AK368">
        <v>2.7</v>
      </c>
      <c r="AL368">
        <v>0.3</v>
      </c>
      <c r="AM368">
        <v>18</v>
      </c>
      <c r="AN368">
        <v>38</v>
      </c>
      <c r="AO368">
        <v>16</v>
      </c>
      <c r="AP368">
        <v>24</v>
      </c>
      <c r="AQ368" t="s">
        <v>2916</v>
      </c>
      <c r="AR368">
        <v>63</v>
      </c>
      <c r="AS368" t="s">
        <v>35</v>
      </c>
      <c r="AT368" t="s">
        <v>35</v>
      </c>
      <c r="AU368" s="4">
        <f>HYPERLINK("http://mlb.mlb.com/team/player.jsp?player_id=621294",621294)</f>
        <v>621294</v>
      </c>
      <c r="AV368">
        <v>330</v>
      </c>
      <c r="AW368">
        <v>1330</v>
      </c>
      <c r="AX368">
        <v>11</v>
      </c>
    </row>
    <row r="369" spans="1:50" x14ac:dyDescent="0.3">
      <c r="A369" s="4">
        <f>HYPERLINK("http://legacy.baseballprospectus.com/p/102149",102149)</f>
        <v>102149</v>
      </c>
      <c r="B369" t="s">
        <v>898</v>
      </c>
      <c r="C369" t="s">
        <v>258</v>
      </c>
      <c r="D369" s="10">
        <v>32783</v>
      </c>
      <c r="E369" t="s">
        <v>33</v>
      </c>
      <c r="F369" t="s">
        <v>9</v>
      </c>
      <c r="G369">
        <v>75</v>
      </c>
      <c r="H369">
        <v>195</v>
      </c>
      <c r="I369">
        <v>2018</v>
      </c>
      <c r="J369" s="4" t="str">
        <f>HYPERLINK("http://legacy.baseballprospectus.com/fantasy/dc/index.php?tm=CLE","CLE")</f>
        <v>CLE</v>
      </c>
      <c r="K369" t="s">
        <v>95</v>
      </c>
      <c r="L369" t="s">
        <v>34</v>
      </c>
      <c r="M369">
        <v>28</v>
      </c>
      <c r="N369">
        <v>2.7</v>
      </c>
      <c r="O369">
        <v>2.2999999999999998</v>
      </c>
      <c r="P369">
        <v>0</v>
      </c>
      <c r="Q369">
        <v>0</v>
      </c>
      <c r="R369">
        <v>2</v>
      </c>
      <c r="S369">
        <v>4</v>
      </c>
      <c r="T369">
        <v>51</v>
      </c>
      <c r="U369">
        <v>0</v>
      </c>
      <c r="V369" s="9">
        <v>53.666699999999999</v>
      </c>
      <c r="W369">
        <v>235</v>
      </c>
      <c r="X369">
        <v>52</v>
      </c>
      <c r="Y369">
        <v>7</v>
      </c>
      <c r="Z369">
        <v>24</v>
      </c>
      <c r="AA369">
        <v>3</v>
      </c>
      <c r="AB369">
        <v>3</v>
      </c>
      <c r="AC369">
        <v>53</v>
      </c>
      <c r="AD369">
        <v>4.0999999999999996</v>
      </c>
      <c r="AE369">
        <v>8.9</v>
      </c>
      <c r="AF369" s="5">
        <v>0.44500000000000001</v>
      </c>
      <c r="AG369">
        <v>0.3</v>
      </c>
      <c r="AH369">
        <v>1.42</v>
      </c>
      <c r="AI369">
        <v>4.3099999999999996</v>
      </c>
      <c r="AJ369">
        <v>4.7</v>
      </c>
      <c r="AK369">
        <v>3</v>
      </c>
      <c r="AL369">
        <v>0.3</v>
      </c>
      <c r="AM369">
        <v>20</v>
      </c>
      <c r="AN369">
        <v>37</v>
      </c>
      <c r="AO369">
        <v>14</v>
      </c>
      <c r="AP369">
        <v>23</v>
      </c>
      <c r="AQ369" t="s">
        <v>2778</v>
      </c>
      <c r="AR369">
        <v>54</v>
      </c>
      <c r="AS369" t="s">
        <v>35</v>
      </c>
      <c r="AT369" t="s">
        <v>35</v>
      </c>
      <c r="AU369" s="4">
        <f>HYPERLINK("http://mlb.mlb.com/team/player.jsp?player_id=621397",621397)</f>
        <v>621397</v>
      </c>
      <c r="AV369">
        <v>319</v>
      </c>
      <c r="AW369">
        <v>1319</v>
      </c>
      <c r="AX369">
        <v>20</v>
      </c>
    </row>
    <row r="370" spans="1:50" x14ac:dyDescent="0.3">
      <c r="A370" s="4">
        <f>HYPERLINK("http://legacy.baseballprospectus.com/p/100960",100960)</f>
        <v>100960</v>
      </c>
      <c r="B370" t="s">
        <v>519</v>
      </c>
      <c r="C370" t="s">
        <v>1418</v>
      </c>
      <c r="D370" s="10">
        <v>34766</v>
      </c>
      <c r="E370" t="s">
        <v>33</v>
      </c>
      <c r="F370" t="s">
        <v>33</v>
      </c>
      <c r="G370">
        <v>75</v>
      </c>
      <c r="H370">
        <v>206</v>
      </c>
      <c r="I370">
        <v>2018</v>
      </c>
      <c r="J370" s="4" t="str">
        <f>HYPERLINK("http://legacy.baseballprospectus.com/fantasy/dc/index.php?tm=NYN","NYN")</f>
        <v>NYN</v>
      </c>
      <c r="K370" t="s">
        <v>100</v>
      </c>
      <c r="L370" t="s">
        <v>34</v>
      </c>
      <c r="M370">
        <v>23</v>
      </c>
      <c r="N370">
        <v>4</v>
      </c>
      <c r="O370">
        <v>4.4000000000000004</v>
      </c>
      <c r="P370">
        <v>5.5</v>
      </c>
      <c r="Q370">
        <v>0</v>
      </c>
      <c r="R370">
        <v>0</v>
      </c>
      <c r="S370">
        <v>0</v>
      </c>
      <c r="T370">
        <v>12.1</v>
      </c>
      <c r="U370">
        <v>12.1</v>
      </c>
      <c r="V370" s="9">
        <v>70.333299999999994</v>
      </c>
      <c r="W370">
        <v>297</v>
      </c>
      <c r="X370">
        <v>73</v>
      </c>
      <c r="Y370">
        <v>12</v>
      </c>
      <c r="Z370">
        <v>25</v>
      </c>
      <c r="AA370" t="s">
        <v>1680</v>
      </c>
      <c r="AB370">
        <v>2</v>
      </c>
      <c r="AC370">
        <v>68</v>
      </c>
      <c r="AD370">
        <v>3.2</v>
      </c>
      <c r="AE370">
        <v>8.6999999999999993</v>
      </c>
      <c r="AF370" s="5">
        <v>0.45186790823936401</v>
      </c>
      <c r="AG370">
        <v>0.32100000000000001</v>
      </c>
      <c r="AH370">
        <v>1.4</v>
      </c>
      <c r="AI370">
        <v>4.6900000000000004</v>
      </c>
      <c r="AJ370">
        <v>5.2</v>
      </c>
      <c r="AK370">
        <v>3.1</v>
      </c>
      <c r="AL370">
        <v>0.3</v>
      </c>
      <c r="AM370">
        <v>8</v>
      </c>
      <c r="AN370">
        <v>13</v>
      </c>
      <c r="AO370">
        <v>8</v>
      </c>
      <c r="AP370">
        <v>14</v>
      </c>
      <c r="AQ370" t="s">
        <v>2482</v>
      </c>
      <c r="AR370">
        <v>27</v>
      </c>
      <c r="AS370" t="s">
        <v>36</v>
      </c>
      <c r="AT370" t="s">
        <v>35</v>
      </c>
      <c r="AU370" s="4">
        <f>HYPERLINK("http://mlb.mlb.com/team/player.jsp?player_id=622506",622506)</f>
        <v>622506</v>
      </c>
      <c r="AV370">
        <v>1182</v>
      </c>
      <c r="AW370">
        <v>182</v>
      </c>
      <c r="AX370">
        <v>0</v>
      </c>
    </row>
    <row r="371" spans="1:50" x14ac:dyDescent="0.3">
      <c r="A371" s="4">
        <f>HYPERLINK("http://legacy.baseballprospectus.com/p/103392",103392)</f>
        <v>103392</v>
      </c>
      <c r="B371" t="s">
        <v>2087</v>
      </c>
      <c r="C371" t="s">
        <v>255</v>
      </c>
      <c r="D371" s="10">
        <v>33129</v>
      </c>
      <c r="E371" t="s">
        <v>9</v>
      </c>
      <c r="F371" t="s">
        <v>9</v>
      </c>
      <c r="G371">
        <v>73</v>
      </c>
      <c r="H371">
        <v>185</v>
      </c>
      <c r="I371">
        <v>2018</v>
      </c>
      <c r="J371" s="4" t="str">
        <f>HYPERLINK("http://legacy.baseballprospectus.com/fantasy/dc/index.php?tm=ARI","ARI")</f>
        <v>ARI</v>
      </c>
      <c r="K371" t="s">
        <v>100</v>
      </c>
      <c r="L371" t="s">
        <v>34</v>
      </c>
      <c r="M371">
        <v>27</v>
      </c>
      <c r="N371">
        <v>1.7</v>
      </c>
      <c r="O371">
        <v>0.7</v>
      </c>
      <c r="P371">
        <v>0</v>
      </c>
      <c r="Q371">
        <v>0</v>
      </c>
      <c r="R371">
        <v>0.9</v>
      </c>
      <c r="S371">
        <v>0</v>
      </c>
      <c r="T371">
        <v>33.700000000000003</v>
      </c>
      <c r="U371">
        <v>0</v>
      </c>
      <c r="V371" s="9">
        <v>35.666699999999999</v>
      </c>
      <c r="W371">
        <v>150</v>
      </c>
      <c r="X371">
        <v>33</v>
      </c>
      <c r="Y371">
        <v>3</v>
      </c>
      <c r="Z371">
        <v>17</v>
      </c>
      <c r="AA371" t="s">
        <v>1680</v>
      </c>
      <c r="AB371">
        <v>1</v>
      </c>
      <c r="AC371">
        <v>35</v>
      </c>
      <c r="AD371">
        <v>4.2</v>
      </c>
      <c r="AE371">
        <v>8.8000000000000007</v>
      </c>
      <c r="AF371" s="5">
        <v>0.42868700623512201</v>
      </c>
      <c r="AG371">
        <v>0.317</v>
      </c>
      <c r="AH371">
        <v>1.39</v>
      </c>
      <c r="AI371">
        <v>3.77</v>
      </c>
      <c r="AJ371">
        <v>4.5199999999999996</v>
      </c>
      <c r="AK371">
        <v>2.4</v>
      </c>
      <c r="AL371">
        <v>0.3</v>
      </c>
      <c r="AM371">
        <v>7</v>
      </c>
      <c r="AN371">
        <v>14</v>
      </c>
      <c r="AO371">
        <v>12</v>
      </c>
      <c r="AP371">
        <v>21</v>
      </c>
      <c r="AQ371" t="s">
        <v>4939</v>
      </c>
      <c r="AR371">
        <v>29</v>
      </c>
      <c r="AS371" t="s">
        <v>36</v>
      </c>
      <c r="AT371" t="s">
        <v>35</v>
      </c>
      <c r="AU371" s="4">
        <f>HYPERLINK("http://mlb.mlb.com/team/player.jsp?player_id=643355",643355)</f>
        <v>643355</v>
      </c>
      <c r="AV371">
        <v>0</v>
      </c>
      <c r="AW371">
        <v>0</v>
      </c>
      <c r="AX371">
        <v>0</v>
      </c>
    </row>
    <row r="372" spans="1:50" x14ac:dyDescent="0.3">
      <c r="A372" s="4">
        <f>HYPERLINK("http://legacy.baseballprospectus.com/p/104719",104719)</f>
        <v>104719</v>
      </c>
      <c r="B372" t="s">
        <v>1678</v>
      </c>
      <c r="C372" t="s">
        <v>449</v>
      </c>
      <c r="D372" s="10">
        <v>33855</v>
      </c>
      <c r="E372" t="s">
        <v>33</v>
      </c>
      <c r="F372" t="s">
        <v>33</v>
      </c>
      <c r="G372">
        <v>71</v>
      </c>
      <c r="H372">
        <v>200</v>
      </c>
      <c r="I372">
        <v>2018</v>
      </c>
      <c r="J372" s="4" t="str">
        <f>HYPERLINK("http://legacy.baseballprospectus.com/fantasy/dc/index.php?tm=SEA","SEA")</f>
        <v>SEA</v>
      </c>
      <c r="K372" t="s">
        <v>95</v>
      </c>
      <c r="L372" t="s">
        <v>34</v>
      </c>
      <c r="M372">
        <v>25</v>
      </c>
      <c r="N372">
        <v>1.5</v>
      </c>
      <c r="O372">
        <v>1.5</v>
      </c>
      <c r="P372">
        <v>0</v>
      </c>
      <c r="Q372">
        <v>0</v>
      </c>
      <c r="R372">
        <v>0</v>
      </c>
      <c r="S372">
        <v>1</v>
      </c>
      <c r="T372">
        <v>30</v>
      </c>
      <c r="U372">
        <v>0</v>
      </c>
      <c r="V372" s="9">
        <v>31.666699999999999</v>
      </c>
      <c r="W372">
        <v>136</v>
      </c>
      <c r="X372">
        <v>28</v>
      </c>
      <c r="Y372">
        <v>5</v>
      </c>
      <c r="Z372">
        <v>14</v>
      </c>
      <c r="AA372">
        <v>1</v>
      </c>
      <c r="AB372">
        <v>1</v>
      </c>
      <c r="AC372">
        <v>36</v>
      </c>
      <c r="AD372">
        <v>3.9</v>
      </c>
      <c r="AE372">
        <v>10.199999999999999</v>
      </c>
      <c r="AF372" s="5">
        <v>0.41199999999999998</v>
      </c>
      <c r="AG372">
        <v>0.29199999999999998</v>
      </c>
      <c r="AH372">
        <v>1.32</v>
      </c>
      <c r="AI372">
        <v>4.22</v>
      </c>
      <c r="AJ372">
        <v>4.5199999999999996</v>
      </c>
      <c r="AK372">
        <v>2.4</v>
      </c>
      <c r="AL372">
        <v>0.3</v>
      </c>
      <c r="AM372">
        <v>35</v>
      </c>
      <c r="AN372">
        <v>51</v>
      </c>
      <c r="AO372">
        <v>16</v>
      </c>
      <c r="AP372">
        <v>28</v>
      </c>
      <c r="AQ372" t="s">
        <v>2802</v>
      </c>
      <c r="AR372">
        <v>77</v>
      </c>
      <c r="AS372" t="s">
        <v>35</v>
      </c>
      <c r="AT372" t="s">
        <v>36</v>
      </c>
      <c r="AU372" s="4">
        <f>HYPERLINK("http://mlb.mlb.com/team/player.jsp?player_id=656186",656186)</f>
        <v>656186</v>
      </c>
      <c r="AV372">
        <v>287</v>
      </c>
      <c r="AW372">
        <v>1287</v>
      </c>
      <c r="AX372">
        <v>46.7</v>
      </c>
    </row>
    <row r="373" spans="1:50" x14ac:dyDescent="0.3">
      <c r="A373" s="4">
        <f>HYPERLINK("http://legacy.baseballprospectus.com/p/104899",104899)</f>
        <v>104899</v>
      </c>
      <c r="B373" t="s">
        <v>262</v>
      </c>
      <c r="C373" t="s">
        <v>739</v>
      </c>
      <c r="D373" s="10">
        <v>34537</v>
      </c>
      <c r="E373" t="s">
        <v>33</v>
      </c>
      <c r="F373" t="s">
        <v>9</v>
      </c>
      <c r="G373">
        <v>74</v>
      </c>
      <c r="H373">
        <v>220</v>
      </c>
      <c r="I373">
        <v>2018</v>
      </c>
      <c r="J373" s="4" t="str">
        <f>HYPERLINK("http://legacy.baseballprospectus.com/fantasy/dc/index.php?tm=BAL","BAL")</f>
        <v>BAL</v>
      </c>
      <c r="K373" t="s">
        <v>95</v>
      </c>
      <c r="L373" t="s">
        <v>34</v>
      </c>
      <c r="M373">
        <v>23</v>
      </c>
      <c r="N373">
        <v>1.3</v>
      </c>
      <c r="O373">
        <v>1.5</v>
      </c>
      <c r="P373">
        <v>1</v>
      </c>
      <c r="Q373">
        <v>0</v>
      </c>
      <c r="R373">
        <v>0</v>
      </c>
      <c r="S373">
        <v>0</v>
      </c>
      <c r="T373">
        <v>13</v>
      </c>
      <c r="U373">
        <v>3</v>
      </c>
      <c r="V373" s="9">
        <v>26</v>
      </c>
      <c r="W373">
        <v>113</v>
      </c>
      <c r="X373">
        <v>23</v>
      </c>
      <c r="Y373">
        <v>4</v>
      </c>
      <c r="Z373">
        <v>14</v>
      </c>
      <c r="AA373">
        <v>0</v>
      </c>
      <c r="AB373">
        <v>1</v>
      </c>
      <c r="AC373">
        <v>32</v>
      </c>
      <c r="AD373">
        <v>5</v>
      </c>
      <c r="AE373">
        <v>11.2</v>
      </c>
      <c r="AF373" s="5">
        <v>0.496</v>
      </c>
      <c r="AG373">
        <v>0.29699999999999999</v>
      </c>
      <c r="AH373">
        <v>1.43</v>
      </c>
      <c r="AI373">
        <v>4.3</v>
      </c>
      <c r="AJ373">
        <v>4.45</v>
      </c>
      <c r="AK373">
        <v>2.6</v>
      </c>
      <c r="AL373">
        <v>0.3</v>
      </c>
      <c r="AM373">
        <v>19</v>
      </c>
      <c r="AN373">
        <v>25</v>
      </c>
      <c r="AO373">
        <v>8</v>
      </c>
      <c r="AP373">
        <v>21</v>
      </c>
      <c r="AQ373" t="s">
        <v>2804</v>
      </c>
      <c r="AR373">
        <v>35</v>
      </c>
      <c r="AS373" t="s">
        <v>35</v>
      </c>
      <c r="AT373" t="s">
        <v>35</v>
      </c>
      <c r="AU373" s="4">
        <f>HYPERLINK("http://mlb.mlb.com/team/player.jsp?player_id=656945",656945)</f>
        <v>656945</v>
      </c>
      <c r="AV373">
        <v>128</v>
      </c>
      <c r="AW373">
        <v>1128</v>
      </c>
      <c r="AX373">
        <v>1.7</v>
      </c>
    </row>
    <row r="374" spans="1:50" x14ac:dyDescent="0.3">
      <c r="A374" s="4">
        <f>HYPERLINK("http://legacy.baseballprospectus.com/p/106414",106414)</f>
        <v>106414</v>
      </c>
      <c r="B374" t="s">
        <v>2045</v>
      </c>
      <c r="C374" t="s">
        <v>760</v>
      </c>
      <c r="D374" s="10">
        <v>34053</v>
      </c>
      <c r="E374" t="s">
        <v>33</v>
      </c>
      <c r="F374" t="s">
        <v>33</v>
      </c>
      <c r="G374">
        <v>75</v>
      </c>
      <c r="H374">
        <v>220</v>
      </c>
      <c r="I374">
        <v>2018</v>
      </c>
      <c r="J374" s="4" t="str">
        <f>HYPERLINK("http://legacy.baseballprospectus.com/fantasy/dc/index.php?tm=SDN","SDN")</f>
        <v>SDN</v>
      </c>
      <c r="K374" t="s">
        <v>100</v>
      </c>
      <c r="L374" t="s">
        <v>34</v>
      </c>
      <c r="M374">
        <v>25</v>
      </c>
      <c r="N374">
        <v>2.8</v>
      </c>
      <c r="O374">
        <v>2.6</v>
      </c>
      <c r="P374">
        <v>0</v>
      </c>
      <c r="Q374">
        <v>0</v>
      </c>
      <c r="R374">
        <v>0</v>
      </c>
      <c r="S374">
        <v>1</v>
      </c>
      <c r="T374">
        <v>54</v>
      </c>
      <c r="U374">
        <v>0</v>
      </c>
      <c r="V374" s="9">
        <v>56.666699999999999</v>
      </c>
      <c r="W374">
        <v>238</v>
      </c>
      <c r="X374">
        <v>49</v>
      </c>
      <c r="Y374">
        <v>11</v>
      </c>
      <c r="Z374">
        <v>21</v>
      </c>
      <c r="AA374">
        <v>1</v>
      </c>
      <c r="AB374">
        <v>1</v>
      </c>
      <c r="AC374">
        <v>75</v>
      </c>
      <c r="AD374">
        <v>3.4</v>
      </c>
      <c r="AE374">
        <v>11.8</v>
      </c>
      <c r="AF374" s="5">
        <v>0.40200000000000002</v>
      </c>
      <c r="AG374">
        <v>0.29599999999999999</v>
      </c>
      <c r="AH374">
        <v>1.24</v>
      </c>
      <c r="AI374">
        <v>4.17</v>
      </c>
      <c r="AJ374">
        <v>4.5599999999999996</v>
      </c>
      <c r="AK374">
        <v>2.6</v>
      </c>
      <c r="AL374">
        <v>0.3</v>
      </c>
      <c r="AM374">
        <v>22</v>
      </c>
      <c r="AN374">
        <v>36</v>
      </c>
      <c r="AO374">
        <v>22</v>
      </c>
      <c r="AP374">
        <v>42</v>
      </c>
      <c r="AQ374" t="s">
        <v>2534</v>
      </c>
      <c r="AR374">
        <v>63</v>
      </c>
      <c r="AS374" t="s">
        <v>35</v>
      </c>
      <c r="AT374" t="s">
        <v>35</v>
      </c>
      <c r="AU374" s="4">
        <f>HYPERLINK("http://mlb.mlb.com/team/player.jsp?player_id=664208",664208)</f>
        <v>664208</v>
      </c>
      <c r="AV374">
        <v>1303</v>
      </c>
      <c r="AW374">
        <v>303</v>
      </c>
      <c r="AX374">
        <v>43</v>
      </c>
    </row>
    <row r="375" spans="1:50" x14ac:dyDescent="0.3">
      <c r="A375" s="4">
        <f>HYPERLINK("http://legacy.baseballprospectus.com/p/107171",107171)</f>
        <v>107171</v>
      </c>
      <c r="B375" t="s">
        <v>2025</v>
      </c>
      <c r="C375" t="s">
        <v>149</v>
      </c>
      <c r="D375" s="10">
        <v>34395</v>
      </c>
      <c r="E375" t="s">
        <v>33</v>
      </c>
      <c r="F375" t="s">
        <v>33</v>
      </c>
      <c r="G375">
        <v>76</v>
      </c>
      <c r="H375">
        <v>200</v>
      </c>
      <c r="I375">
        <v>2018</v>
      </c>
      <c r="J375" s="4" t="str">
        <f>HYPERLINK("http://legacy.baseballprospectus.com/fantasy/dc/index.php?tm=OAK","OAK")</f>
        <v>OAK</v>
      </c>
      <c r="K375" t="s">
        <v>95</v>
      </c>
      <c r="L375" t="s">
        <v>34</v>
      </c>
      <c r="M375">
        <v>24</v>
      </c>
      <c r="N375">
        <v>2.1</v>
      </c>
      <c r="O375">
        <v>2.4</v>
      </c>
      <c r="P375">
        <v>3.2</v>
      </c>
      <c r="Q375">
        <v>0</v>
      </c>
      <c r="R375">
        <v>0</v>
      </c>
      <c r="S375">
        <v>0</v>
      </c>
      <c r="T375">
        <v>7.4</v>
      </c>
      <c r="U375">
        <v>7.4</v>
      </c>
      <c r="V375" s="9">
        <v>34.666699999999999</v>
      </c>
      <c r="W375">
        <v>150</v>
      </c>
      <c r="X375">
        <v>34</v>
      </c>
      <c r="Y375">
        <v>6</v>
      </c>
      <c r="Z375">
        <v>14</v>
      </c>
      <c r="AA375" t="s">
        <v>1680</v>
      </c>
      <c r="AB375">
        <v>1</v>
      </c>
      <c r="AC375">
        <v>37</v>
      </c>
      <c r="AD375">
        <v>3.7</v>
      </c>
      <c r="AE375">
        <v>9.6999999999999993</v>
      </c>
      <c r="AF375" s="5">
        <v>0.50739753246307295</v>
      </c>
      <c r="AG375">
        <v>0.30499999999999999</v>
      </c>
      <c r="AH375">
        <v>1.4</v>
      </c>
      <c r="AI375">
        <v>4.84</v>
      </c>
      <c r="AJ375">
        <v>5.04</v>
      </c>
      <c r="AK375">
        <v>2.4</v>
      </c>
      <c r="AL375">
        <v>0.3</v>
      </c>
      <c r="AM375">
        <v>22</v>
      </c>
      <c r="AN375">
        <v>33</v>
      </c>
      <c r="AO375">
        <v>16</v>
      </c>
      <c r="AP375">
        <v>34</v>
      </c>
      <c r="AQ375" t="s">
        <v>2689</v>
      </c>
      <c r="AR375">
        <v>53</v>
      </c>
      <c r="AS375" t="s">
        <v>36</v>
      </c>
      <c r="AT375" t="s">
        <v>35</v>
      </c>
      <c r="AU375" s="4">
        <f>HYPERLINK("http://mlb.mlb.com/team/player.jsp?player_id=621076",621076)</f>
        <v>621076</v>
      </c>
      <c r="AV375">
        <v>195</v>
      </c>
      <c r="AW375">
        <v>1195</v>
      </c>
      <c r="AX375">
        <v>0</v>
      </c>
    </row>
    <row r="376" spans="1:50" x14ac:dyDescent="0.3">
      <c r="A376" s="4">
        <f>HYPERLINK("http://legacy.baseballprospectus.com/p/31714",31714)</f>
        <v>31714</v>
      </c>
      <c r="B376" t="s">
        <v>774</v>
      </c>
      <c r="C376" t="s">
        <v>111</v>
      </c>
      <c r="D376" s="10">
        <v>29681</v>
      </c>
      <c r="E376" t="s">
        <v>9</v>
      </c>
      <c r="F376" t="s">
        <v>9</v>
      </c>
      <c r="G376">
        <v>73</v>
      </c>
      <c r="H376">
        <v>215</v>
      </c>
      <c r="I376">
        <v>2018</v>
      </c>
      <c r="J376" s="4" t="str">
        <f>HYPERLINK("http://legacy.baseballprospectus.com/fantasy/dc/index.php?tm=ARI","ARI")</f>
        <v>ARI</v>
      </c>
      <c r="K376" t="s">
        <v>100</v>
      </c>
      <c r="L376" t="s">
        <v>34</v>
      </c>
      <c r="M376">
        <v>37</v>
      </c>
      <c r="N376">
        <v>2.1</v>
      </c>
      <c r="O376">
        <v>1.8</v>
      </c>
      <c r="P376">
        <v>0</v>
      </c>
      <c r="Q376">
        <v>0</v>
      </c>
      <c r="R376">
        <v>0</v>
      </c>
      <c r="S376">
        <v>1</v>
      </c>
      <c r="T376">
        <v>38</v>
      </c>
      <c r="U376">
        <v>0</v>
      </c>
      <c r="V376" s="9">
        <v>40</v>
      </c>
      <c r="W376">
        <v>171</v>
      </c>
      <c r="X376">
        <v>35</v>
      </c>
      <c r="Y376">
        <v>4</v>
      </c>
      <c r="Z376">
        <v>18</v>
      </c>
      <c r="AA376">
        <v>2</v>
      </c>
      <c r="AB376">
        <v>2</v>
      </c>
      <c r="AC376">
        <v>36</v>
      </c>
      <c r="AD376">
        <v>4</v>
      </c>
      <c r="AE376">
        <v>8.1999999999999993</v>
      </c>
      <c r="AF376" s="5">
        <v>0.48499999999999999</v>
      </c>
      <c r="AG376">
        <v>0.28899999999999998</v>
      </c>
      <c r="AH376">
        <v>1.33</v>
      </c>
      <c r="AI376">
        <v>4.16</v>
      </c>
      <c r="AJ376">
        <v>4.59</v>
      </c>
      <c r="AK376">
        <v>1.7</v>
      </c>
      <c r="AL376">
        <v>0.2</v>
      </c>
      <c r="AM376">
        <v>11</v>
      </c>
      <c r="AN376">
        <v>32</v>
      </c>
      <c r="AO376">
        <v>27</v>
      </c>
      <c r="AP376">
        <v>13</v>
      </c>
      <c r="AQ376" t="s">
        <v>2720</v>
      </c>
      <c r="AR376">
        <v>81</v>
      </c>
      <c r="AS376" t="s">
        <v>35</v>
      </c>
      <c r="AT376" t="s">
        <v>36</v>
      </c>
      <c r="AU376" s="4">
        <f>HYPERLINK("http://mlb.mlb.com/team/player.jsp?player_id=407822",407822)</f>
        <v>407822</v>
      </c>
      <c r="AV376">
        <v>0</v>
      </c>
      <c r="AW376">
        <v>0</v>
      </c>
      <c r="AX376">
        <v>51.3</v>
      </c>
    </row>
    <row r="377" spans="1:50" x14ac:dyDescent="0.3">
      <c r="A377" s="4">
        <f>HYPERLINK("http://legacy.baseballprospectus.com/p/31948",31948)</f>
        <v>31948</v>
      </c>
      <c r="B377" t="s">
        <v>695</v>
      </c>
      <c r="C377" t="s">
        <v>104</v>
      </c>
      <c r="D377" s="10">
        <v>30336</v>
      </c>
      <c r="E377" t="s">
        <v>9</v>
      </c>
      <c r="F377" t="s">
        <v>33</v>
      </c>
      <c r="G377">
        <v>73</v>
      </c>
      <c r="H377">
        <v>225</v>
      </c>
      <c r="I377">
        <v>2018</v>
      </c>
      <c r="J377" s="4" t="str">
        <f>HYPERLINK("http://legacy.baseballprospectus.com/fantasy/dc/index.php?tm=MIL","MIL")</f>
        <v>MIL</v>
      </c>
      <c r="K377" t="s">
        <v>100</v>
      </c>
      <c r="L377" t="s">
        <v>34</v>
      </c>
      <c r="M377">
        <v>35</v>
      </c>
      <c r="N377">
        <v>2.6</v>
      </c>
      <c r="O377">
        <v>2.2999999999999998</v>
      </c>
      <c r="P377">
        <v>0</v>
      </c>
      <c r="Q377">
        <v>0</v>
      </c>
      <c r="R377">
        <v>0</v>
      </c>
      <c r="S377">
        <v>1</v>
      </c>
      <c r="T377">
        <v>49</v>
      </c>
      <c r="U377">
        <v>0</v>
      </c>
      <c r="V377" s="9">
        <v>52</v>
      </c>
      <c r="W377">
        <v>224</v>
      </c>
      <c r="X377">
        <v>49</v>
      </c>
      <c r="Y377">
        <v>7</v>
      </c>
      <c r="Z377">
        <v>21</v>
      </c>
      <c r="AA377">
        <v>2</v>
      </c>
      <c r="AB377">
        <v>3</v>
      </c>
      <c r="AC377">
        <v>47</v>
      </c>
      <c r="AD377">
        <v>3.6</v>
      </c>
      <c r="AE377">
        <v>8.1</v>
      </c>
      <c r="AF377" s="5">
        <v>0.49399999999999999</v>
      </c>
      <c r="AG377">
        <v>0.29099999999999998</v>
      </c>
      <c r="AH377">
        <v>1.34</v>
      </c>
      <c r="AI377">
        <v>4.49</v>
      </c>
      <c r="AJ377">
        <v>4.6399999999999997</v>
      </c>
      <c r="AK377">
        <v>1.9</v>
      </c>
      <c r="AL377">
        <v>0.2</v>
      </c>
      <c r="AM377">
        <v>23</v>
      </c>
      <c r="AN377">
        <v>41</v>
      </c>
      <c r="AO377">
        <v>20</v>
      </c>
      <c r="AP377">
        <v>8</v>
      </c>
      <c r="AQ377" t="s">
        <v>2721</v>
      </c>
      <c r="AR377">
        <v>71</v>
      </c>
      <c r="AS377" t="s">
        <v>35</v>
      </c>
      <c r="AT377" t="s">
        <v>36</v>
      </c>
      <c r="AU377" s="4">
        <f>HYPERLINK("http://mlb.mlb.com/team/player.jsp?player_id=458006",458006)</f>
        <v>458006</v>
      </c>
      <c r="AV377">
        <v>1715</v>
      </c>
      <c r="AW377">
        <v>715</v>
      </c>
      <c r="AX377">
        <v>61</v>
      </c>
    </row>
    <row r="378" spans="1:50" x14ac:dyDescent="0.3">
      <c r="A378" s="4">
        <f>HYPERLINK("http://legacy.baseballprospectus.com/p/35863",35863)</f>
        <v>35863</v>
      </c>
      <c r="B378" t="s">
        <v>235</v>
      </c>
      <c r="C378" t="s">
        <v>622</v>
      </c>
      <c r="D378" s="10">
        <v>29427</v>
      </c>
      <c r="E378" t="s">
        <v>33</v>
      </c>
      <c r="F378" t="s">
        <v>33</v>
      </c>
      <c r="G378">
        <v>72</v>
      </c>
      <c r="H378">
        <v>210</v>
      </c>
      <c r="I378">
        <v>2018</v>
      </c>
      <c r="J378" s="4" t="str">
        <f>HYPERLINK("http://legacy.baseballprospectus.com/fantasy/dc/index.php?tm=OAK","OAK")</f>
        <v>OAK</v>
      </c>
      <c r="K378" t="s">
        <v>95</v>
      </c>
      <c r="L378" t="s">
        <v>34</v>
      </c>
      <c r="M378">
        <v>37</v>
      </c>
      <c r="N378">
        <v>2.2999999999999998</v>
      </c>
      <c r="O378">
        <v>2.8</v>
      </c>
      <c r="P378">
        <v>0</v>
      </c>
      <c r="Q378">
        <v>0</v>
      </c>
      <c r="R378">
        <v>10</v>
      </c>
      <c r="S378">
        <v>4</v>
      </c>
      <c r="T378">
        <v>52</v>
      </c>
      <c r="U378">
        <v>0</v>
      </c>
      <c r="V378" s="9">
        <v>54.666699999999999</v>
      </c>
      <c r="W378">
        <v>238</v>
      </c>
      <c r="X378">
        <v>52</v>
      </c>
      <c r="Y378">
        <v>8</v>
      </c>
      <c r="Z378">
        <v>23</v>
      </c>
      <c r="AA378">
        <v>2</v>
      </c>
      <c r="AB378">
        <v>4</v>
      </c>
      <c r="AC378">
        <v>49</v>
      </c>
      <c r="AD378">
        <v>3.8</v>
      </c>
      <c r="AE378">
        <v>8</v>
      </c>
      <c r="AF378" s="5">
        <v>0.44700000000000001</v>
      </c>
      <c r="AG378">
        <v>0.28699999999999998</v>
      </c>
      <c r="AH378">
        <v>1.37</v>
      </c>
      <c r="AI378">
        <v>4.9400000000000004</v>
      </c>
      <c r="AJ378">
        <v>4.95</v>
      </c>
      <c r="AK378">
        <v>1.7</v>
      </c>
      <c r="AL378">
        <v>0.2</v>
      </c>
      <c r="AM378">
        <v>14</v>
      </c>
      <c r="AN378">
        <v>28</v>
      </c>
      <c r="AO378">
        <v>32</v>
      </c>
      <c r="AP378">
        <v>16</v>
      </c>
      <c r="AQ378" t="s">
        <v>2832</v>
      </c>
      <c r="AR378">
        <v>76</v>
      </c>
      <c r="AS378" t="s">
        <v>35</v>
      </c>
      <c r="AT378" t="s">
        <v>36</v>
      </c>
      <c r="AU378" s="4">
        <f>HYPERLINK("http://mlb.mlb.com/team/player.jsp?player_id=433586",433586)</f>
        <v>433586</v>
      </c>
      <c r="AV378">
        <v>264</v>
      </c>
      <c r="AW378">
        <v>1264</v>
      </c>
      <c r="AX378">
        <v>59</v>
      </c>
    </row>
    <row r="379" spans="1:50" x14ac:dyDescent="0.3">
      <c r="A379" s="4">
        <f>HYPERLINK("http://legacy.baseballprospectus.com/p/36564",36564)</f>
        <v>36564</v>
      </c>
      <c r="B379" t="s">
        <v>822</v>
      </c>
      <c r="C379" t="s">
        <v>156</v>
      </c>
      <c r="D379" s="10">
        <v>30196</v>
      </c>
      <c r="E379" t="s">
        <v>33</v>
      </c>
      <c r="F379" t="s">
        <v>33</v>
      </c>
      <c r="G379">
        <v>78</v>
      </c>
      <c r="H379">
        <v>225</v>
      </c>
      <c r="I379">
        <v>2018</v>
      </c>
      <c r="J379" s="4" t="str">
        <f>HYPERLINK("http://legacy.baseballprospectus.com/fantasy/dc/index.php?tm=KCA","KCA")</f>
        <v>KCA</v>
      </c>
      <c r="K379" t="s">
        <v>95</v>
      </c>
      <c r="L379" t="s">
        <v>34</v>
      </c>
      <c r="M379">
        <v>35</v>
      </c>
      <c r="N379">
        <v>7.7</v>
      </c>
      <c r="O379">
        <v>12.7</v>
      </c>
      <c r="P379">
        <v>11</v>
      </c>
      <c r="Q379">
        <v>0</v>
      </c>
      <c r="R379">
        <v>0</v>
      </c>
      <c r="S379">
        <v>0</v>
      </c>
      <c r="T379">
        <v>29</v>
      </c>
      <c r="U379">
        <v>29</v>
      </c>
      <c r="V379" s="9">
        <v>165.33330000000001</v>
      </c>
      <c r="W379">
        <v>732</v>
      </c>
      <c r="X379">
        <v>179</v>
      </c>
      <c r="Y379">
        <v>28</v>
      </c>
      <c r="Z379">
        <v>59</v>
      </c>
      <c r="AA379">
        <v>3</v>
      </c>
      <c r="AB379">
        <v>9</v>
      </c>
      <c r="AC379">
        <v>126</v>
      </c>
      <c r="AD379">
        <v>3.2</v>
      </c>
      <c r="AE379">
        <v>6.9</v>
      </c>
      <c r="AF379" s="5">
        <v>0.41499999999999998</v>
      </c>
      <c r="AG379">
        <v>0.29599999999999999</v>
      </c>
      <c r="AH379">
        <v>1.45</v>
      </c>
      <c r="AI379">
        <v>5.1100000000000003</v>
      </c>
      <c r="AJ379">
        <v>5.42</v>
      </c>
      <c r="AK379">
        <v>1.9</v>
      </c>
      <c r="AL379">
        <v>0.2</v>
      </c>
      <c r="AM379">
        <v>16</v>
      </c>
      <c r="AN379">
        <v>40</v>
      </c>
      <c r="AO379">
        <v>19</v>
      </c>
      <c r="AP379">
        <v>12</v>
      </c>
      <c r="AQ379" t="s">
        <v>2447</v>
      </c>
      <c r="AR379">
        <v>85</v>
      </c>
      <c r="AS379" t="s">
        <v>35</v>
      </c>
      <c r="AT379" t="s">
        <v>36</v>
      </c>
      <c r="AU379" s="4">
        <f>HYPERLINK("http://mlb.mlb.com/team/player.jsp?player_id=434628",434628)</f>
        <v>434628</v>
      </c>
      <c r="AV379">
        <v>14</v>
      </c>
      <c r="AW379">
        <v>1014</v>
      </c>
      <c r="AX379">
        <v>180.3</v>
      </c>
    </row>
    <row r="380" spans="1:50" x14ac:dyDescent="0.3">
      <c r="A380" s="4">
        <f>HYPERLINK("http://legacy.baseballprospectus.com/p/40263",40263)</f>
        <v>40263</v>
      </c>
      <c r="B380" t="s">
        <v>889</v>
      </c>
      <c r="C380" t="s">
        <v>859</v>
      </c>
      <c r="D380" s="10">
        <v>29468</v>
      </c>
      <c r="E380" t="s">
        <v>37</v>
      </c>
      <c r="F380" t="s">
        <v>33</v>
      </c>
      <c r="G380">
        <v>75</v>
      </c>
      <c r="H380">
        <v>220</v>
      </c>
      <c r="I380">
        <v>2018</v>
      </c>
      <c r="J380" s="4" t="str">
        <f>HYPERLINK("http://legacy.baseballprospectus.com/fantasy/dc/index.php?tm=PHI","PHI")</f>
        <v>PHI</v>
      </c>
      <c r="K380" t="s">
        <v>100</v>
      </c>
      <c r="L380" t="s">
        <v>34</v>
      </c>
      <c r="M380">
        <v>37</v>
      </c>
      <c r="N380">
        <v>2.2999999999999998</v>
      </c>
      <c r="O380">
        <v>2.2000000000000002</v>
      </c>
      <c r="P380">
        <v>0</v>
      </c>
      <c r="Q380">
        <v>0</v>
      </c>
      <c r="R380">
        <v>0</v>
      </c>
      <c r="S380">
        <v>1</v>
      </c>
      <c r="T380">
        <v>45</v>
      </c>
      <c r="U380">
        <v>0</v>
      </c>
      <c r="V380" s="9">
        <v>48</v>
      </c>
      <c r="W380">
        <v>205</v>
      </c>
      <c r="X380">
        <v>45</v>
      </c>
      <c r="Y380">
        <v>8</v>
      </c>
      <c r="Z380">
        <v>18</v>
      </c>
      <c r="AA380">
        <v>2</v>
      </c>
      <c r="AB380">
        <v>1</v>
      </c>
      <c r="AC380">
        <v>47</v>
      </c>
      <c r="AD380">
        <v>3.3</v>
      </c>
      <c r="AE380">
        <v>8.8000000000000007</v>
      </c>
      <c r="AF380" s="5">
        <v>0.38600000000000001</v>
      </c>
      <c r="AG380">
        <v>0.28599999999999998</v>
      </c>
      <c r="AH380">
        <v>1.3</v>
      </c>
      <c r="AI380">
        <v>4.66</v>
      </c>
      <c r="AJ380">
        <v>4.71</v>
      </c>
      <c r="AK380">
        <v>1.4</v>
      </c>
      <c r="AL380">
        <v>0.2</v>
      </c>
      <c r="AM380">
        <v>20</v>
      </c>
      <c r="AN380">
        <v>33</v>
      </c>
      <c r="AO380">
        <v>29</v>
      </c>
      <c r="AP380">
        <v>13</v>
      </c>
      <c r="AQ380" t="s">
        <v>2613</v>
      </c>
      <c r="AR380">
        <v>84</v>
      </c>
      <c r="AS380" t="s">
        <v>35</v>
      </c>
      <c r="AT380" t="s">
        <v>36</v>
      </c>
      <c r="AU380" s="4">
        <f>HYPERLINK("http://mlb.mlb.com/team/player.jsp?player_id=450212",450212)</f>
        <v>450212</v>
      </c>
      <c r="AV380">
        <v>1260</v>
      </c>
      <c r="AW380">
        <v>260</v>
      </c>
      <c r="AX380">
        <v>62.3</v>
      </c>
    </row>
    <row r="381" spans="1:50" x14ac:dyDescent="0.3">
      <c r="A381" s="4">
        <f>HYPERLINK("http://legacy.baseballprospectus.com/p/47296",47296)</f>
        <v>47296</v>
      </c>
      <c r="B381" t="s">
        <v>312</v>
      </c>
      <c r="C381" t="s">
        <v>142</v>
      </c>
      <c r="D381" s="10">
        <v>31190</v>
      </c>
      <c r="E381" t="s">
        <v>9</v>
      </c>
      <c r="F381" t="s">
        <v>9</v>
      </c>
      <c r="G381">
        <v>72</v>
      </c>
      <c r="H381">
        <v>215</v>
      </c>
      <c r="I381">
        <v>2018</v>
      </c>
      <c r="J381" s="4" t="str">
        <f>HYPERLINK("http://legacy.baseballprospectus.com/fantasy/dc/index.php?tm=COL","COL")</f>
        <v>COL</v>
      </c>
      <c r="K381" t="s">
        <v>100</v>
      </c>
      <c r="L381" t="s">
        <v>34</v>
      </c>
      <c r="M381">
        <v>33</v>
      </c>
      <c r="N381">
        <v>2.8</v>
      </c>
      <c r="O381">
        <v>3</v>
      </c>
      <c r="P381">
        <v>0</v>
      </c>
      <c r="Q381">
        <v>0</v>
      </c>
      <c r="R381">
        <v>2</v>
      </c>
      <c r="S381">
        <v>4</v>
      </c>
      <c r="T381">
        <v>57</v>
      </c>
      <c r="U381">
        <v>0</v>
      </c>
      <c r="V381" s="9">
        <v>60.666699999999999</v>
      </c>
      <c r="W381">
        <v>271</v>
      </c>
      <c r="X381">
        <v>60</v>
      </c>
      <c r="Y381">
        <v>9</v>
      </c>
      <c r="Z381">
        <v>29</v>
      </c>
      <c r="AA381">
        <v>1</v>
      </c>
      <c r="AB381">
        <v>2</v>
      </c>
      <c r="AC381">
        <v>61</v>
      </c>
      <c r="AD381">
        <v>4.2</v>
      </c>
      <c r="AE381">
        <v>9.1</v>
      </c>
      <c r="AF381" s="5">
        <v>0.378</v>
      </c>
      <c r="AG381">
        <v>0.30299999999999999</v>
      </c>
      <c r="AH381">
        <v>1.48</v>
      </c>
      <c r="AI381">
        <v>4.74</v>
      </c>
      <c r="AJ381">
        <v>4.74</v>
      </c>
      <c r="AK381">
        <v>1.6</v>
      </c>
      <c r="AL381">
        <v>0.2</v>
      </c>
      <c r="AM381">
        <v>21</v>
      </c>
      <c r="AN381">
        <v>43</v>
      </c>
      <c r="AO381">
        <v>23</v>
      </c>
      <c r="AP381">
        <v>10</v>
      </c>
      <c r="AQ381" t="s">
        <v>2984</v>
      </c>
      <c r="AR381">
        <v>92</v>
      </c>
      <c r="AS381" t="s">
        <v>35</v>
      </c>
      <c r="AT381" t="s">
        <v>36</v>
      </c>
      <c r="AU381" s="4">
        <f>HYPERLINK("http://mlb.mlb.com/team/player.jsp?player_id=445197",445197)</f>
        <v>445197</v>
      </c>
      <c r="AV381">
        <v>1294</v>
      </c>
      <c r="AW381">
        <v>294</v>
      </c>
      <c r="AX381">
        <v>50.3</v>
      </c>
    </row>
    <row r="382" spans="1:50" x14ac:dyDescent="0.3">
      <c r="A382" s="4">
        <f>HYPERLINK("http://legacy.baseballprospectus.com/p/47850",47850)</f>
        <v>47850</v>
      </c>
      <c r="B382" t="s">
        <v>820</v>
      </c>
      <c r="C382" t="s">
        <v>1075</v>
      </c>
      <c r="D382" s="10">
        <v>31063</v>
      </c>
      <c r="E382" t="s">
        <v>33</v>
      </c>
      <c r="F382" t="s">
        <v>33</v>
      </c>
      <c r="G382">
        <v>72</v>
      </c>
      <c r="H382">
        <v>205</v>
      </c>
      <c r="I382">
        <v>2018</v>
      </c>
      <c r="J382" s="4" t="str">
        <f>HYPERLINK("http://legacy.baseballprospectus.com/fantasy/dc/index.php?tm=MIL","MIL")</f>
        <v>MIL</v>
      </c>
      <c r="K382" t="s">
        <v>100</v>
      </c>
      <c r="L382" t="s">
        <v>34</v>
      </c>
      <c r="M382">
        <v>33</v>
      </c>
      <c r="N382">
        <v>5.7</v>
      </c>
      <c r="O382">
        <v>5.9</v>
      </c>
      <c r="P382">
        <v>7</v>
      </c>
      <c r="Q382">
        <v>0</v>
      </c>
      <c r="R382">
        <v>0</v>
      </c>
      <c r="S382">
        <v>0</v>
      </c>
      <c r="T382">
        <v>16</v>
      </c>
      <c r="U382">
        <v>16</v>
      </c>
      <c r="V382" s="9">
        <v>96</v>
      </c>
      <c r="W382">
        <v>414</v>
      </c>
      <c r="X382">
        <v>91</v>
      </c>
      <c r="Y382">
        <v>16</v>
      </c>
      <c r="Z382">
        <v>40</v>
      </c>
      <c r="AA382">
        <v>2</v>
      </c>
      <c r="AB382">
        <v>4</v>
      </c>
      <c r="AC382">
        <v>90</v>
      </c>
      <c r="AD382">
        <v>3.8</v>
      </c>
      <c r="AE382">
        <v>8.4</v>
      </c>
      <c r="AF382" s="5">
        <v>0.42699999999999999</v>
      </c>
      <c r="AG382">
        <v>0.28599999999999998</v>
      </c>
      <c r="AH382">
        <v>1.34</v>
      </c>
      <c r="AI382">
        <v>4.71</v>
      </c>
      <c r="AJ382">
        <v>5.05</v>
      </c>
      <c r="AK382">
        <v>2.2000000000000002</v>
      </c>
      <c r="AL382">
        <v>0.2</v>
      </c>
      <c r="AM382">
        <v>11</v>
      </c>
      <c r="AN382">
        <v>35</v>
      </c>
      <c r="AO382">
        <v>18</v>
      </c>
      <c r="AP382">
        <v>14</v>
      </c>
      <c r="AQ382" t="s">
        <v>2696</v>
      </c>
      <c r="AR382">
        <v>69</v>
      </c>
      <c r="AS382" t="s">
        <v>35</v>
      </c>
      <c r="AT382" t="s">
        <v>36</v>
      </c>
      <c r="AU382" s="4">
        <f>HYPERLINK("http://mlb.mlb.com/team/player.jsp?player_id=448855",448855)</f>
        <v>448855</v>
      </c>
      <c r="AV382">
        <v>1072</v>
      </c>
      <c r="AW382">
        <v>72</v>
      </c>
      <c r="AX382">
        <v>70.3</v>
      </c>
    </row>
    <row r="383" spans="1:50" x14ac:dyDescent="0.3">
      <c r="A383" s="4">
        <f>HYPERLINK("http://legacy.baseballprospectus.com/p/50043",50043)</f>
        <v>50043</v>
      </c>
      <c r="B383" t="s">
        <v>551</v>
      </c>
      <c r="C383" t="s">
        <v>2230</v>
      </c>
      <c r="D383" s="10">
        <v>31685</v>
      </c>
      <c r="E383" t="s">
        <v>9</v>
      </c>
      <c r="F383" t="s">
        <v>9</v>
      </c>
      <c r="G383">
        <v>72</v>
      </c>
      <c r="H383">
        <v>180</v>
      </c>
      <c r="I383">
        <v>2018</v>
      </c>
      <c r="J383" s="4" t="str">
        <f>HYPERLINK("http://legacy.baseballprospectus.com/fantasy/dc/index.php?tm=LAN","LAN")</f>
        <v>LAN</v>
      </c>
      <c r="K383" t="s">
        <v>100</v>
      </c>
      <c r="L383" t="s">
        <v>34</v>
      </c>
      <c r="M383">
        <v>31</v>
      </c>
      <c r="N383">
        <v>1.5</v>
      </c>
      <c r="O383">
        <v>1.1000000000000001</v>
      </c>
      <c r="P383">
        <v>0</v>
      </c>
      <c r="Q383">
        <v>0</v>
      </c>
      <c r="R383">
        <v>0</v>
      </c>
      <c r="S383">
        <v>1</v>
      </c>
      <c r="T383">
        <v>25</v>
      </c>
      <c r="U383">
        <v>0</v>
      </c>
      <c r="V383" s="9">
        <v>26.333300000000001</v>
      </c>
      <c r="W383">
        <v>115</v>
      </c>
      <c r="X383">
        <v>24</v>
      </c>
      <c r="Y383">
        <v>4</v>
      </c>
      <c r="Z383">
        <v>12</v>
      </c>
      <c r="AA383">
        <v>1</v>
      </c>
      <c r="AB383">
        <v>2</v>
      </c>
      <c r="AC383">
        <v>31</v>
      </c>
      <c r="AD383">
        <v>4.0999999999999996</v>
      </c>
      <c r="AE383">
        <v>10.6</v>
      </c>
      <c r="AF383" s="5">
        <v>0.41099999999999998</v>
      </c>
      <c r="AG383">
        <v>0.29899999999999999</v>
      </c>
      <c r="AH383">
        <v>1.35</v>
      </c>
      <c r="AI383">
        <v>4.0199999999999996</v>
      </c>
      <c r="AJ383">
        <v>4.4800000000000004</v>
      </c>
      <c r="AK383">
        <v>1.4</v>
      </c>
      <c r="AL383">
        <v>0.2</v>
      </c>
      <c r="AM383">
        <v>4</v>
      </c>
      <c r="AN383">
        <v>16</v>
      </c>
      <c r="AO383">
        <v>9</v>
      </c>
      <c r="AP383">
        <v>8</v>
      </c>
      <c r="AQ383" t="s">
        <v>2986</v>
      </c>
      <c r="AR383">
        <v>27</v>
      </c>
      <c r="AS383" t="s">
        <v>35</v>
      </c>
      <c r="AT383" t="s">
        <v>35</v>
      </c>
      <c r="AU383" s="4">
        <f>HYPERLINK("http://mlb.mlb.com/team/player.jsp?player_id=487675",487675)</f>
        <v>487675</v>
      </c>
      <c r="AV383">
        <v>1340</v>
      </c>
      <c r="AW383">
        <v>340</v>
      </c>
      <c r="AX383">
        <v>8.3000000000000007</v>
      </c>
    </row>
    <row r="384" spans="1:50" x14ac:dyDescent="0.3">
      <c r="A384" s="4">
        <f>HYPERLINK("http://legacy.baseballprospectus.com/p/50087",50087)</f>
        <v>50087</v>
      </c>
      <c r="B384" t="s">
        <v>854</v>
      </c>
      <c r="C384" t="s">
        <v>463</v>
      </c>
      <c r="D384" s="10">
        <v>31210</v>
      </c>
      <c r="E384" t="s">
        <v>33</v>
      </c>
      <c r="F384" t="s">
        <v>33</v>
      </c>
      <c r="G384">
        <v>75</v>
      </c>
      <c r="H384">
        <v>215</v>
      </c>
      <c r="I384">
        <v>2018</v>
      </c>
      <c r="J384" s="4" t="str">
        <f>HYPERLINK("http://legacy.baseballprospectus.com/fantasy/dc/index.php?tm=PIT","PIT")</f>
        <v>PIT</v>
      </c>
      <c r="K384" t="s">
        <v>100</v>
      </c>
      <c r="L384" t="s">
        <v>34</v>
      </c>
      <c r="M384">
        <v>33</v>
      </c>
      <c r="N384">
        <v>2.8</v>
      </c>
      <c r="O384">
        <v>2.9</v>
      </c>
      <c r="P384">
        <v>0</v>
      </c>
      <c r="Q384">
        <v>0</v>
      </c>
      <c r="R384">
        <v>0</v>
      </c>
      <c r="S384">
        <v>4</v>
      </c>
      <c r="T384">
        <v>56</v>
      </c>
      <c r="U384">
        <v>0</v>
      </c>
      <c r="V384" s="9">
        <v>59.333300000000001</v>
      </c>
      <c r="W384">
        <v>256</v>
      </c>
      <c r="X384">
        <v>58</v>
      </c>
      <c r="Y384">
        <v>7</v>
      </c>
      <c r="Z384">
        <v>24</v>
      </c>
      <c r="AA384">
        <v>2</v>
      </c>
      <c r="AB384">
        <v>2</v>
      </c>
      <c r="AC384">
        <v>46</v>
      </c>
      <c r="AD384">
        <v>3.6</v>
      </c>
      <c r="AE384">
        <v>6.9</v>
      </c>
      <c r="AF384" s="5">
        <v>0.46</v>
      </c>
      <c r="AG384">
        <v>0.28599999999999998</v>
      </c>
      <c r="AH384">
        <v>1.36</v>
      </c>
      <c r="AI384">
        <v>4.54</v>
      </c>
      <c r="AJ384">
        <v>4.74</v>
      </c>
      <c r="AK384">
        <v>1.6</v>
      </c>
      <c r="AL384">
        <v>0.2</v>
      </c>
      <c r="AM384">
        <v>17</v>
      </c>
      <c r="AN384">
        <v>38</v>
      </c>
      <c r="AO384">
        <v>27</v>
      </c>
      <c r="AP384">
        <v>11</v>
      </c>
      <c r="AQ384" t="s">
        <v>2835</v>
      </c>
      <c r="AR384">
        <v>82</v>
      </c>
      <c r="AS384" t="s">
        <v>35</v>
      </c>
      <c r="AT384" t="s">
        <v>36</v>
      </c>
      <c r="AU384" s="4">
        <f>HYPERLINK("http://mlb.mlb.com/team/player.jsp?player_id=502004",502004)</f>
        <v>502004</v>
      </c>
      <c r="AV384">
        <v>1252</v>
      </c>
      <c r="AW384">
        <v>252</v>
      </c>
      <c r="AX384">
        <v>66.3</v>
      </c>
    </row>
    <row r="385" spans="1:50" x14ac:dyDescent="0.3">
      <c r="A385" s="4">
        <f>HYPERLINK("http://legacy.baseballprospectus.com/p/51059",51059)</f>
        <v>51059</v>
      </c>
      <c r="B385" t="s">
        <v>1794</v>
      </c>
      <c r="C385" t="s">
        <v>225</v>
      </c>
      <c r="D385" s="10">
        <v>30629</v>
      </c>
      <c r="E385" t="s">
        <v>33</v>
      </c>
      <c r="F385" t="s">
        <v>33</v>
      </c>
      <c r="G385">
        <v>73</v>
      </c>
      <c r="H385">
        <v>190</v>
      </c>
      <c r="I385">
        <v>2018</v>
      </c>
      <c r="J385" s="4" t="str">
        <f>HYPERLINK("http://legacy.baseballprospectus.com/fantasy/dc/index.php?tm=TEX","TEX")</f>
        <v>TEX</v>
      </c>
      <c r="K385" t="s">
        <v>95</v>
      </c>
      <c r="L385" t="s">
        <v>34</v>
      </c>
      <c r="M385">
        <v>34</v>
      </c>
      <c r="N385">
        <v>2</v>
      </c>
      <c r="O385">
        <v>2.5</v>
      </c>
      <c r="P385">
        <v>0</v>
      </c>
      <c r="Q385">
        <v>0</v>
      </c>
      <c r="R385">
        <v>0</v>
      </c>
      <c r="S385">
        <v>1</v>
      </c>
      <c r="T385">
        <v>45</v>
      </c>
      <c r="U385">
        <v>0</v>
      </c>
      <c r="V385" s="9">
        <v>47.333300000000001</v>
      </c>
      <c r="W385">
        <v>212</v>
      </c>
      <c r="X385">
        <v>50</v>
      </c>
      <c r="Y385">
        <v>6</v>
      </c>
      <c r="Z385">
        <v>22</v>
      </c>
      <c r="AA385">
        <v>2</v>
      </c>
      <c r="AB385">
        <v>3</v>
      </c>
      <c r="AC385">
        <v>38</v>
      </c>
      <c r="AD385">
        <v>4.0999999999999996</v>
      </c>
      <c r="AE385">
        <v>7.3</v>
      </c>
      <c r="AF385" s="5">
        <v>0.443</v>
      </c>
      <c r="AG385">
        <v>0.30299999999999999</v>
      </c>
      <c r="AH385">
        <v>1.53</v>
      </c>
      <c r="AI385">
        <v>5.08</v>
      </c>
      <c r="AJ385">
        <v>4.87</v>
      </c>
      <c r="AK385">
        <v>1.9</v>
      </c>
      <c r="AL385">
        <v>0.2</v>
      </c>
      <c r="AM385">
        <v>15</v>
      </c>
      <c r="AN385">
        <v>26</v>
      </c>
      <c r="AO385">
        <v>38</v>
      </c>
      <c r="AP385">
        <v>7</v>
      </c>
      <c r="AQ385" t="s">
        <v>2701</v>
      </c>
      <c r="AR385">
        <v>86</v>
      </c>
      <c r="AS385" t="s">
        <v>35</v>
      </c>
      <c r="AT385" t="s">
        <v>36</v>
      </c>
      <c r="AU385" s="4">
        <f>HYPERLINK("http://mlb.mlb.com/team/player.jsp?player_id=501817",501817)</f>
        <v>501817</v>
      </c>
      <c r="AV385">
        <v>270</v>
      </c>
      <c r="AW385">
        <v>1270</v>
      </c>
      <c r="AX385">
        <v>57.3</v>
      </c>
    </row>
    <row r="386" spans="1:50" x14ac:dyDescent="0.3">
      <c r="A386" s="4">
        <f>HYPERLINK("http://legacy.baseballprospectus.com/p/51632",51632)</f>
        <v>51632</v>
      </c>
      <c r="B386" t="s">
        <v>298</v>
      </c>
      <c r="C386" t="s">
        <v>2838</v>
      </c>
      <c r="D386" s="10">
        <v>32549</v>
      </c>
      <c r="E386" t="s">
        <v>33</v>
      </c>
      <c r="F386" t="s">
        <v>33</v>
      </c>
      <c r="G386">
        <v>70</v>
      </c>
      <c r="H386">
        <v>195</v>
      </c>
      <c r="I386">
        <v>2018</v>
      </c>
      <c r="J386" s="4" t="str">
        <f>HYPERLINK("http://legacy.baseballprospectus.com/fantasy/dc/index.php?tm=ANA","ANA")</f>
        <v>ANA</v>
      </c>
      <c r="K386" t="s">
        <v>95</v>
      </c>
      <c r="L386" t="s">
        <v>34</v>
      </c>
      <c r="M386">
        <v>29</v>
      </c>
      <c r="N386">
        <v>2</v>
      </c>
      <c r="O386">
        <v>2.2999999999999998</v>
      </c>
      <c r="P386">
        <v>0</v>
      </c>
      <c r="Q386">
        <v>0</v>
      </c>
      <c r="R386">
        <v>0</v>
      </c>
      <c r="S386">
        <v>1</v>
      </c>
      <c r="T386">
        <v>44</v>
      </c>
      <c r="U386">
        <v>0</v>
      </c>
      <c r="V386" s="9">
        <v>46</v>
      </c>
      <c r="W386">
        <v>202</v>
      </c>
      <c r="X386">
        <v>46</v>
      </c>
      <c r="Y386">
        <v>7</v>
      </c>
      <c r="Z386">
        <v>20</v>
      </c>
      <c r="AA386">
        <v>1</v>
      </c>
      <c r="AB386">
        <v>1</v>
      </c>
      <c r="AC386">
        <v>40</v>
      </c>
      <c r="AD386">
        <v>3.9</v>
      </c>
      <c r="AE386">
        <v>7.9</v>
      </c>
      <c r="AF386" s="5">
        <v>0.42399999999999999</v>
      </c>
      <c r="AG386">
        <v>0.29399999999999998</v>
      </c>
      <c r="AH386">
        <v>1.44</v>
      </c>
      <c r="AI386">
        <v>4.7699999999999996</v>
      </c>
      <c r="AJ386">
        <v>4.9000000000000004</v>
      </c>
      <c r="AK386">
        <v>1.7</v>
      </c>
      <c r="AL386">
        <v>0.2</v>
      </c>
      <c r="AM386">
        <v>12</v>
      </c>
      <c r="AN386">
        <v>15</v>
      </c>
      <c r="AO386">
        <v>14</v>
      </c>
      <c r="AP386">
        <v>22</v>
      </c>
      <c r="AQ386" t="s">
        <v>2839</v>
      </c>
      <c r="AR386">
        <v>34</v>
      </c>
      <c r="AS386" t="s">
        <v>35</v>
      </c>
      <c r="AT386" t="s">
        <v>35</v>
      </c>
      <c r="AU386" s="4">
        <f>HYPERLINK("http://mlb.mlb.com/team/player.jsp?player_id=500765",500765)</f>
        <v>500765</v>
      </c>
      <c r="AV386">
        <v>113</v>
      </c>
      <c r="AW386">
        <v>1113</v>
      </c>
      <c r="AX386">
        <v>13</v>
      </c>
    </row>
    <row r="387" spans="1:50" x14ac:dyDescent="0.3">
      <c r="A387" s="4">
        <f>HYPERLINK("http://legacy.baseballprospectus.com/p/51927",51927)</f>
        <v>51927</v>
      </c>
      <c r="B387" t="s">
        <v>431</v>
      </c>
      <c r="C387" t="s">
        <v>374</v>
      </c>
      <c r="D387" s="10">
        <v>31232</v>
      </c>
      <c r="E387" t="s">
        <v>33</v>
      </c>
      <c r="F387" t="s">
        <v>33</v>
      </c>
      <c r="G387">
        <v>79</v>
      </c>
      <c r="H387">
        <v>240</v>
      </c>
      <c r="I387">
        <v>2018</v>
      </c>
      <c r="J387" s="4" t="str">
        <f>HYPERLINK("http://legacy.baseballprospectus.com/fantasy/dc/index.php?tm=CIN","CIN")</f>
        <v>CIN</v>
      </c>
      <c r="K387" t="s">
        <v>100</v>
      </c>
      <c r="L387" t="s">
        <v>34</v>
      </c>
      <c r="M387">
        <v>32</v>
      </c>
      <c r="N387">
        <v>2.8</v>
      </c>
      <c r="O387">
        <v>3</v>
      </c>
      <c r="P387">
        <v>0</v>
      </c>
      <c r="Q387">
        <v>0</v>
      </c>
      <c r="R387">
        <v>0</v>
      </c>
      <c r="S387">
        <v>1</v>
      </c>
      <c r="T387">
        <v>59</v>
      </c>
      <c r="U387">
        <v>0</v>
      </c>
      <c r="V387" s="9">
        <v>62.666699999999999</v>
      </c>
      <c r="W387">
        <v>276</v>
      </c>
      <c r="X387">
        <v>61</v>
      </c>
      <c r="Y387">
        <v>6</v>
      </c>
      <c r="Z387">
        <v>29</v>
      </c>
      <c r="AA387">
        <v>3</v>
      </c>
      <c r="AB387">
        <v>5</v>
      </c>
      <c r="AC387">
        <v>46</v>
      </c>
      <c r="AD387">
        <v>4.2</v>
      </c>
      <c r="AE387">
        <v>6.7</v>
      </c>
      <c r="AF387" s="5">
        <v>0.56399999999999995</v>
      </c>
      <c r="AG387">
        <v>0.29199999999999998</v>
      </c>
      <c r="AH387">
        <v>1.45</v>
      </c>
      <c r="AI387">
        <v>4.8</v>
      </c>
      <c r="AJ387">
        <v>4.67</v>
      </c>
      <c r="AK387">
        <v>2.1</v>
      </c>
      <c r="AL387">
        <v>0.2</v>
      </c>
      <c r="AM387">
        <v>21</v>
      </c>
      <c r="AN387">
        <v>41</v>
      </c>
      <c r="AO387">
        <v>24</v>
      </c>
      <c r="AP387">
        <v>13</v>
      </c>
      <c r="AQ387" t="s">
        <v>2987</v>
      </c>
      <c r="AR387">
        <v>87</v>
      </c>
      <c r="AS387" t="s">
        <v>35</v>
      </c>
      <c r="AT387" t="s">
        <v>36</v>
      </c>
      <c r="AU387" s="4">
        <f>HYPERLINK("http://mlb.mlb.com/team/player.jsp?player_id=453172",453172)</f>
        <v>453172</v>
      </c>
      <c r="AV387">
        <v>1267</v>
      </c>
      <c r="AW387">
        <v>267</v>
      </c>
      <c r="AX387">
        <v>59.7</v>
      </c>
    </row>
    <row r="388" spans="1:50" x14ac:dyDescent="0.3">
      <c r="A388" s="4">
        <f>HYPERLINK("http://legacy.baseballprospectus.com/p/53724",53724)</f>
        <v>53724</v>
      </c>
      <c r="B388" t="s">
        <v>2702</v>
      </c>
      <c r="C388" t="s">
        <v>2703</v>
      </c>
      <c r="D388" s="10">
        <v>30749</v>
      </c>
      <c r="E388" t="s">
        <v>33</v>
      </c>
      <c r="F388" t="s">
        <v>33</v>
      </c>
      <c r="G388">
        <v>72</v>
      </c>
      <c r="H388">
        <v>158</v>
      </c>
      <c r="I388">
        <v>2018</v>
      </c>
      <c r="J388" s="4" t="str">
        <f>HYPERLINK("http://legacy.baseballprospectus.com/fantasy/dc/index.php?tm=ARI","ARI")</f>
        <v>ARI</v>
      </c>
      <c r="K388" t="s">
        <v>100</v>
      </c>
      <c r="L388" t="s">
        <v>34</v>
      </c>
      <c r="M388">
        <v>34</v>
      </c>
      <c r="N388">
        <v>2.1</v>
      </c>
      <c r="O388">
        <v>1.8</v>
      </c>
      <c r="P388">
        <v>0</v>
      </c>
      <c r="Q388">
        <v>0</v>
      </c>
      <c r="R388">
        <v>0</v>
      </c>
      <c r="S388">
        <v>1</v>
      </c>
      <c r="T388">
        <v>38</v>
      </c>
      <c r="U388">
        <v>0</v>
      </c>
      <c r="V388" s="9">
        <v>40</v>
      </c>
      <c r="W388">
        <v>171</v>
      </c>
      <c r="X388">
        <v>39</v>
      </c>
      <c r="Y388">
        <v>5</v>
      </c>
      <c r="Z388">
        <v>14</v>
      </c>
      <c r="AA388">
        <v>1</v>
      </c>
      <c r="AB388">
        <v>1</v>
      </c>
      <c r="AC388">
        <v>37</v>
      </c>
      <c r="AD388">
        <v>3.2</v>
      </c>
      <c r="AE388">
        <v>8.4</v>
      </c>
      <c r="AF388" s="5">
        <v>0.45</v>
      </c>
      <c r="AG388">
        <v>0.29799999999999999</v>
      </c>
      <c r="AH388">
        <v>1.33</v>
      </c>
      <c r="AI388">
        <v>4.1500000000000004</v>
      </c>
      <c r="AJ388">
        <v>4.59</v>
      </c>
      <c r="AK388">
        <v>1.7</v>
      </c>
      <c r="AL388">
        <v>0.2</v>
      </c>
      <c r="AM388">
        <v>13</v>
      </c>
      <c r="AN388">
        <v>29</v>
      </c>
      <c r="AO388">
        <v>36</v>
      </c>
      <c r="AP388">
        <v>6</v>
      </c>
      <c r="AQ388" t="s">
        <v>2704</v>
      </c>
      <c r="AR388">
        <v>86</v>
      </c>
      <c r="AS388" t="s">
        <v>35</v>
      </c>
      <c r="AT388" t="s">
        <v>35</v>
      </c>
      <c r="AU388" s="4">
        <f>HYPERLINK("http://mlb.mlb.com/team/player.jsp?player_id=673633",673633)</f>
        <v>673633</v>
      </c>
      <c r="AV388">
        <v>1368</v>
      </c>
      <c r="AW388">
        <v>368</v>
      </c>
      <c r="AX388">
        <v>0</v>
      </c>
    </row>
    <row r="389" spans="1:50" x14ac:dyDescent="0.3">
      <c r="A389" s="4">
        <f>HYPERLINK("http://legacy.baseballprospectus.com/p/56278",56278)</f>
        <v>56278</v>
      </c>
      <c r="B389" t="s">
        <v>2706</v>
      </c>
      <c r="C389" t="s">
        <v>336</v>
      </c>
      <c r="D389" s="10">
        <v>33017</v>
      </c>
      <c r="E389" t="s">
        <v>33</v>
      </c>
      <c r="F389" t="s">
        <v>33</v>
      </c>
      <c r="G389">
        <v>76</v>
      </c>
      <c r="H389">
        <v>265</v>
      </c>
      <c r="I389">
        <v>2018</v>
      </c>
      <c r="J389" s="4" t="str">
        <f>HYPERLINK("http://legacy.baseballprospectus.com/fantasy/dc/index.php?tm=LAN","LAN")</f>
        <v>LAN</v>
      </c>
      <c r="K389" t="s">
        <v>100</v>
      </c>
      <c r="L389" t="s">
        <v>34</v>
      </c>
      <c r="M389">
        <v>28</v>
      </c>
      <c r="N389">
        <v>1.5</v>
      </c>
      <c r="O389">
        <v>1.1000000000000001</v>
      </c>
      <c r="P389">
        <v>0</v>
      </c>
      <c r="Q389">
        <v>0</v>
      </c>
      <c r="R389">
        <v>0</v>
      </c>
      <c r="S389">
        <v>1</v>
      </c>
      <c r="T389">
        <v>25</v>
      </c>
      <c r="U389">
        <v>0</v>
      </c>
      <c r="V389" s="9">
        <v>26.333300000000001</v>
      </c>
      <c r="W389">
        <v>109</v>
      </c>
      <c r="X389">
        <v>23</v>
      </c>
      <c r="Y389">
        <v>4</v>
      </c>
      <c r="Z389">
        <v>9</v>
      </c>
      <c r="AA389">
        <v>1</v>
      </c>
      <c r="AB389">
        <v>1</v>
      </c>
      <c r="AC389">
        <v>30</v>
      </c>
      <c r="AD389">
        <v>3</v>
      </c>
      <c r="AE389">
        <v>10.1</v>
      </c>
      <c r="AF389" s="5">
        <v>0.38500000000000001</v>
      </c>
      <c r="AG389">
        <v>0.28699999999999998</v>
      </c>
      <c r="AH389">
        <v>1.17</v>
      </c>
      <c r="AI389">
        <v>3.8</v>
      </c>
      <c r="AJ389">
        <v>4.3</v>
      </c>
      <c r="AK389">
        <v>1.9</v>
      </c>
      <c r="AL389">
        <v>0.2</v>
      </c>
      <c r="AM389">
        <v>21</v>
      </c>
      <c r="AN389">
        <v>35</v>
      </c>
      <c r="AO389">
        <v>14</v>
      </c>
      <c r="AP389">
        <v>23</v>
      </c>
      <c r="AQ389" t="s">
        <v>2707</v>
      </c>
      <c r="AR389">
        <v>55</v>
      </c>
      <c r="AS389" t="s">
        <v>35</v>
      </c>
      <c r="AT389" t="s">
        <v>35</v>
      </c>
      <c r="AU389" s="4">
        <f>HYPERLINK("http://mlb.mlb.com/team/player.jsp?player_id=521655",521655)</f>
        <v>521655</v>
      </c>
      <c r="AV389">
        <v>1134</v>
      </c>
      <c r="AW389">
        <v>134</v>
      </c>
      <c r="AX389">
        <v>3.7</v>
      </c>
    </row>
    <row r="390" spans="1:50" x14ac:dyDescent="0.3">
      <c r="A390" s="4">
        <f>HYPERLINK("http://legacy.baseballprospectus.com/p/56333",56333)</f>
        <v>56333</v>
      </c>
      <c r="B390" t="s">
        <v>805</v>
      </c>
      <c r="C390" t="s">
        <v>648</v>
      </c>
      <c r="D390" s="10">
        <v>31516</v>
      </c>
      <c r="E390" t="s">
        <v>33</v>
      </c>
      <c r="F390" t="s">
        <v>33</v>
      </c>
      <c r="G390">
        <v>75</v>
      </c>
      <c r="H390">
        <v>200</v>
      </c>
      <c r="I390">
        <v>2018</v>
      </c>
      <c r="J390" s="4" t="str">
        <f>HYPERLINK("http://legacy.baseballprospectus.com/fantasy/dc/index.php?tm=SFN","SFN")</f>
        <v>SFN</v>
      </c>
      <c r="K390" t="s">
        <v>100</v>
      </c>
      <c r="L390" t="s">
        <v>34</v>
      </c>
      <c r="M390">
        <v>32</v>
      </c>
      <c r="N390">
        <v>2.4</v>
      </c>
      <c r="O390">
        <v>2.1</v>
      </c>
      <c r="P390">
        <v>0</v>
      </c>
      <c r="Q390">
        <v>0</v>
      </c>
      <c r="R390">
        <v>0</v>
      </c>
      <c r="S390">
        <v>0</v>
      </c>
      <c r="T390">
        <v>44</v>
      </c>
      <c r="U390">
        <v>0</v>
      </c>
      <c r="V390" s="9">
        <v>47</v>
      </c>
      <c r="W390">
        <v>203</v>
      </c>
      <c r="X390">
        <v>44</v>
      </c>
      <c r="Y390">
        <v>5</v>
      </c>
      <c r="Z390">
        <v>21</v>
      </c>
      <c r="AA390">
        <v>2</v>
      </c>
      <c r="AB390">
        <v>3</v>
      </c>
      <c r="AC390">
        <v>43</v>
      </c>
      <c r="AD390">
        <v>3.9</v>
      </c>
      <c r="AE390">
        <v>8.3000000000000007</v>
      </c>
      <c r="AF390" s="5">
        <v>0.48399999999999999</v>
      </c>
      <c r="AG390">
        <v>0.29499999999999998</v>
      </c>
      <c r="AH390">
        <v>1.37</v>
      </c>
      <c r="AI390">
        <v>4.07</v>
      </c>
      <c r="AJ390">
        <v>4.68</v>
      </c>
      <c r="AK390">
        <v>1.5</v>
      </c>
      <c r="AL390">
        <v>0.2</v>
      </c>
      <c r="AM390">
        <v>24</v>
      </c>
      <c r="AN390">
        <v>45</v>
      </c>
      <c r="AO390">
        <v>20</v>
      </c>
      <c r="AP390">
        <v>10</v>
      </c>
      <c r="AQ390" t="s">
        <v>2708</v>
      </c>
      <c r="AR390">
        <v>81</v>
      </c>
      <c r="AS390" t="s">
        <v>35</v>
      </c>
      <c r="AT390" t="s">
        <v>36</v>
      </c>
      <c r="AU390" s="4">
        <f>HYPERLINK("http://mlb.mlb.com/team/player.jsp?player_id=518715",518715)</f>
        <v>518715</v>
      </c>
      <c r="AV390">
        <v>1250</v>
      </c>
      <c r="AW390">
        <v>250</v>
      </c>
      <c r="AX390">
        <v>68</v>
      </c>
    </row>
    <row r="391" spans="1:50" x14ac:dyDescent="0.3">
      <c r="A391" s="4">
        <f>HYPERLINK("http://legacy.baseballprospectus.com/p/56957",56957)</f>
        <v>56957</v>
      </c>
      <c r="B391" t="s">
        <v>978</v>
      </c>
      <c r="C391" t="s">
        <v>225</v>
      </c>
      <c r="D391" s="10">
        <v>31197</v>
      </c>
      <c r="E391" t="s">
        <v>9</v>
      </c>
      <c r="F391" t="s">
        <v>9</v>
      </c>
      <c r="G391">
        <v>76</v>
      </c>
      <c r="H391">
        <v>220</v>
      </c>
      <c r="I391">
        <v>2018</v>
      </c>
      <c r="J391" s="4" t="str">
        <f>HYPERLINK("http://legacy.baseballprospectus.com/fantasy/dc/index.php?tm=SFN","SFN")</f>
        <v>SFN</v>
      </c>
      <c r="K391" t="s">
        <v>100</v>
      </c>
      <c r="L391" t="s">
        <v>34</v>
      </c>
      <c r="M391">
        <v>33</v>
      </c>
      <c r="N391">
        <v>2.7</v>
      </c>
      <c r="O391">
        <v>2.2999999999999998</v>
      </c>
      <c r="P391">
        <v>0</v>
      </c>
      <c r="Q391">
        <v>0</v>
      </c>
      <c r="R391">
        <v>0</v>
      </c>
      <c r="S391">
        <v>1</v>
      </c>
      <c r="T391">
        <v>49</v>
      </c>
      <c r="U391">
        <v>0</v>
      </c>
      <c r="V391" s="9">
        <v>52.333300000000001</v>
      </c>
      <c r="W391">
        <v>222</v>
      </c>
      <c r="X391">
        <v>49</v>
      </c>
      <c r="Y391">
        <v>5</v>
      </c>
      <c r="Z391">
        <v>19</v>
      </c>
      <c r="AA391">
        <v>2</v>
      </c>
      <c r="AB391">
        <v>3</v>
      </c>
      <c r="AC391">
        <v>43</v>
      </c>
      <c r="AD391">
        <v>3.2</v>
      </c>
      <c r="AE391">
        <v>7.3</v>
      </c>
      <c r="AF391" s="5">
        <v>0.47299999999999998</v>
      </c>
      <c r="AG391">
        <v>0.28599999999999998</v>
      </c>
      <c r="AH391">
        <v>1.27</v>
      </c>
      <c r="AI391">
        <v>4</v>
      </c>
      <c r="AJ391">
        <v>4.63</v>
      </c>
      <c r="AK391">
        <v>2</v>
      </c>
      <c r="AL391">
        <v>0.2</v>
      </c>
      <c r="AM391">
        <v>22</v>
      </c>
      <c r="AN391">
        <v>44</v>
      </c>
      <c r="AO391">
        <v>35</v>
      </c>
      <c r="AP391">
        <v>9</v>
      </c>
      <c r="AQ391" t="s">
        <v>2728</v>
      </c>
      <c r="AR391">
        <v>93</v>
      </c>
      <c r="AS391" t="s">
        <v>35</v>
      </c>
      <c r="AT391" t="s">
        <v>36</v>
      </c>
      <c r="AU391" s="4">
        <f>HYPERLINK("http://mlb.mlb.com/team/player.jsp?player_id=453265",453265)</f>
        <v>453265</v>
      </c>
      <c r="AV391">
        <v>0</v>
      </c>
      <c r="AW391">
        <v>0</v>
      </c>
      <c r="AX391">
        <v>66.7</v>
      </c>
    </row>
    <row r="392" spans="1:50" x14ac:dyDescent="0.3">
      <c r="A392" s="4">
        <f>HYPERLINK("http://legacy.baseballprospectus.com/p/58617",58617)</f>
        <v>58617</v>
      </c>
      <c r="B392" t="s">
        <v>373</v>
      </c>
      <c r="C392" t="s">
        <v>929</v>
      </c>
      <c r="D392" s="10">
        <v>31889</v>
      </c>
      <c r="E392" t="s">
        <v>33</v>
      </c>
      <c r="F392" t="s">
        <v>33</v>
      </c>
      <c r="G392">
        <v>78</v>
      </c>
      <c r="H392">
        <v>245</v>
      </c>
      <c r="I392">
        <v>2018</v>
      </c>
      <c r="J392" s="4" t="str">
        <f>HYPERLINK("http://legacy.baseballprospectus.com/fantasy/dc/index.php?tm=SDN","SDN")</f>
        <v>SDN</v>
      </c>
      <c r="K392" t="s">
        <v>100</v>
      </c>
      <c r="L392" t="s">
        <v>34</v>
      </c>
      <c r="M392">
        <v>31</v>
      </c>
      <c r="N392">
        <v>1.4</v>
      </c>
      <c r="O392">
        <v>1.9</v>
      </c>
      <c r="P392">
        <v>2</v>
      </c>
      <c r="Q392">
        <v>0</v>
      </c>
      <c r="R392">
        <v>0</v>
      </c>
      <c r="S392">
        <v>0</v>
      </c>
      <c r="T392">
        <v>5</v>
      </c>
      <c r="U392">
        <v>5</v>
      </c>
      <c r="V392" s="9">
        <v>26.666699999999999</v>
      </c>
      <c r="W392">
        <v>116</v>
      </c>
      <c r="X392">
        <v>25</v>
      </c>
      <c r="Y392">
        <v>3</v>
      </c>
      <c r="Z392">
        <v>12</v>
      </c>
      <c r="AA392">
        <v>0</v>
      </c>
      <c r="AB392">
        <v>2</v>
      </c>
      <c r="AC392">
        <v>24</v>
      </c>
      <c r="AD392">
        <v>4</v>
      </c>
      <c r="AE392">
        <v>8.1</v>
      </c>
      <c r="AF392" s="5">
        <v>0.49</v>
      </c>
      <c r="AG392">
        <v>0.29599999999999999</v>
      </c>
      <c r="AH392">
        <v>1.39</v>
      </c>
      <c r="AI392">
        <v>4.2300000000000004</v>
      </c>
      <c r="AJ392">
        <v>4.74</v>
      </c>
      <c r="AK392">
        <v>1.4</v>
      </c>
      <c r="AL392">
        <v>0.2</v>
      </c>
      <c r="AM392">
        <v>12</v>
      </c>
      <c r="AN392">
        <v>36</v>
      </c>
      <c r="AO392">
        <v>30</v>
      </c>
      <c r="AP392">
        <v>9</v>
      </c>
      <c r="AQ392" t="s">
        <v>2732</v>
      </c>
      <c r="AR392">
        <v>87</v>
      </c>
      <c r="AS392" t="s">
        <v>35</v>
      </c>
      <c r="AT392" t="s">
        <v>36</v>
      </c>
      <c r="AU392" s="4">
        <f>HYPERLINK("http://mlb.mlb.com/team/player.jsp?player_id=475115",475115)</f>
        <v>475115</v>
      </c>
      <c r="AV392">
        <v>1752</v>
      </c>
      <c r="AW392">
        <v>752</v>
      </c>
      <c r="AX392">
        <v>49</v>
      </c>
    </row>
    <row r="393" spans="1:50" x14ac:dyDescent="0.3">
      <c r="A393" s="4">
        <f>HYPERLINK("http://legacy.baseballprospectus.com/p/59239",59239)</f>
        <v>59239</v>
      </c>
      <c r="B393" t="s">
        <v>1201</v>
      </c>
      <c r="C393" t="s">
        <v>1202</v>
      </c>
      <c r="D393" s="10">
        <v>31861</v>
      </c>
      <c r="E393" t="s">
        <v>9</v>
      </c>
      <c r="F393" t="s">
        <v>33</v>
      </c>
      <c r="G393">
        <v>70</v>
      </c>
      <c r="H393">
        <v>210</v>
      </c>
      <c r="I393">
        <v>2018</v>
      </c>
      <c r="J393" s="4" t="str">
        <f>HYPERLINK("http://legacy.baseballprospectus.com/fantasy/dc/index.php?tm=SDN","SDN")</f>
        <v>SDN</v>
      </c>
      <c r="K393" t="s">
        <v>100</v>
      </c>
      <c r="L393" t="s">
        <v>34</v>
      </c>
      <c r="M393">
        <v>31</v>
      </c>
      <c r="N393">
        <v>3</v>
      </c>
      <c r="O393">
        <v>2.8</v>
      </c>
      <c r="P393">
        <v>0</v>
      </c>
      <c r="Q393">
        <v>0</v>
      </c>
      <c r="R393">
        <v>2</v>
      </c>
      <c r="S393">
        <v>4</v>
      </c>
      <c r="T393">
        <v>59</v>
      </c>
      <c r="U393">
        <v>0</v>
      </c>
      <c r="V393" s="9">
        <v>62.666699999999999</v>
      </c>
      <c r="W393">
        <v>268</v>
      </c>
      <c r="X393">
        <v>54</v>
      </c>
      <c r="Y393">
        <v>11</v>
      </c>
      <c r="Z393">
        <v>27</v>
      </c>
      <c r="AA393">
        <v>2</v>
      </c>
      <c r="AB393">
        <v>3</v>
      </c>
      <c r="AC393">
        <v>83</v>
      </c>
      <c r="AD393">
        <v>3.8</v>
      </c>
      <c r="AE393">
        <v>11.9</v>
      </c>
      <c r="AF393" s="5">
        <v>0.39300000000000002</v>
      </c>
      <c r="AG393">
        <v>0.29799999999999999</v>
      </c>
      <c r="AH393">
        <v>1.3</v>
      </c>
      <c r="AI393">
        <v>4.3600000000000003</v>
      </c>
      <c r="AJ393">
        <v>4.7</v>
      </c>
      <c r="AK393">
        <v>1.9</v>
      </c>
      <c r="AL393">
        <v>0.2</v>
      </c>
      <c r="AM393">
        <v>15</v>
      </c>
      <c r="AN393">
        <v>34</v>
      </c>
      <c r="AO393">
        <v>26</v>
      </c>
      <c r="AP393">
        <v>14</v>
      </c>
      <c r="AQ393" t="s">
        <v>2711</v>
      </c>
      <c r="AR393">
        <v>73</v>
      </c>
      <c r="AS393" t="s">
        <v>35</v>
      </c>
      <c r="AT393" t="s">
        <v>36</v>
      </c>
      <c r="AU393" s="4">
        <f>HYPERLINK("http://mlb.mlb.com/team/player.jsp?player_id=489446",489446)</f>
        <v>489446</v>
      </c>
      <c r="AV393">
        <v>1281</v>
      </c>
      <c r="AW393">
        <v>281</v>
      </c>
      <c r="AX393">
        <v>56.7</v>
      </c>
    </row>
    <row r="394" spans="1:50" x14ac:dyDescent="0.3">
      <c r="A394" s="4">
        <f>HYPERLINK("http://legacy.baseballprospectus.com/p/60787",60787)</f>
        <v>60787</v>
      </c>
      <c r="B394" t="s">
        <v>1203</v>
      </c>
      <c r="C394" t="s">
        <v>1298</v>
      </c>
      <c r="D394" s="10">
        <v>31861</v>
      </c>
      <c r="E394" t="s">
        <v>33</v>
      </c>
      <c r="F394" t="s">
        <v>9</v>
      </c>
      <c r="G394">
        <v>75</v>
      </c>
      <c r="H394">
        <v>250</v>
      </c>
      <c r="I394">
        <v>2018</v>
      </c>
      <c r="J394" s="4" t="str">
        <f>HYPERLINK("http://legacy.baseballprospectus.com/fantasy/dc/index.php?tm=LAN","LAN")</f>
        <v>LAN</v>
      </c>
      <c r="K394" t="s">
        <v>100</v>
      </c>
      <c r="L394" t="s">
        <v>34</v>
      </c>
      <c r="M394">
        <v>31</v>
      </c>
      <c r="N394">
        <v>8.3000000000000007</v>
      </c>
      <c r="O394">
        <v>7</v>
      </c>
      <c r="P394">
        <v>10</v>
      </c>
      <c r="Q394">
        <v>0</v>
      </c>
      <c r="R394">
        <v>0</v>
      </c>
      <c r="S394">
        <v>0</v>
      </c>
      <c r="T394">
        <v>23</v>
      </c>
      <c r="U394">
        <v>23</v>
      </c>
      <c r="V394" s="9">
        <v>122</v>
      </c>
      <c r="W394">
        <v>525</v>
      </c>
      <c r="X394">
        <v>123</v>
      </c>
      <c r="Y394">
        <v>21</v>
      </c>
      <c r="Z394">
        <v>44</v>
      </c>
      <c r="AA394">
        <v>2</v>
      </c>
      <c r="AB394">
        <v>4</v>
      </c>
      <c r="AC394">
        <v>109</v>
      </c>
      <c r="AD394">
        <v>3.2</v>
      </c>
      <c r="AE394">
        <v>8.1</v>
      </c>
      <c r="AF394" s="5">
        <v>0.45300000000000001</v>
      </c>
      <c r="AG394">
        <v>0.29399999999999998</v>
      </c>
      <c r="AH394">
        <v>1.36</v>
      </c>
      <c r="AI394">
        <v>4.54</v>
      </c>
      <c r="AJ394">
        <v>5.13</v>
      </c>
      <c r="AK394">
        <v>1.6</v>
      </c>
      <c r="AL394">
        <v>0.2</v>
      </c>
      <c r="AM394">
        <v>9</v>
      </c>
      <c r="AN394">
        <v>42</v>
      </c>
      <c r="AO394">
        <v>32</v>
      </c>
      <c r="AP394">
        <v>10</v>
      </c>
      <c r="AQ394" t="s">
        <v>2627</v>
      </c>
      <c r="AR394">
        <v>93</v>
      </c>
      <c r="AS394" t="s">
        <v>35</v>
      </c>
      <c r="AT394" t="s">
        <v>36</v>
      </c>
      <c r="AU394" s="4">
        <f>HYPERLINK("http://mlb.mlb.com/team/player.jsp?player_id=547943",547943)</f>
        <v>547943</v>
      </c>
      <c r="AV394">
        <v>1045</v>
      </c>
      <c r="AW394">
        <v>45</v>
      </c>
      <c r="AX394">
        <v>126.7</v>
      </c>
    </row>
    <row r="395" spans="1:50" x14ac:dyDescent="0.3">
      <c r="A395" s="4">
        <f>HYPERLINK("http://legacy.baseballprospectus.com/p/65910",65910)</f>
        <v>65910</v>
      </c>
      <c r="B395" t="s">
        <v>1594</v>
      </c>
      <c r="C395" t="s">
        <v>319</v>
      </c>
      <c r="D395" s="10">
        <v>32686</v>
      </c>
      <c r="E395" t="s">
        <v>33</v>
      </c>
      <c r="F395" t="s">
        <v>33</v>
      </c>
      <c r="G395">
        <v>72</v>
      </c>
      <c r="H395">
        <v>200</v>
      </c>
      <c r="I395">
        <v>2018</v>
      </c>
      <c r="J395" s="4" t="str">
        <f>HYPERLINK("http://legacy.baseballprospectus.com/fantasy/dc/index.php?tm=PIT","PIT")</f>
        <v>PIT</v>
      </c>
      <c r="K395" t="s">
        <v>100</v>
      </c>
      <c r="L395" t="s">
        <v>34</v>
      </c>
      <c r="M395">
        <v>29</v>
      </c>
      <c r="N395">
        <v>1.8</v>
      </c>
      <c r="O395">
        <v>1.8</v>
      </c>
      <c r="P395">
        <v>0</v>
      </c>
      <c r="Q395">
        <v>0</v>
      </c>
      <c r="R395">
        <v>0</v>
      </c>
      <c r="S395">
        <v>1</v>
      </c>
      <c r="T395">
        <v>36</v>
      </c>
      <c r="U395">
        <v>0</v>
      </c>
      <c r="V395" s="9">
        <v>37.666699999999999</v>
      </c>
      <c r="W395">
        <v>165</v>
      </c>
      <c r="X395">
        <v>39</v>
      </c>
      <c r="Y395">
        <v>4</v>
      </c>
      <c r="Z395">
        <v>16</v>
      </c>
      <c r="AA395">
        <v>2</v>
      </c>
      <c r="AB395">
        <v>2</v>
      </c>
      <c r="AC395">
        <v>32</v>
      </c>
      <c r="AD395">
        <v>3.7</v>
      </c>
      <c r="AE395">
        <v>7.5</v>
      </c>
      <c r="AF395" s="5">
        <v>0.46</v>
      </c>
      <c r="AG395">
        <v>0.30199999999999999</v>
      </c>
      <c r="AH395">
        <v>1.44</v>
      </c>
      <c r="AI395">
        <v>4.41</v>
      </c>
      <c r="AJ395">
        <v>4.6399999999999997</v>
      </c>
      <c r="AK395">
        <v>1.4</v>
      </c>
      <c r="AL395">
        <v>0.2</v>
      </c>
      <c r="AM395">
        <v>23</v>
      </c>
      <c r="AN395">
        <v>37</v>
      </c>
      <c r="AO395">
        <v>11</v>
      </c>
      <c r="AP395">
        <v>20</v>
      </c>
      <c r="AQ395" t="s">
        <v>2628</v>
      </c>
      <c r="AR395">
        <v>57</v>
      </c>
      <c r="AS395" t="s">
        <v>35</v>
      </c>
      <c r="AT395" t="s">
        <v>36</v>
      </c>
      <c r="AU395" s="4">
        <f>HYPERLINK("http://mlb.mlb.com/team/player.jsp?player_id=519263",519263)</f>
        <v>519263</v>
      </c>
      <c r="AV395">
        <v>1311</v>
      </c>
      <c r="AW395">
        <v>311</v>
      </c>
      <c r="AX395">
        <v>32</v>
      </c>
    </row>
    <row r="396" spans="1:50" x14ac:dyDescent="0.3">
      <c r="A396" s="4">
        <f>HYPERLINK("http://legacy.baseballprospectus.com/p/66234",66234)</f>
        <v>66234</v>
      </c>
      <c r="B396" t="s">
        <v>561</v>
      </c>
      <c r="C396" t="s">
        <v>575</v>
      </c>
      <c r="D396" s="10">
        <v>32929</v>
      </c>
      <c r="E396" t="s">
        <v>33</v>
      </c>
      <c r="F396" t="s">
        <v>33</v>
      </c>
      <c r="G396">
        <v>74</v>
      </c>
      <c r="H396">
        <v>185</v>
      </c>
      <c r="I396">
        <v>2018</v>
      </c>
      <c r="J396" s="4" t="str">
        <f>HYPERLINK("http://legacy.baseballprospectus.com/fantasy/dc/index.php?tm=ANA","ANA")</f>
        <v>ANA</v>
      </c>
      <c r="K396" t="s">
        <v>95</v>
      </c>
      <c r="L396" t="s">
        <v>34</v>
      </c>
      <c r="M396">
        <v>28</v>
      </c>
      <c r="N396">
        <v>1.9</v>
      </c>
      <c r="O396">
        <v>2</v>
      </c>
      <c r="P396">
        <v>0</v>
      </c>
      <c r="Q396">
        <v>0</v>
      </c>
      <c r="R396">
        <v>0</v>
      </c>
      <c r="S396">
        <v>0</v>
      </c>
      <c r="T396">
        <v>38</v>
      </c>
      <c r="U396">
        <v>0</v>
      </c>
      <c r="V396" s="9">
        <v>40.333300000000001</v>
      </c>
      <c r="W396">
        <v>173</v>
      </c>
      <c r="X396">
        <v>36</v>
      </c>
      <c r="Y396">
        <v>6</v>
      </c>
      <c r="Z396">
        <v>17</v>
      </c>
      <c r="AA396">
        <v>2</v>
      </c>
      <c r="AB396">
        <v>2</v>
      </c>
      <c r="AC396">
        <v>43</v>
      </c>
      <c r="AD396">
        <v>3.9</v>
      </c>
      <c r="AE396">
        <v>9.6</v>
      </c>
      <c r="AF396" s="5">
        <v>0.39300000000000002</v>
      </c>
      <c r="AG396">
        <v>0.28999999999999998</v>
      </c>
      <c r="AH396">
        <v>1.34</v>
      </c>
      <c r="AI396">
        <v>4.62</v>
      </c>
      <c r="AJ396">
        <v>4.79</v>
      </c>
      <c r="AK396">
        <v>1.9</v>
      </c>
      <c r="AL396">
        <v>0.2</v>
      </c>
      <c r="AM396">
        <v>17</v>
      </c>
      <c r="AN396">
        <v>37</v>
      </c>
      <c r="AO396">
        <v>8</v>
      </c>
      <c r="AP396">
        <v>21</v>
      </c>
      <c r="AQ396" t="s">
        <v>2715</v>
      </c>
      <c r="AR396">
        <v>49</v>
      </c>
      <c r="AS396" t="s">
        <v>35</v>
      </c>
      <c r="AT396" t="s">
        <v>35</v>
      </c>
      <c r="AU396" s="4">
        <f>HYPERLINK("http://mlb.mlb.com/team/player.jsp?player_id=570240",570240)</f>
        <v>570240</v>
      </c>
      <c r="AV396">
        <v>93</v>
      </c>
      <c r="AW396">
        <v>1093</v>
      </c>
      <c r="AX396">
        <v>34.299999999999997</v>
      </c>
    </row>
    <row r="397" spans="1:50" x14ac:dyDescent="0.3">
      <c r="A397" s="4">
        <f>HYPERLINK("http://legacy.baseballprospectus.com/p/66336",66336)</f>
        <v>66336</v>
      </c>
      <c r="B397" t="s">
        <v>1585</v>
      </c>
      <c r="C397" t="s">
        <v>1586</v>
      </c>
      <c r="D397" s="10">
        <v>33098</v>
      </c>
      <c r="E397" t="s">
        <v>33</v>
      </c>
      <c r="F397" t="s">
        <v>33</v>
      </c>
      <c r="G397">
        <v>71</v>
      </c>
      <c r="H397">
        <v>185</v>
      </c>
      <c r="I397">
        <v>2018</v>
      </c>
      <c r="J397" s="4" t="str">
        <f>HYPERLINK("http://legacy.baseballprospectus.com/fantasy/dc/index.php?tm=NYN","NYN")</f>
        <v>NYN</v>
      </c>
      <c r="K397" t="s">
        <v>100</v>
      </c>
      <c r="L397" t="s">
        <v>34</v>
      </c>
      <c r="M397">
        <v>27</v>
      </c>
      <c r="N397">
        <v>2.5</v>
      </c>
      <c r="O397">
        <v>2.2999999999999998</v>
      </c>
      <c r="P397">
        <v>0</v>
      </c>
      <c r="Q397">
        <v>0</v>
      </c>
      <c r="R397">
        <v>0</v>
      </c>
      <c r="S397">
        <v>1</v>
      </c>
      <c r="T397">
        <v>48</v>
      </c>
      <c r="U397">
        <v>0</v>
      </c>
      <c r="V397" s="9">
        <v>50.666699999999999</v>
      </c>
      <c r="W397">
        <v>219</v>
      </c>
      <c r="X397">
        <v>45</v>
      </c>
      <c r="Y397">
        <v>7</v>
      </c>
      <c r="Z397">
        <v>23</v>
      </c>
      <c r="AA397">
        <v>2</v>
      </c>
      <c r="AB397">
        <v>3</v>
      </c>
      <c r="AC397">
        <v>55</v>
      </c>
      <c r="AD397">
        <v>4.0999999999999996</v>
      </c>
      <c r="AE397">
        <v>9.8000000000000007</v>
      </c>
      <c r="AF397" s="5">
        <v>0.37</v>
      </c>
      <c r="AG397">
        <v>0.29099999999999998</v>
      </c>
      <c r="AH397">
        <v>1.34</v>
      </c>
      <c r="AI397">
        <v>4.45</v>
      </c>
      <c r="AJ397">
        <v>4.62</v>
      </c>
      <c r="AK397">
        <v>1.9</v>
      </c>
      <c r="AL397">
        <v>0.2</v>
      </c>
      <c r="AM397">
        <v>29</v>
      </c>
      <c r="AN397">
        <v>53</v>
      </c>
      <c r="AO397">
        <v>13</v>
      </c>
      <c r="AP397">
        <v>22</v>
      </c>
      <c r="AQ397" t="s">
        <v>2716</v>
      </c>
      <c r="AR397">
        <v>81</v>
      </c>
      <c r="AS397" t="s">
        <v>35</v>
      </c>
      <c r="AT397" t="s">
        <v>36</v>
      </c>
      <c r="AU397" s="4">
        <f>HYPERLINK("http://mlb.mlb.com/team/player.jsp?player_id=570663",570663)</f>
        <v>570663</v>
      </c>
      <c r="AV397">
        <v>1280</v>
      </c>
      <c r="AW397">
        <v>280</v>
      </c>
      <c r="AX397">
        <v>56.7</v>
      </c>
    </row>
    <row r="398" spans="1:50" x14ac:dyDescent="0.3">
      <c r="A398" s="4">
        <f>HYPERLINK("http://legacy.baseballprospectus.com/p/66423",66423)</f>
        <v>66423</v>
      </c>
      <c r="B398" t="s">
        <v>188</v>
      </c>
      <c r="C398" t="s">
        <v>1157</v>
      </c>
      <c r="D398" s="10">
        <v>33042</v>
      </c>
      <c r="E398" t="s">
        <v>37</v>
      </c>
      <c r="F398" t="s">
        <v>33</v>
      </c>
      <c r="G398">
        <v>72</v>
      </c>
      <c r="H398">
        <v>225</v>
      </c>
      <c r="I398">
        <v>2018</v>
      </c>
      <c r="J398" s="4" t="str">
        <f>HYPERLINK("http://legacy.baseballprospectus.com/fantasy/dc/index.php?tm=CLE","CLE")</f>
        <v>CLE</v>
      </c>
      <c r="K398" t="s">
        <v>95</v>
      </c>
      <c r="L398" t="s">
        <v>34</v>
      </c>
      <c r="M398">
        <v>28</v>
      </c>
      <c r="N398">
        <v>2</v>
      </c>
      <c r="O398">
        <v>1.7</v>
      </c>
      <c r="P398">
        <v>0</v>
      </c>
      <c r="Q398">
        <v>0</v>
      </c>
      <c r="R398">
        <v>0</v>
      </c>
      <c r="S398">
        <v>1</v>
      </c>
      <c r="T398">
        <v>37</v>
      </c>
      <c r="U398">
        <v>0</v>
      </c>
      <c r="V398" s="9">
        <v>39</v>
      </c>
      <c r="W398">
        <v>173</v>
      </c>
      <c r="X398">
        <v>39</v>
      </c>
      <c r="Y398">
        <v>5</v>
      </c>
      <c r="Z398">
        <v>17</v>
      </c>
      <c r="AA398">
        <v>2</v>
      </c>
      <c r="AB398">
        <v>1</v>
      </c>
      <c r="AC398">
        <v>35</v>
      </c>
      <c r="AD398">
        <v>4</v>
      </c>
      <c r="AE398">
        <v>8.1999999999999993</v>
      </c>
      <c r="AF398" s="5">
        <v>0.47899999999999998</v>
      </c>
      <c r="AG398">
        <v>0.3</v>
      </c>
      <c r="AH398">
        <v>1.46</v>
      </c>
      <c r="AI398">
        <v>4.5599999999999996</v>
      </c>
      <c r="AJ398">
        <v>4.8899999999999997</v>
      </c>
      <c r="AK398">
        <v>1.5</v>
      </c>
      <c r="AL398">
        <v>0.2</v>
      </c>
      <c r="AM398">
        <v>19</v>
      </c>
      <c r="AN398">
        <v>36</v>
      </c>
      <c r="AO398">
        <v>10</v>
      </c>
      <c r="AP398">
        <v>21</v>
      </c>
      <c r="AQ398" t="s">
        <v>2846</v>
      </c>
      <c r="AR398">
        <v>54</v>
      </c>
      <c r="AS398" t="s">
        <v>35</v>
      </c>
      <c r="AT398" t="s">
        <v>36</v>
      </c>
      <c r="AU398" s="4">
        <f>HYPERLINK("http://mlb.mlb.com/team/player.jsp?player_id=570810",570810)</f>
        <v>570810</v>
      </c>
      <c r="AV398">
        <v>0</v>
      </c>
      <c r="AW398">
        <v>0</v>
      </c>
      <c r="AX398">
        <v>36.700000000000003</v>
      </c>
    </row>
    <row r="399" spans="1:50" x14ac:dyDescent="0.3">
      <c r="A399" s="4">
        <f>HYPERLINK("http://legacy.baseballprospectus.com/p/66556",66556)</f>
        <v>66556</v>
      </c>
      <c r="B399" t="s">
        <v>840</v>
      </c>
      <c r="C399" t="s">
        <v>210</v>
      </c>
      <c r="D399" s="10">
        <v>33107</v>
      </c>
      <c r="E399" t="s">
        <v>9</v>
      </c>
      <c r="F399" t="s">
        <v>33</v>
      </c>
      <c r="G399">
        <v>75</v>
      </c>
      <c r="H399">
        <v>205</v>
      </c>
      <c r="I399">
        <v>2018</v>
      </c>
      <c r="J399" s="4" t="str">
        <f>HYPERLINK("http://legacy.baseballprospectus.com/fantasy/dc/index.php?tm=PHI","PHI")</f>
        <v>PHI</v>
      </c>
      <c r="K399" t="s">
        <v>100</v>
      </c>
      <c r="L399" t="s">
        <v>34</v>
      </c>
      <c r="M399">
        <v>27</v>
      </c>
      <c r="N399">
        <v>2.8</v>
      </c>
      <c r="O399">
        <v>3</v>
      </c>
      <c r="P399">
        <v>2</v>
      </c>
      <c r="Q399">
        <v>0</v>
      </c>
      <c r="R399">
        <v>0</v>
      </c>
      <c r="S399">
        <v>0</v>
      </c>
      <c r="T399">
        <v>30</v>
      </c>
      <c r="U399">
        <v>5</v>
      </c>
      <c r="V399" s="9">
        <v>51.666699999999999</v>
      </c>
      <c r="W399">
        <v>224</v>
      </c>
      <c r="X399">
        <v>52</v>
      </c>
      <c r="Y399">
        <v>8</v>
      </c>
      <c r="Z399">
        <v>19</v>
      </c>
      <c r="AA399">
        <v>1</v>
      </c>
      <c r="AB399">
        <v>3</v>
      </c>
      <c r="AC399">
        <v>50</v>
      </c>
      <c r="AD399">
        <v>3.3</v>
      </c>
      <c r="AE399">
        <v>8.6999999999999993</v>
      </c>
      <c r="AF399" s="5">
        <v>0.42299999999999999</v>
      </c>
      <c r="AG399">
        <v>0.29799999999999999</v>
      </c>
      <c r="AH399">
        <v>1.36</v>
      </c>
      <c r="AI399">
        <v>4.63</v>
      </c>
      <c r="AJ399">
        <v>4.74</v>
      </c>
      <c r="AK399">
        <v>2</v>
      </c>
      <c r="AL399">
        <v>0.2</v>
      </c>
      <c r="AM399">
        <v>24</v>
      </c>
      <c r="AN399">
        <v>57</v>
      </c>
      <c r="AO399">
        <v>12</v>
      </c>
      <c r="AP399">
        <v>18</v>
      </c>
      <c r="AQ399" t="s">
        <v>2329</v>
      </c>
      <c r="AR399">
        <v>81</v>
      </c>
      <c r="AS399" t="s">
        <v>35</v>
      </c>
      <c r="AT399" t="s">
        <v>36</v>
      </c>
      <c r="AU399" s="4">
        <f>HYPERLINK("http://mlb.mlb.com/team/player.jsp?player_id=571800",571800)</f>
        <v>571800</v>
      </c>
      <c r="AV399">
        <v>0</v>
      </c>
      <c r="AW399">
        <v>0</v>
      </c>
      <c r="AX399">
        <v>0</v>
      </c>
    </row>
    <row r="400" spans="1:50" x14ac:dyDescent="0.3">
      <c r="A400" s="4">
        <f>HYPERLINK("http://legacy.baseballprospectus.com/p/44014",44014)</f>
        <v>44014</v>
      </c>
      <c r="B400" t="s">
        <v>967</v>
      </c>
      <c r="C400" t="s">
        <v>968</v>
      </c>
      <c r="D400" s="10">
        <v>27487</v>
      </c>
      <c r="E400" t="s">
        <v>33</v>
      </c>
      <c r="F400" t="s">
        <v>33</v>
      </c>
      <c r="G400">
        <v>74</v>
      </c>
      <c r="H400">
        <v>195</v>
      </c>
      <c r="I400">
        <v>2018</v>
      </c>
      <c r="J400" s="4" t="str">
        <f>HYPERLINK("http://legacy.baseballprospectus.com/fantasy/dc/index.php?tm=CHN","CHN")</f>
        <v>CHN</v>
      </c>
      <c r="K400" t="s">
        <v>100</v>
      </c>
      <c r="L400" t="s">
        <v>34</v>
      </c>
      <c r="M400">
        <v>43</v>
      </c>
      <c r="N400">
        <v>1.8</v>
      </c>
      <c r="O400">
        <v>0.7</v>
      </c>
      <c r="P400">
        <v>0</v>
      </c>
      <c r="Q400">
        <v>0</v>
      </c>
      <c r="R400">
        <v>1.6</v>
      </c>
      <c r="S400">
        <v>0</v>
      </c>
      <c r="T400">
        <v>35.6</v>
      </c>
      <c r="U400">
        <v>0</v>
      </c>
      <c r="V400" s="9">
        <v>37.666699999999999</v>
      </c>
      <c r="W400">
        <v>155</v>
      </c>
      <c r="X400">
        <v>32</v>
      </c>
      <c r="Y400">
        <v>6</v>
      </c>
      <c r="Z400">
        <v>15</v>
      </c>
      <c r="AA400" t="s">
        <v>1680</v>
      </c>
      <c r="AB400">
        <v>2</v>
      </c>
      <c r="AC400">
        <v>40</v>
      </c>
      <c r="AD400">
        <v>3.6</v>
      </c>
      <c r="AE400">
        <v>9.6</v>
      </c>
      <c r="AF400" s="5">
        <v>0.33123803138732899</v>
      </c>
      <c r="AG400">
        <v>0.28599999999999998</v>
      </c>
      <c r="AH400">
        <v>1.25</v>
      </c>
      <c r="AI400">
        <v>4.3499999999999996</v>
      </c>
      <c r="AJ400">
        <v>4.7699999999999996</v>
      </c>
      <c r="AK400">
        <v>1.5</v>
      </c>
      <c r="AL400">
        <v>0.2</v>
      </c>
      <c r="AM400">
        <v>14</v>
      </c>
      <c r="AN400">
        <v>19</v>
      </c>
      <c r="AO400">
        <v>14</v>
      </c>
      <c r="AP400">
        <v>16</v>
      </c>
      <c r="AQ400" t="s">
        <v>2858</v>
      </c>
      <c r="AR400">
        <v>50</v>
      </c>
      <c r="AS400" t="s">
        <v>36</v>
      </c>
      <c r="AT400" t="s">
        <v>36</v>
      </c>
      <c r="AU400" s="4">
        <f>HYPERLINK("http://mlb.mlb.com/team/player.jsp?player_id=493157",493157)</f>
        <v>493157</v>
      </c>
      <c r="AV400">
        <v>0</v>
      </c>
      <c r="AW400">
        <v>0</v>
      </c>
      <c r="AX400">
        <v>43</v>
      </c>
    </row>
    <row r="401" spans="1:50" x14ac:dyDescent="0.3">
      <c r="A401" s="4">
        <f>HYPERLINK("http://legacy.baseballprospectus.com/p/45378",45378)</f>
        <v>45378</v>
      </c>
      <c r="B401" t="s">
        <v>2564</v>
      </c>
      <c r="C401" t="s">
        <v>341</v>
      </c>
      <c r="D401" s="10">
        <v>30135</v>
      </c>
      <c r="E401" t="s">
        <v>33</v>
      </c>
      <c r="F401" t="s">
        <v>33</v>
      </c>
      <c r="G401">
        <v>73</v>
      </c>
      <c r="H401">
        <v>190</v>
      </c>
      <c r="I401">
        <v>2018</v>
      </c>
      <c r="J401" s="4" t="str">
        <f>HYPERLINK("http://legacy.baseballprospectus.com/fantasy/dc/index.php?tm=DET","DET")</f>
        <v>DET</v>
      </c>
      <c r="K401" t="s">
        <v>95</v>
      </c>
      <c r="L401" t="s">
        <v>34</v>
      </c>
      <c r="M401">
        <v>35</v>
      </c>
      <c r="N401">
        <v>2.5</v>
      </c>
      <c r="O401">
        <v>0.9</v>
      </c>
      <c r="P401">
        <v>0</v>
      </c>
      <c r="Q401">
        <v>0</v>
      </c>
      <c r="R401">
        <v>1</v>
      </c>
      <c r="S401">
        <v>0</v>
      </c>
      <c r="T401">
        <v>52.9</v>
      </c>
      <c r="U401">
        <v>0</v>
      </c>
      <c r="V401" s="9">
        <v>56</v>
      </c>
      <c r="W401">
        <v>252</v>
      </c>
      <c r="X401">
        <v>63</v>
      </c>
      <c r="Y401">
        <v>7</v>
      </c>
      <c r="Z401">
        <v>24</v>
      </c>
      <c r="AA401" t="s">
        <v>1680</v>
      </c>
      <c r="AB401">
        <v>2</v>
      </c>
      <c r="AC401">
        <v>42</v>
      </c>
      <c r="AD401">
        <v>3.9</v>
      </c>
      <c r="AE401">
        <v>6.8</v>
      </c>
      <c r="AF401" s="5">
        <v>0.48384967446327198</v>
      </c>
      <c r="AG401">
        <v>0.316</v>
      </c>
      <c r="AH401">
        <v>1.55</v>
      </c>
      <c r="AI401">
        <v>4.95</v>
      </c>
      <c r="AJ401">
        <v>4.99</v>
      </c>
      <c r="AK401">
        <v>1.9</v>
      </c>
      <c r="AL401">
        <v>0.2</v>
      </c>
      <c r="AM401">
        <v>20</v>
      </c>
      <c r="AN401">
        <v>31</v>
      </c>
      <c r="AO401">
        <v>9</v>
      </c>
      <c r="AP401">
        <v>12</v>
      </c>
      <c r="AQ401" t="s">
        <v>2565</v>
      </c>
      <c r="AR401">
        <v>49</v>
      </c>
      <c r="AS401" t="s">
        <v>36</v>
      </c>
      <c r="AT401" t="s">
        <v>36</v>
      </c>
      <c r="AU401" s="4">
        <f>HYPERLINK("http://mlb.mlb.com/team/player.jsp?player_id=434137",434137)</f>
        <v>434137</v>
      </c>
      <c r="AV401">
        <v>0</v>
      </c>
      <c r="AW401">
        <v>0</v>
      </c>
      <c r="AX401">
        <v>0</v>
      </c>
    </row>
    <row r="402" spans="1:50" x14ac:dyDescent="0.3">
      <c r="A402" s="4">
        <f>HYPERLINK("http://legacy.baseballprospectus.com/p/47836",47836)</f>
        <v>47836</v>
      </c>
      <c r="B402" t="s">
        <v>2080</v>
      </c>
      <c r="C402" t="s">
        <v>311</v>
      </c>
      <c r="D402" s="10">
        <v>31201</v>
      </c>
      <c r="E402" t="s">
        <v>37</v>
      </c>
      <c r="F402" t="s">
        <v>33</v>
      </c>
      <c r="G402">
        <v>74</v>
      </c>
      <c r="H402">
        <v>205</v>
      </c>
      <c r="I402">
        <v>2018</v>
      </c>
      <c r="J402" s="4" t="str">
        <f>HYPERLINK("http://legacy.baseballprospectus.com/fantasy/dc/index.php?tm=TOR","TOR")</f>
        <v>TOR</v>
      </c>
      <c r="K402" t="s">
        <v>95</v>
      </c>
      <c r="L402" t="s">
        <v>34</v>
      </c>
      <c r="M402">
        <v>33</v>
      </c>
      <c r="N402">
        <v>2.6</v>
      </c>
      <c r="O402">
        <v>3.4</v>
      </c>
      <c r="P402">
        <v>3.8</v>
      </c>
      <c r="Q402">
        <v>0</v>
      </c>
      <c r="R402">
        <v>0</v>
      </c>
      <c r="S402">
        <v>0</v>
      </c>
      <c r="T402">
        <v>9.4</v>
      </c>
      <c r="U402">
        <v>9.4</v>
      </c>
      <c r="V402" s="9">
        <v>46.333300000000001</v>
      </c>
      <c r="W402">
        <v>207</v>
      </c>
      <c r="X402">
        <v>50</v>
      </c>
      <c r="Y402">
        <v>7</v>
      </c>
      <c r="Z402">
        <v>21</v>
      </c>
      <c r="AA402" t="s">
        <v>1680</v>
      </c>
      <c r="AB402">
        <v>2</v>
      </c>
      <c r="AC402">
        <v>36</v>
      </c>
      <c r="AD402">
        <v>4.2</v>
      </c>
      <c r="AE402">
        <v>7.1</v>
      </c>
      <c r="AF402" s="5">
        <v>0.46597269177436801</v>
      </c>
      <c r="AG402">
        <v>0.309</v>
      </c>
      <c r="AH402">
        <v>1.55</v>
      </c>
      <c r="AI402">
        <v>5.13</v>
      </c>
      <c r="AJ402">
        <v>5.37</v>
      </c>
      <c r="AK402">
        <v>1.6</v>
      </c>
      <c r="AL402">
        <v>0.2</v>
      </c>
      <c r="AM402">
        <v>9</v>
      </c>
      <c r="AN402">
        <v>28</v>
      </c>
      <c r="AO402">
        <v>14</v>
      </c>
      <c r="AP402">
        <v>8</v>
      </c>
      <c r="AQ402" t="s">
        <v>2724</v>
      </c>
      <c r="AR402">
        <v>56</v>
      </c>
      <c r="AS402" t="s">
        <v>36</v>
      </c>
      <c r="AT402" t="s">
        <v>36</v>
      </c>
      <c r="AU402" s="4">
        <f>HYPERLINK("http://mlb.mlb.com/team/player.jsp?player_id=449173",449173)</f>
        <v>449173</v>
      </c>
      <c r="AV402">
        <v>0</v>
      </c>
      <c r="AW402">
        <v>0</v>
      </c>
      <c r="AX402">
        <v>6.3</v>
      </c>
    </row>
    <row r="403" spans="1:50" x14ac:dyDescent="0.3">
      <c r="A403" s="4">
        <f>HYPERLINK("http://legacy.baseballprospectus.com/p/49616",49616)</f>
        <v>49616</v>
      </c>
      <c r="B403" t="s">
        <v>903</v>
      </c>
      <c r="C403" t="s">
        <v>142</v>
      </c>
      <c r="D403" s="10">
        <v>30695</v>
      </c>
      <c r="E403" t="s">
        <v>33</v>
      </c>
      <c r="F403" t="s">
        <v>33</v>
      </c>
      <c r="G403">
        <v>79</v>
      </c>
      <c r="H403">
        <v>240</v>
      </c>
      <c r="I403">
        <v>2018</v>
      </c>
      <c r="J403" s="4" t="str">
        <f>HYPERLINK("http://legacy.baseballprospectus.com/fantasy/dc/index.php?tm=CHA","CHA")</f>
        <v>CHA</v>
      </c>
      <c r="K403" t="s">
        <v>95</v>
      </c>
      <c r="L403" t="s">
        <v>34</v>
      </c>
      <c r="M403">
        <v>34</v>
      </c>
      <c r="N403">
        <v>5.7</v>
      </c>
      <c r="O403">
        <v>8.5</v>
      </c>
      <c r="P403">
        <v>8</v>
      </c>
      <c r="Q403">
        <v>0</v>
      </c>
      <c r="R403">
        <v>0</v>
      </c>
      <c r="S403">
        <v>0</v>
      </c>
      <c r="T403">
        <v>21.9</v>
      </c>
      <c r="U403">
        <v>21.9</v>
      </c>
      <c r="V403" s="9">
        <v>110.33329999999999</v>
      </c>
      <c r="W403">
        <v>499</v>
      </c>
      <c r="X403">
        <v>125</v>
      </c>
      <c r="Y403">
        <v>16</v>
      </c>
      <c r="Z403">
        <v>49</v>
      </c>
      <c r="AA403" t="s">
        <v>1680</v>
      </c>
      <c r="AB403">
        <v>8</v>
      </c>
      <c r="AC403">
        <v>72</v>
      </c>
      <c r="AD403">
        <v>4</v>
      </c>
      <c r="AE403">
        <v>5.9</v>
      </c>
      <c r="AF403" s="5">
        <v>0.49280974268913202</v>
      </c>
      <c r="AG403">
        <v>0.307</v>
      </c>
      <c r="AH403">
        <v>1.57</v>
      </c>
      <c r="AI403">
        <v>5.35</v>
      </c>
      <c r="AJ403">
        <v>5.52</v>
      </c>
      <c r="AK403">
        <v>2.1</v>
      </c>
      <c r="AL403">
        <v>0.2</v>
      </c>
      <c r="AM403">
        <v>7</v>
      </c>
      <c r="AN403">
        <v>45</v>
      </c>
      <c r="AO403">
        <v>17</v>
      </c>
      <c r="AP403">
        <v>11</v>
      </c>
      <c r="AQ403" t="s">
        <v>3332</v>
      </c>
      <c r="AR403">
        <v>88</v>
      </c>
      <c r="AS403" t="s">
        <v>36</v>
      </c>
      <c r="AT403" t="s">
        <v>36</v>
      </c>
      <c r="AU403" s="4">
        <f>HYPERLINK("http://mlb.mlb.com/team/player.jsp?player_id=460059",460059)</f>
        <v>460059</v>
      </c>
      <c r="AV403">
        <v>0</v>
      </c>
      <c r="AW403">
        <v>0</v>
      </c>
      <c r="AX403">
        <v>120</v>
      </c>
    </row>
    <row r="404" spans="1:50" x14ac:dyDescent="0.3">
      <c r="A404" s="4">
        <f>HYPERLINK("http://legacy.baseballprospectus.com/p/51959",51959)</f>
        <v>51959</v>
      </c>
      <c r="B404" t="s">
        <v>2019</v>
      </c>
      <c r="C404" t="s">
        <v>363</v>
      </c>
      <c r="D404" s="10">
        <v>30901</v>
      </c>
      <c r="E404" t="s">
        <v>9</v>
      </c>
      <c r="F404" t="s">
        <v>9</v>
      </c>
      <c r="G404">
        <v>75</v>
      </c>
      <c r="H404">
        <v>205</v>
      </c>
      <c r="I404">
        <v>2018</v>
      </c>
      <c r="J404" s="4" t="str">
        <f>HYPERLINK("http://legacy.baseballprospectus.com/fantasy/dc/index.php?tm=SEA","SEA")</f>
        <v>SEA</v>
      </c>
      <c r="K404" t="s">
        <v>100</v>
      </c>
      <c r="L404" t="s">
        <v>34</v>
      </c>
      <c r="M404">
        <v>33</v>
      </c>
      <c r="N404">
        <v>3.8</v>
      </c>
      <c r="O404">
        <v>3.3</v>
      </c>
      <c r="P404">
        <v>3.9</v>
      </c>
      <c r="Q404">
        <v>0</v>
      </c>
      <c r="R404">
        <v>0.4</v>
      </c>
      <c r="S404">
        <v>0</v>
      </c>
      <c r="T404">
        <v>25.8</v>
      </c>
      <c r="U404">
        <v>8.6</v>
      </c>
      <c r="V404" s="9">
        <v>68</v>
      </c>
      <c r="W404">
        <v>291</v>
      </c>
      <c r="X404">
        <v>73</v>
      </c>
      <c r="Y404">
        <v>10</v>
      </c>
      <c r="Z404">
        <v>24</v>
      </c>
      <c r="AA404" t="s">
        <v>1680</v>
      </c>
      <c r="AB404">
        <v>2</v>
      </c>
      <c r="AC404">
        <v>55</v>
      </c>
      <c r="AD404">
        <v>3.2</v>
      </c>
      <c r="AE404">
        <v>7.3</v>
      </c>
      <c r="AF404" s="5">
        <v>0.43658241629600503</v>
      </c>
      <c r="AG404">
        <v>0.318</v>
      </c>
      <c r="AH404">
        <v>1.43</v>
      </c>
      <c r="AI404">
        <v>4.71</v>
      </c>
      <c r="AJ404">
        <v>5.29</v>
      </c>
      <c r="AK404">
        <v>1.5</v>
      </c>
      <c r="AL404">
        <v>0.2</v>
      </c>
      <c r="AM404">
        <v>14</v>
      </c>
      <c r="AN404">
        <v>30</v>
      </c>
      <c r="AO404">
        <v>15</v>
      </c>
      <c r="AP404">
        <v>15</v>
      </c>
      <c r="AQ404" t="s">
        <v>2569</v>
      </c>
      <c r="AR404">
        <v>52</v>
      </c>
      <c r="AS404" t="s">
        <v>36</v>
      </c>
      <c r="AT404" t="s">
        <v>36</v>
      </c>
      <c r="AU404" s="4">
        <f>HYPERLINK("http://mlb.mlb.com/team/player.jsp?player_id=453281",453281)</f>
        <v>453281</v>
      </c>
      <c r="AV404">
        <v>0</v>
      </c>
      <c r="AW404">
        <v>0</v>
      </c>
      <c r="AX404">
        <v>68</v>
      </c>
    </row>
    <row r="405" spans="1:50" x14ac:dyDescent="0.3">
      <c r="A405" s="4">
        <f>HYPERLINK("http://legacy.baseballprospectus.com/p/56580",56580)</f>
        <v>56580</v>
      </c>
      <c r="B405" t="s">
        <v>857</v>
      </c>
      <c r="C405" t="s">
        <v>358</v>
      </c>
      <c r="D405" s="10">
        <v>32120</v>
      </c>
      <c r="E405" t="s">
        <v>33</v>
      </c>
      <c r="F405" t="s">
        <v>33</v>
      </c>
      <c r="G405">
        <v>78</v>
      </c>
      <c r="H405">
        <v>245</v>
      </c>
      <c r="I405">
        <v>2018</v>
      </c>
      <c r="J405" s="4" t="str">
        <f>HYPERLINK("http://legacy.baseballprospectus.com/fantasy/dc/index.php?tm=TOR","TOR")</f>
        <v>TOR</v>
      </c>
      <c r="K405" t="s">
        <v>95</v>
      </c>
      <c r="L405" t="s">
        <v>34</v>
      </c>
      <c r="M405">
        <v>30</v>
      </c>
      <c r="N405">
        <v>2.4</v>
      </c>
      <c r="O405">
        <v>3</v>
      </c>
      <c r="P405">
        <v>3.2</v>
      </c>
      <c r="Q405">
        <v>0</v>
      </c>
      <c r="R405">
        <v>0</v>
      </c>
      <c r="S405">
        <v>0</v>
      </c>
      <c r="T405">
        <v>8.1</v>
      </c>
      <c r="U405">
        <v>8.1</v>
      </c>
      <c r="V405" s="9">
        <v>43.666699999999999</v>
      </c>
      <c r="W405">
        <v>195</v>
      </c>
      <c r="X405">
        <v>47</v>
      </c>
      <c r="Y405">
        <v>7</v>
      </c>
      <c r="Z405">
        <v>19</v>
      </c>
      <c r="AA405" t="s">
        <v>1680</v>
      </c>
      <c r="AB405">
        <v>2</v>
      </c>
      <c r="AC405">
        <v>37</v>
      </c>
      <c r="AD405">
        <v>3.9</v>
      </c>
      <c r="AE405">
        <v>7.5</v>
      </c>
      <c r="AF405" s="5">
        <v>0.44289278984069802</v>
      </c>
      <c r="AG405">
        <v>0.30499999999999999</v>
      </c>
      <c r="AH405">
        <v>1.51</v>
      </c>
      <c r="AI405">
        <v>5.15</v>
      </c>
      <c r="AJ405">
        <v>5.39</v>
      </c>
      <c r="AK405">
        <v>1.4</v>
      </c>
      <c r="AL405">
        <v>0.2</v>
      </c>
      <c r="AM405">
        <v>8</v>
      </c>
      <c r="AN405">
        <v>37</v>
      </c>
      <c r="AO405">
        <v>27</v>
      </c>
      <c r="AP405">
        <v>12</v>
      </c>
      <c r="AQ405" t="s">
        <v>3034</v>
      </c>
      <c r="AR405">
        <v>87</v>
      </c>
      <c r="AS405" t="s">
        <v>36</v>
      </c>
      <c r="AT405" t="s">
        <v>36</v>
      </c>
      <c r="AU405" s="4">
        <f>HYPERLINK("http://mlb.mlb.com/team/player.jsp?player_id=502009",502009)</f>
        <v>502009</v>
      </c>
      <c r="AV405">
        <v>0</v>
      </c>
      <c r="AW405">
        <v>0</v>
      </c>
      <c r="AX405">
        <v>15</v>
      </c>
    </row>
    <row r="406" spans="1:50" x14ac:dyDescent="0.3">
      <c r="A406" s="4">
        <f>HYPERLINK("http://legacy.baseballprospectus.com/p/60047",60047)</f>
        <v>60047</v>
      </c>
      <c r="B406" t="s">
        <v>1611</v>
      </c>
      <c r="C406" t="s">
        <v>102</v>
      </c>
      <c r="D406" s="10">
        <v>33097</v>
      </c>
      <c r="E406" t="s">
        <v>33</v>
      </c>
      <c r="F406" t="s">
        <v>33</v>
      </c>
      <c r="G406">
        <v>73</v>
      </c>
      <c r="H406">
        <v>180</v>
      </c>
      <c r="I406">
        <v>2018</v>
      </c>
      <c r="J406" s="4" t="str">
        <f>HYPERLINK("http://legacy.baseballprospectus.com/fantasy/dc/index.php?tm=TBA","TBA")</f>
        <v>TBA</v>
      </c>
      <c r="K406" t="s">
        <v>95</v>
      </c>
      <c r="L406" t="s">
        <v>34</v>
      </c>
      <c r="M406">
        <v>27</v>
      </c>
      <c r="N406">
        <v>1.9</v>
      </c>
      <c r="O406">
        <v>1.6</v>
      </c>
      <c r="P406">
        <v>1.7</v>
      </c>
      <c r="Q406">
        <v>0</v>
      </c>
      <c r="R406">
        <v>0.7</v>
      </c>
      <c r="S406">
        <v>0</v>
      </c>
      <c r="T406">
        <v>20.8</v>
      </c>
      <c r="U406">
        <v>4</v>
      </c>
      <c r="V406" s="9">
        <v>36.333300000000001</v>
      </c>
      <c r="W406">
        <v>157</v>
      </c>
      <c r="X406">
        <v>37</v>
      </c>
      <c r="Y406">
        <v>5</v>
      </c>
      <c r="Z406">
        <v>13</v>
      </c>
      <c r="AA406" t="s">
        <v>1680</v>
      </c>
      <c r="AB406">
        <v>2</v>
      </c>
      <c r="AC406">
        <v>25</v>
      </c>
      <c r="AD406">
        <v>3.2</v>
      </c>
      <c r="AE406">
        <v>6.3</v>
      </c>
      <c r="AF406" s="5">
        <v>0.53937560319900502</v>
      </c>
      <c r="AG406">
        <v>0.28899999999999998</v>
      </c>
      <c r="AH406">
        <v>1.38</v>
      </c>
      <c r="AI406">
        <v>4.7699999999999996</v>
      </c>
      <c r="AJ406">
        <v>5.08</v>
      </c>
      <c r="AK406">
        <v>1.9</v>
      </c>
      <c r="AL406">
        <v>0.2</v>
      </c>
      <c r="AM406">
        <v>24</v>
      </c>
      <c r="AN406">
        <v>47</v>
      </c>
      <c r="AO406">
        <v>14</v>
      </c>
      <c r="AP406">
        <v>26</v>
      </c>
      <c r="AQ406" t="s">
        <v>2466</v>
      </c>
      <c r="AR406">
        <v>72</v>
      </c>
      <c r="AS406" t="s">
        <v>36</v>
      </c>
      <c r="AT406" t="s">
        <v>36</v>
      </c>
      <c r="AU406" s="4">
        <f>HYPERLINK("http://mlb.mlb.com/team/player.jsp?player_id=543901",543901)</f>
        <v>543901</v>
      </c>
      <c r="AV406">
        <v>0</v>
      </c>
      <c r="AW406">
        <v>0</v>
      </c>
      <c r="AX406">
        <v>3.7</v>
      </c>
    </row>
    <row r="407" spans="1:50" x14ac:dyDescent="0.3">
      <c r="A407" s="4">
        <f>HYPERLINK("http://legacy.baseballprospectus.com/p/60611",60611)</f>
        <v>60611</v>
      </c>
      <c r="B407" t="s">
        <v>1155</v>
      </c>
      <c r="C407" t="s">
        <v>297</v>
      </c>
      <c r="D407" s="10">
        <v>33367</v>
      </c>
      <c r="E407" t="s">
        <v>9</v>
      </c>
      <c r="F407" t="s">
        <v>9</v>
      </c>
      <c r="G407">
        <v>73</v>
      </c>
      <c r="H407">
        <v>210</v>
      </c>
      <c r="I407">
        <v>2018</v>
      </c>
      <c r="J407" s="4" t="str">
        <f>HYPERLINK("http://legacy.baseballprospectus.com/fantasy/dc/index.php?tm=ANA","ANA")</f>
        <v>ANA</v>
      </c>
      <c r="K407" t="s">
        <v>100</v>
      </c>
      <c r="L407" t="s">
        <v>34</v>
      </c>
      <c r="M407">
        <v>27</v>
      </c>
      <c r="N407">
        <v>2.2999999999999998</v>
      </c>
      <c r="O407">
        <v>0.9</v>
      </c>
      <c r="P407">
        <v>0</v>
      </c>
      <c r="Q407">
        <v>0</v>
      </c>
      <c r="R407">
        <v>0.6</v>
      </c>
      <c r="S407">
        <v>0</v>
      </c>
      <c r="T407">
        <v>45.6</v>
      </c>
      <c r="U407">
        <v>0</v>
      </c>
      <c r="V407" s="9">
        <v>48.333300000000001</v>
      </c>
      <c r="W407">
        <v>206</v>
      </c>
      <c r="X407">
        <v>46</v>
      </c>
      <c r="Y407">
        <v>6</v>
      </c>
      <c r="Z407">
        <v>21</v>
      </c>
      <c r="AA407" t="s">
        <v>1680</v>
      </c>
      <c r="AB407">
        <v>3</v>
      </c>
      <c r="AC407">
        <v>49</v>
      </c>
      <c r="AD407">
        <v>3.8</v>
      </c>
      <c r="AE407">
        <v>9.1999999999999993</v>
      </c>
      <c r="AF407" s="5">
        <v>0.47976315021514798</v>
      </c>
      <c r="AG407">
        <v>0.32</v>
      </c>
      <c r="AH407">
        <v>1.39</v>
      </c>
      <c r="AI407">
        <v>4.05</v>
      </c>
      <c r="AJ407">
        <v>4.72</v>
      </c>
      <c r="AK407">
        <v>2</v>
      </c>
      <c r="AL407">
        <v>0.2</v>
      </c>
      <c r="AM407">
        <v>35</v>
      </c>
      <c r="AN407">
        <v>56</v>
      </c>
      <c r="AO407">
        <v>15</v>
      </c>
      <c r="AP407">
        <v>20</v>
      </c>
      <c r="AQ407" t="s">
        <v>2873</v>
      </c>
      <c r="AR407">
        <v>88</v>
      </c>
      <c r="AS407" t="s">
        <v>36</v>
      </c>
      <c r="AT407" t="s">
        <v>36</v>
      </c>
      <c r="AU407" s="4">
        <f>HYPERLINK("http://mlb.mlb.com/team/player.jsp?player_id=571871",571871)</f>
        <v>571871</v>
      </c>
      <c r="AV407">
        <v>0</v>
      </c>
      <c r="AW407">
        <v>0</v>
      </c>
      <c r="AX407">
        <v>49</v>
      </c>
    </row>
    <row r="408" spans="1:50" x14ac:dyDescent="0.3">
      <c r="A408" s="4">
        <f>HYPERLINK("http://legacy.baseballprospectus.com/p/60837",60837)</f>
        <v>60837</v>
      </c>
      <c r="B408" t="s">
        <v>856</v>
      </c>
      <c r="C408" t="s">
        <v>148</v>
      </c>
      <c r="D408" s="10">
        <v>33064</v>
      </c>
      <c r="E408" t="s">
        <v>9</v>
      </c>
      <c r="F408" t="s">
        <v>9</v>
      </c>
      <c r="G408">
        <v>76</v>
      </c>
      <c r="H408">
        <v>205</v>
      </c>
      <c r="I408">
        <v>2018</v>
      </c>
      <c r="J408" s="4" t="str">
        <f>HYPERLINK("http://legacy.baseballprospectus.com/fantasy/dc/index.php?tm=ANA","ANA")</f>
        <v>ANA</v>
      </c>
      <c r="K408" t="s">
        <v>95</v>
      </c>
      <c r="L408" t="s">
        <v>34</v>
      </c>
      <c r="M408">
        <v>27</v>
      </c>
      <c r="N408">
        <v>3.5</v>
      </c>
      <c r="O408">
        <v>4.7</v>
      </c>
      <c r="P408">
        <v>5.2</v>
      </c>
      <c r="Q408">
        <v>0</v>
      </c>
      <c r="R408">
        <v>0</v>
      </c>
      <c r="S408">
        <v>0</v>
      </c>
      <c r="T408">
        <v>12.5</v>
      </c>
      <c r="U408">
        <v>12.5</v>
      </c>
      <c r="V408" s="9">
        <v>65.333299999999994</v>
      </c>
      <c r="W408">
        <v>287</v>
      </c>
      <c r="X408">
        <v>68</v>
      </c>
      <c r="Y408">
        <v>11</v>
      </c>
      <c r="Z408">
        <v>26</v>
      </c>
      <c r="AA408" t="s">
        <v>1680</v>
      </c>
      <c r="AB408">
        <v>3</v>
      </c>
      <c r="AC408">
        <v>58</v>
      </c>
      <c r="AD408">
        <v>3.5</v>
      </c>
      <c r="AE408">
        <v>8</v>
      </c>
      <c r="AF408" s="5">
        <v>0.41945198178291299</v>
      </c>
      <c r="AG408">
        <v>0.30199999999999999</v>
      </c>
      <c r="AH408">
        <v>1.44</v>
      </c>
      <c r="AI408">
        <v>4.93</v>
      </c>
      <c r="AJ408">
        <v>5.47</v>
      </c>
      <c r="AK408">
        <v>1.6</v>
      </c>
      <c r="AL408">
        <v>0.2</v>
      </c>
      <c r="AM408">
        <v>26</v>
      </c>
      <c r="AN408">
        <v>40</v>
      </c>
      <c r="AO408">
        <v>16</v>
      </c>
      <c r="AP408">
        <v>33</v>
      </c>
      <c r="AQ408" t="s">
        <v>2646</v>
      </c>
      <c r="AR408">
        <v>62</v>
      </c>
      <c r="AS408" t="s">
        <v>36</v>
      </c>
      <c r="AT408" t="s">
        <v>36</v>
      </c>
      <c r="AU408" s="4">
        <f>HYPERLINK("http://mlb.mlb.com/team/player.jsp?player_id=543424",543424)</f>
        <v>543424</v>
      </c>
      <c r="AV408">
        <v>0</v>
      </c>
      <c r="AW408">
        <v>0</v>
      </c>
      <c r="AX408">
        <v>0</v>
      </c>
    </row>
    <row r="409" spans="1:50" x14ac:dyDescent="0.3">
      <c r="A409" s="4">
        <f>HYPERLINK("http://legacy.baseballprospectus.com/p/65965",65965)</f>
        <v>65965</v>
      </c>
      <c r="B409" t="s">
        <v>810</v>
      </c>
      <c r="C409" t="s">
        <v>208</v>
      </c>
      <c r="D409" s="10">
        <v>33001</v>
      </c>
      <c r="E409" t="s">
        <v>9</v>
      </c>
      <c r="F409" t="s">
        <v>9</v>
      </c>
      <c r="G409">
        <v>74</v>
      </c>
      <c r="H409">
        <v>206</v>
      </c>
      <c r="I409">
        <v>2018</v>
      </c>
      <c r="J409" s="4" t="str">
        <f>HYPERLINK("http://legacy.baseballprospectus.com/fantasy/dc/index.php?tm=SLN","SLN")</f>
        <v>SLN</v>
      </c>
      <c r="K409" t="s">
        <v>100</v>
      </c>
      <c r="L409" t="s">
        <v>34</v>
      </c>
      <c r="M409">
        <v>28</v>
      </c>
      <c r="N409">
        <v>3.7</v>
      </c>
      <c r="O409">
        <v>3.3</v>
      </c>
      <c r="P409">
        <v>4.3</v>
      </c>
      <c r="Q409">
        <v>0</v>
      </c>
      <c r="R409">
        <v>0.1</v>
      </c>
      <c r="S409">
        <v>0</v>
      </c>
      <c r="T409">
        <v>22.8</v>
      </c>
      <c r="U409">
        <v>9.6</v>
      </c>
      <c r="V409" s="9">
        <v>62</v>
      </c>
      <c r="W409">
        <v>267</v>
      </c>
      <c r="X409">
        <v>67</v>
      </c>
      <c r="Y409">
        <v>9</v>
      </c>
      <c r="Z409">
        <v>25</v>
      </c>
      <c r="AA409" t="s">
        <v>1680</v>
      </c>
      <c r="AB409">
        <v>2</v>
      </c>
      <c r="AC409">
        <v>52</v>
      </c>
      <c r="AD409">
        <v>3.6</v>
      </c>
      <c r="AE409">
        <v>7.5</v>
      </c>
      <c r="AF409" s="5">
        <v>0.44004112482070901</v>
      </c>
      <c r="AG409">
        <v>0.32200000000000001</v>
      </c>
      <c r="AH409">
        <v>1.47</v>
      </c>
      <c r="AI409">
        <v>4.74</v>
      </c>
      <c r="AJ409">
        <v>5.29</v>
      </c>
      <c r="AK409">
        <v>1.5</v>
      </c>
      <c r="AL409">
        <v>0.2</v>
      </c>
      <c r="AM409">
        <v>20</v>
      </c>
      <c r="AN409">
        <v>37</v>
      </c>
      <c r="AO409">
        <v>17</v>
      </c>
      <c r="AP409">
        <v>31</v>
      </c>
      <c r="AQ409" t="s">
        <v>3167</v>
      </c>
      <c r="AR409">
        <v>60</v>
      </c>
      <c r="AS409" t="s">
        <v>36</v>
      </c>
      <c r="AT409" t="s">
        <v>36</v>
      </c>
      <c r="AU409" s="4">
        <f>HYPERLINK("http://mlb.mlb.com/team/player.jsp?player_id=543219",543219)</f>
        <v>543219</v>
      </c>
      <c r="AV409">
        <v>0</v>
      </c>
      <c r="AW409">
        <v>0</v>
      </c>
      <c r="AX409">
        <v>3.3</v>
      </c>
    </row>
    <row r="410" spans="1:50" x14ac:dyDescent="0.3">
      <c r="A410" s="4">
        <f>HYPERLINK("http://legacy.baseballprospectus.com/p/66534",66534)</f>
        <v>66534</v>
      </c>
      <c r="B410" t="s">
        <v>3006</v>
      </c>
      <c r="C410" t="s">
        <v>638</v>
      </c>
      <c r="D410" s="10">
        <v>32382</v>
      </c>
      <c r="E410" t="s">
        <v>33</v>
      </c>
      <c r="F410" t="s">
        <v>33</v>
      </c>
      <c r="G410">
        <v>77</v>
      </c>
      <c r="H410">
        <v>210</v>
      </c>
      <c r="I410">
        <v>2018</v>
      </c>
      <c r="J410" s="4" t="str">
        <f>HYPERLINK("http://legacy.baseballprospectus.com/fantasy/dc/index.php?tm=SEA","SEA")</f>
        <v>SEA</v>
      </c>
      <c r="K410" t="s">
        <v>95</v>
      </c>
      <c r="L410" t="s">
        <v>34</v>
      </c>
      <c r="M410">
        <v>29</v>
      </c>
      <c r="N410">
        <v>4.5999999999999996</v>
      </c>
      <c r="O410">
        <v>3.8</v>
      </c>
      <c r="P410">
        <v>3.6</v>
      </c>
      <c r="Q410">
        <v>0</v>
      </c>
      <c r="R410">
        <v>1.2</v>
      </c>
      <c r="S410">
        <v>0</v>
      </c>
      <c r="T410">
        <v>50.7</v>
      </c>
      <c r="U410">
        <v>8.6999999999999993</v>
      </c>
      <c r="V410" s="9">
        <v>88.666700000000006</v>
      </c>
      <c r="W410">
        <v>389</v>
      </c>
      <c r="X410">
        <v>88</v>
      </c>
      <c r="Y410">
        <v>15</v>
      </c>
      <c r="Z410">
        <v>36</v>
      </c>
      <c r="AA410" t="s">
        <v>1680</v>
      </c>
      <c r="AB410">
        <v>5</v>
      </c>
      <c r="AC410">
        <v>82</v>
      </c>
      <c r="AD410">
        <v>3.7</v>
      </c>
      <c r="AE410">
        <v>8.3000000000000007</v>
      </c>
      <c r="AF410" s="5">
        <v>0.48952537775039601</v>
      </c>
      <c r="AG410">
        <v>0.29099999999999998</v>
      </c>
      <c r="AH410">
        <v>1.4</v>
      </c>
      <c r="AI410">
        <v>4.9800000000000004</v>
      </c>
      <c r="AJ410">
        <v>5.31</v>
      </c>
      <c r="AK410">
        <v>1.6</v>
      </c>
      <c r="AL410">
        <v>0.2</v>
      </c>
      <c r="AM410">
        <v>9</v>
      </c>
      <c r="AN410">
        <v>12</v>
      </c>
      <c r="AO410">
        <v>12</v>
      </c>
      <c r="AP410">
        <v>14</v>
      </c>
      <c r="AQ410" t="s">
        <v>3007</v>
      </c>
      <c r="AR410">
        <v>26</v>
      </c>
      <c r="AS410" t="s">
        <v>36</v>
      </c>
      <c r="AT410" t="s">
        <v>35</v>
      </c>
      <c r="AU410" s="4">
        <f>HYPERLINK("http://mlb.mlb.com/team/player.jsp?player_id=571676",571676)</f>
        <v>571676</v>
      </c>
      <c r="AV410">
        <v>0</v>
      </c>
      <c r="AW410">
        <v>0</v>
      </c>
      <c r="AX410">
        <v>2</v>
      </c>
    </row>
    <row r="411" spans="1:50" x14ac:dyDescent="0.3">
      <c r="A411" s="4">
        <f>HYPERLINK("http://legacy.baseballprospectus.com/p/67011",67011)</f>
        <v>67011</v>
      </c>
      <c r="B411" t="s">
        <v>832</v>
      </c>
      <c r="C411" t="s">
        <v>716</v>
      </c>
      <c r="D411" s="10">
        <v>32521</v>
      </c>
      <c r="E411" t="s">
        <v>33</v>
      </c>
      <c r="F411" t="s">
        <v>33</v>
      </c>
      <c r="G411">
        <v>76</v>
      </c>
      <c r="H411">
        <v>210</v>
      </c>
      <c r="I411">
        <v>2018</v>
      </c>
      <c r="J411" s="4" t="str">
        <f>HYPERLINK("http://legacy.baseballprospectus.com/fantasy/dc/index.php?tm=BOS","BOS")</f>
        <v>BOS</v>
      </c>
      <c r="K411" t="s">
        <v>95</v>
      </c>
      <c r="L411" t="s">
        <v>34</v>
      </c>
      <c r="M411">
        <v>29</v>
      </c>
      <c r="N411">
        <v>1.7</v>
      </c>
      <c r="O411">
        <v>1.8</v>
      </c>
      <c r="P411">
        <v>0</v>
      </c>
      <c r="Q411">
        <v>0</v>
      </c>
      <c r="R411">
        <v>0</v>
      </c>
      <c r="S411">
        <v>0</v>
      </c>
      <c r="T411">
        <v>35</v>
      </c>
      <c r="U411">
        <v>0</v>
      </c>
      <c r="V411" s="9">
        <v>37</v>
      </c>
      <c r="W411">
        <v>162</v>
      </c>
      <c r="X411">
        <v>37</v>
      </c>
      <c r="Y411">
        <v>5</v>
      </c>
      <c r="Z411">
        <v>15</v>
      </c>
      <c r="AA411">
        <v>1</v>
      </c>
      <c r="AB411">
        <v>1</v>
      </c>
      <c r="AC411">
        <v>36</v>
      </c>
      <c r="AD411">
        <v>3.5</v>
      </c>
      <c r="AE411">
        <v>8.8000000000000007</v>
      </c>
      <c r="AF411" s="5">
        <v>0.40400000000000003</v>
      </c>
      <c r="AG411">
        <v>0.30299999999999999</v>
      </c>
      <c r="AH411">
        <v>1.41</v>
      </c>
      <c r="AI411">
        <v>4.22</v>
      </c>
      <c r="AJ411">
        <v>4.68</v>
      </c>
      <c r="AK411">
        <v>2.2000000000000002</v>
      </c>
      <c r="AL411">
        <v>0.2</v>
      </c>
      <c r="AM411">
        <v>22</v>
      </c>
      <c r="AN411">
        <v>50</v>
      </c>
      <c r="AO411">
        <v>11</v>
      </c>
      <c r="AP411">
        <v>14</v>
      </c>
      <c r="AQ411" t="s">
        <v>2633</v>
      </c>
      <c r="AR411">
        <v>81</v>
      </c>
      <c r="AS411" t="s">
        <v>35</v>
      </c>
      <c r="AT411" t="s">
        <v>36</v>
      </c>
      <c r="AU411" s="4">
        <f>HYPERLINK("http://mlb.mlb.com/team/player.jsp?player_id=592390",592390)</f>
        <v>592390</v>
      </c>
      <c r="AV411">
        <v>255</v>
      </c>
      <c r="AW411">
        <v>1255</v>
      </c>
      <c r="AX411">
        <v>62</v>
      </c>
    </row>
    <row r="412" spans="1:50" x14ac:dyDescent="0.3">
      <c r="A412" s="4">
        <f>HYPERLINK("http://legacy.baseballprospectus.com/p/67118",67118)</f>
        <v>67118</v>
      </c>
      <c r="B412" t="s">
        <v>1492</v>
      </c>
      <c r="C412" t="s">
        <v>1493</v>
      </c>
      <c r="D412" s="10">
        <v>33066</v>
      </c>
      <c r="E412" t="s">
        <v>9</v>
      </c>
      <c r="F412" t="s">
        <v>9</v>
      </c>
      <c r="G412">
        <v>76</v>
      </c>
      <c r="H412">
        <v>195</v>
      </c>
      <c r="I412">
        <v>2018</v>
      </c>
      <c r="J412" s="4" t="str">
        <f>HYPERLINK("http://legacy.baseballprospectus.com/fantasy/dc/index.php?tm=NYA","NYA")</f>
        <v>NYA</v>
      </c>
      <c r="K412" t="s">
        <v>95</v>
      </c>
      <c r="L412" t="s">
        <v>34</v>
      </c>
      <c r="M412">
        <v>27</v>
      </c>
      <c r="N412">
        <v>1.3</v>
      </c>
      <c r="O412">
        <v>1.1000000000000001</v>
      </c>
      <c r="P412">
        <v>0</v>
      </c>
      <c r="Q412">
        <v>0</v>
      </c>
      <c r="R412">
        <v>0</v>
      </c>
      <c r="S412">
        <v>1</v>
      </c>
      <c r="T412">
        <v>23</v>
      </c>
      <c r="U412">
        <v>0</v>
      </c>
      <c r="V412" s="9">
        <v>24.666699999999999</v>
      </c>
      <c r="W412">
        <v>106</v>
      </c>
      <c r="X412">
        <v>21</v>
      </c>
      <c r="Y412">
        <v>4</v>
      </c>
      <c r="Z412">
        <v>11</v>
      </c>
      <c r="AA412">
        <v>1</v>
      </c>
      <c r="AB412">
        <v>1</v>
      </c>
      <c r="AC412">
        <v>29</v>
      </c>
      <c r="AD412">
        <v>4.0999999999999996</v>
      </c>
      <c r="AE412">
        <v>10.6</v>
      </c>
      <c r="AF412" s="5">
        <v>0.43</v>
      </c>
      <c r="AG412">
        <v>0.29099999999999998</v>
      </c>
      <c r="AH412">
        <v>1.33</v>
      </c>
      <c r="AI412">
        <v>4.21</v>
      </c>
      <c r="AJ412">
        <v>4.42</v>
      </c>
      <c r="AK412">
        <v>2.1</v>
      </c>
      <c r="AL412">
        <v>0.2</v>
      </c>
      <c r="AM412">
        <v>37</v>
      </c>
      <c r="AN412">
        <v>49</v>
      </c>
      <c r="AO412">
        <v>19</v>
      </c>
      <c r="AP412">
        <v>30</v>
      </c>
      <c r="AQ412" t="s">
        <v>2851</v>
      </c>
      <c r="AR412">
        <v>84</v>
      </c>
      <c r="AS412" t="s">
        <v>35</v>
      </c>
      <c r="AT412" t="s">
        <v>36</v>
      </c>
      <c r="AU412" s="4">
        <f>HYPERLINK("http://mlb.mlb.com/team/player.jsp?player_id=592741",592741)</f>
        <v>592741</v>
      </c>
      <c r="AV412">
        <v>291</v>
      </c>
      <c r="AW412">
        <v>1291</v>
      </c>
      <c r="AX412">
        <v>45.3</v>
      </c>
    </row>
    <row r="413" spans="1:50" x14ac:dyDescent="0.3">
      <c r="A413" s="4">
        <f>HYPERLINK("http://legacy.baseballprospectus.com/p/67137",67137)</f>
        <v>67137</v>
      </c>
      <c r="B413" t="s">
        <v>962</v>
      </c>
      <c r="C413" t="s">
        <v>258</v>
      </c>
      <c r="D413" s="10">
        <v>32415</v>
      </c>
      <c r="E413" t="s">
        <v>33</v>
      </c>
      <c r="F413" t="s">
        <v>33</v>
      </c>
      <c r="G413">
        <v>71</v>
      </c>
      <c r="H413">
        <v>190</v>
      </c>
      <c r="I413">
        <v>2018</v>
      </c>
      <c r="J413" s="4" t="str">
        <f>HYPERLINK("http://legacy.baseballprospectus.com/fantasy/dc/index.php?tm=BOS","BOS")</f>
        <v>BOS</v>
      </c>
      <c r="K413" t="s">
        <v>95</v>
      </c>
      <c r="L413" t="s">
        <v>34</v>
      </c>
      <c r="M413">
        <v>29</v>
      </c>
      <c r="N413">
        <v>1.7</v>
      </c>
      <c r="O413">
        <v>1.8</v>
      </c>
      <c r="P413">
        <v>0</v>
      </c>
      <c r="Q413">
        <v>0</v>
      </c>
      <c r="R413">
        <v>0</v>
      </c>
      <c r="S413">
        <v>1</v>
      </c>
      <c r="T413">
        <v>35</v>
      </c>
      <c r="U413">
        <v>0</v>
      </c>
      <c r="V413" s="9">
        <v>37</v>
      </c>
      <c r="W413">
        <v>161</v>
      </c>
      <c r="X413">
        <v>35</v>
      </c>
      <c r="Y413">
        <v>5</v>
      </c>
      <c r="Z413">
        <v>16</v>
      </c>
      <c r="AA413">
        <v>1</v>
      </c>
      <c r="AB413">
        <v>1</v>
      </c>
      <c r="AC413">
        <v>38</v>
      </c>
      <c r="AD413">
        <v>3.8</v>
      </c>
      <c r="AE413">
        <v>9.1999999999999993</v>
      </c>
      <c r="AF413" s="5">
        <v>0.39600000000000002</v>
      </c>
      <c r="AG413">
        <v>0.29399999999999998</v>
      </c>
      <c r="AH413">
        <v>1.36</v>
      </c>
      <c r="AI413">
        <v>4.3600000000000003</v>
      </c>
      <c r="AJ413">
        <v>4.78</v>
      </c>
      <c r="AK413">
        <v>1.8</v>
      </c>
      <c r="AL413">
        <v>0.2</v>
      </c>
      <c r="AM413">
        <v>27</v>
      </c>
      <c r="AN413">
        <v>58</v>
      </c>
      <c r="AO413">
        <v>14</v>
      </c>
      <c r="AP413">
        <v>14</v>
      </c>
      <c r="AQ413" t="s">
        <v>2634</v>
      </c>
      <c r="AR413">
        <v>88</v>
      </c>
      <c r="AS413" t="s">
        <v>35</v>
      </c>
      <c r="AT413" t="s">
        <v>36</v>
      </c>
      <c r="AU413" s="4">
        <f>HYPERLINK("http://mlb.mlb.com/team/player.jsp?player_id=592804",592804)</f>
        <v>592804</v>
      </c>
      <c r="AV413">
        <v>342</v>
      </c>
      <c r="AW413">
        <v>1342</v>
      </c>
      <c r="AX413">
        <v>0</v>
      </c>
    </row>
    <row r="414" spans="1:50" x14ac:dyDescent="0.3">
      <c r="A414" s="4">
        <f>HYPERLINK("http://legacy.baseballprospectus.com/p/67139",67139)</f>
        <v>67139</v>
      </c>
      <c r="B414" t="s">
        <v>1283</v>
      </c>
      <c r="C414" t="s">
        <v>353</v>
      </c>
      <c r="D414" s="10">
        <v>33896</v>
      </c>
      <c r="E414" t="s">
        <v>33</v>
      </c>
      <c r="F414" t="s">
        <v>33</v>
      </c>
      <c r="G414">
        <v>75</v>
      </c>
      <c r="H414">
        <v>225</v>
      </c>
      <c r="I414">
        <v>2018</v>
      </c>
      <c r="J414" s="4" t="str">
        <f>HYPERLINK("http://legacy.baseballprospectus.com/fantasy/dc/index.php?tm=SLN","SLN")</f>
        <v>SLN</v>
      </c>
      <c r="K414" t="s">
        <v>100</v>
      </c>
      <c r="L414" t="s">
        <v>34</v>
      </c>
      <c r="M414">
        <v>25</v>
      </c>
      <c r="N414">
        <v>2.8</v>
      </c>
      <c r="O414">
        <v>2.7</v>
      </c>
      <c r="P414">
        <v>0</v>
      </c>
      <c r="Q414">
        <v>0</v>
      </c>
      <c r="R414">
        <v>0</v>
      </c>
      <c r="S414">
        <v>1</v>
      </c>
      <c r="T414">
        <v>54</v>
      </c>
      <c r="U414">
        <v>0</v>
      </c>
      <c r="V414" s="9">
        <v>56.666699999999999</v>
      </c>
      <c r="W414">
        <v>250</v>
      </c>
      <c r="X414">
        <v>54</v>
      </c>
      <c r="Y414">
        <v>8</v>
      </c>
      <c r="Z414">
        <v>27</v>
      </c>
      <c r="AA414">
        <v>3</v>
      </c>
      <c r="AB414">
        <v>3</v>
      </c>
      <c r="AC414">
        <v>58</v>
      </c>
      <c r="AD414">
        <v>4.2</v>
      </c>
      <c r="AE414">
        <v>9.1999999999999993</v>
      </c>
      <c r="AF414" s="5">
        <v>0.441</v>
      </c>
      <c r="AG414">
        <v>0.30399999999999999</v>
      </c>
      <c r="AH414">
        <v>1.45</v>
      </c>
      <c r="AI414">
        <v>4.53</v>
      </c>
      <c r="AJ414">
        <v>4.6399999999999997</v>
      </c>
      <c r="AK414">
        <v>2.1</v>
      </c>
      <c r="AL414">
        <v>0.2</v>
      </c>
      <c r="AM414">
        <v>16</v>
      </c>
      <c r="AN414">
        <v>30</v>
      </c>
      <c r="AO414">
        <v>25</v>
      </c>
      <c r="AP414">
        <v>42</v>
      </c>
      <c r="AQ414" t="s">
        <v>2635</v>
      </c>
      <c r="AR414">
        <v>68</v>
      </c>
      <c r="AS414" t="s">
        <v>35</v>
      </c>
      <c r="AT414" t="s">
        <v>36</v>
      </c>
      <c r="AU414" s="4">
        <f>HYPERLINK("http://mlb.mlb.com/team/player.jsp?player_id=592815",592815)</f>
        <v>592815</v>
      </c>
      <c r="AV414">
        <v>1306</v>
      </c>
      <c r="AW414">
        <v>306</v>
      </c>
      <c r="AX414">
        <v>42.3</v>
      </c>
    </row>
    <row r="415" spans="1:50" x14ac:dyDescent="0.3">
      <c r="A415" s="4">
        <f>HYPERLINK("http://legacy.baseballprospectus.com/p/67869",67869)</f>
        <v>67869</v>
      </c>
      <c r="B415" t="s">
        <v>3015</v>
      </c>
      <c r="C415" t="s">
        <v>459</v>
      </c>
      <c r="D415" s="10">
        <v>32605</v>
      </c>
      <c r="E415" t="s">
        <v>33</v>
      </c>
      <c r="F415" t="s">
        <v>33</v>
      </c>
      <c r="G415">
        <v>77</v>
      </c>
      <c r="H415">
        <v>210</v>
      </c>
      <c r="I415">
        <v>2018</v>
      </c>
      <c r="J415" s="4" t="str">
        <f>HYPERLINK("http://legacy.baseballprospectus.com/fantasy/dc/index.php?tm=CIN","CIN")</f>
        <v>CIN</v>
      </c>
      <c r="K415" t="s">
        <v>100</v>
      </c>
      <c r="L415" t="s">
        <v>34</v>
      </c>
      <c r="M415">
        <v>29</v>
      </c>
      <c r="N415">
        <v>2.1</v>
      </c>
      <c r="O415">
        <v>2.2000000000000002</v>
      </c>
      <c r="P415">
        <v>0</v>
      </c>
      <c r="Q415">
        <v>0</v>
      </c>
      <c r="R415">
        <v>0</v>
      </c>
      <c r="S415">
        <v>1</v>
      </c>
      <c r="T415">
        <v>43</v>
      </c>
      <c r="U415">
        <v>0</v>
      </c>
      <c r="V415" s="9">
        <v>45.666699999999999</v>
      </c>
      <c r="W415">
        <v>202</v>
      </c>
      <c r="X415">
        <v>45</v>
      </c>
      <c r="Y415">
        <v>6</v>
      </c>
      <c r="Z415">
        <v>22</v>
      </c>
      <c r="AA415">
        <v>2</v>
      </c>
      <c r="AB415">
        <v>3</v>
      </c>
      <c r="AC415">
        <v>43</v>
      </c>
      <c r="AD415">
        <v>4.3</v>
      </c>
      <c r="AE415">
        <v>8.4</v>
      </c>
      <c r="AF415" s="5">
        <v>0.50600000000000001</v>
      </c>
      <c r="AG415">
        <v>0.30199999999999999</v>
      </c>
      <c r="AH415">
        <v>1.48</v>
      </c>
      <c r="AI415">
        <v>4.8099999999999996</v>
      </c>
      <c r="AJ415">
        <v>4.6900000000000004</v>
      </c>
      <c r="AK415">
        <v>1.4</v>
      </c>
      <c r="AL415">
        <v>0.2</v>
      </c>
      <c r="AM415">
        <v>13</v>
      </c>
      <c r="AN415">
        <v>15</v>
      </c>
      <c r="AO415">
        <v>16</v>
      </c>
      <c r="AP415">
        <v>22</v>
      </c>
      <c r="AQ415" t="s">
        <v>3016</v>
      </c>
      <c r="AR415">
        <v>34</v>
      </c>
      <c r="AS415" t="s">
        <v>35</v>
      </c>
      <c r="AT415" t="s">
        <v>35</v>
      </c>
      <c r="AU415" s="4">
        <f>HYPERLINK("http://mlb.mlb.com/team/player.jsp?player_id=594992",594992)</f>
        <v>594992</v>
      </c>
      <c r="AV415">
        <v>1313</v>
      </c>
      <c r="AW415">
        <v>313</v>
      </c>
      <c r="AX415">
        <v>30.7</v>
      </c>
    </row>
    <row r="416" spans="1:50" x14ac:dyDescent="0.3">
      <c r="A416" s="4">
        <f>HYPERLINK("http://legacy.baseballprospectus.com/p/68320",68320)</f>
        <v>68320</v>
      </c>
      <c r="B416" t="s">
        <v>588</v>
      </c>
      <c r="C416" t="s">
        <v>1279</v>
      </c>
      <c r="D416" s="10">
        <v>32864</v>
      </c>
      <c r="E416" t="s">
        <v>33</v>
      </c>
      <c r="F416" t="s">
        <v>33</v>
      </c>
      <c r="G416">
        <v>75</v>
      </c>
      <c r="H416">
        <v>205</v>
      </c>
      <c r="I416">
        <v>2018</v>
      </c>
      <c r="J416" s="4" t="str">
        <f>HYPERLINK("http://legacy.baseballprospectus.com/fantasy/dc/index.php?tm=ANA","ANA")</f>
        <v>ANA</v>
      </c>
      <c r="K416" t="s">
        <v>95</v>
      </c>
      <c r="L416" t="s">
        <v>34</v>
      </c>
      <c r="M416">
        <v>28</v>
      </c>
      <c r="N416">
        <v>2.2999999999999998</v>
      </c>
      <c r="O416">
        <v>2.6</v>
      </c>
      <c r="P416">
        <v>0</v>
      </c>
      <c r="Q416">
        <v>0</v>
      </c>
      <c r="R416">
        <v>0</v>
      </c>
      <c r="S416">
        <v>1</v>
      </c>
      <c r="T416">
        <v>49</v>
      </c>
      <c r="U416">
        <v>0</v>
      </c>
      <c r="V416" s="9">
        <v>51.666699999999999</v>
      </c>
      <c r="W416">
        <v>224</v>
      </c>
      <c r="X416">
        <v>49</v>
      </c>
      <c r="Y416">
        <v>8</v>
      </c>
      <c r="Z416">
        <v>22</v>
      </c>
      <c r="AA416">
        <v>1</v>
      </c>
      <c r="AB416">
        <v>3</v>
      </c>
      <c r="AC416">
        <v>50</v>
      </c>
      <c r="AD416">
        <v>3.8</v>
      </c>
      <c r="AE416">
        <v>8.6999999999999993</v>
      </c>
      <c r="AF416" s="5">
        <v>0.41</v>
      </c>
      <c r="AG416">
        <v>0.29199999999999998</v>
      </c>
      <c r="AH416">
        <v>1.37</v>
      </c>
      <c r="AI416">
        <v>4.78</v>
      </c>
      <c r="AJ416">
        <v>4.91</v>
      </c>
      <c r="AK416">
        <v>1.8</v>
      </c>
      <c r="AL416">
        <v>0.2</v>
      </c>
      <c r="AM416">
        <v>14</v>
      </c>
      <c r="AN416">
        <v>19</v>
      </c>
      <c r="AO416">
        <v>17</v>
      </c>
      <c r="AP416">
        <v>29</v>
      </c>
      <c r="AQ416" t="s">
        <v>3152</v>
      </c>
      <c r="AR416">
        <v>47</v>
      </c>
      <c r="AS416" t="s">
        <v>35</v>
      </c>
      <c r="AT416" t="s">
        <v>35</v>
      </c>
      <c r="AU416" s="4">
        <f>HYPERLINK("http://mlb.mlb.com/team/player.jsp?player_id=598287",598287)</f>
        <v>598287</v>
      </c>
      <c r="AV416">
        <v>326</v>
      </c>
      <c r="AW416">
        <v>1326</v>
      </c>
      <c r="AX416">
        <v>13</v>
      </c>
    </row>
    <row r="417" spans="1:50" x14ac:dyDescent="0.3">
      <c r="A417" s="4">
        <f>HYPERLINK("http://legacy.baseballprospectus.com/p/69516",69516)</f>
        <v>69516</v>
      </c>
      <c r="B417" t="s">
        <v>1505</v>
      </c>
      <c r="C417" t="s">
        <v>234</v>
      </c>
      <c r="D417" s="10">
        <v>32561</v>
      </c>
      <c r="E417" t="s">
        <v>33</v>
      </c>
      <c r="F417" t="s">
        <v>33</v>
      </c>
      <c r="G417">
        <v>77</v>
      </c>
      <c r="H417">
        <v>220</v>
      </c>
      <c r="I417">
        <v>2018</v>
      </c>
      <c r="J417" s="4" t="str">
        <f>HYPERLINK("http://legacy.baseballprospectus.com/fantasy/dc/index.php?tm=OAK","OAK")</f>
        <v>OAK</v>
      </c>
      <c r="K417" t="s">
        <v>95</v>
      </c>
      <c r="L417" t="s">
        <v>34</v>
      </c>
      <c r="M417">
        <v>29</v>
      </c>
      <c r="N417">
        <v>1.2</v>
      </c>
      <c r="O417">
        <v>1.3</v>
      </c>
      <c r="P417">
        <v>0</v>
      </c>
      <c r="Q417">
        <v>0</v>
      </c>
      <c r="R417">
        <v>0</v>
      </c>
      <c r="S417">
        <v>1</v>
      </c>
      <c r="T417">
        <v>26</v>
      </c>
      <c r="U417">
        <v>0</v>
      </c>
      <c r="V417" s="9">
        <v>27.333300000000001</v>
      </c>
      <c r="W417">
        <v>118</v>
      </c>
      <c r="X417">
        <v>25</v>
      </c>
      <c r="Y417">
        <v>3</v>
      </c>
      <c r="Z417">
        <v>11</v>
      </c>
      <c r="AA417">
        <v>1</v>
      </c>
      <c r="AB417">
        <v>1</v>
      </c>
      <c r="AC417">
        <v>25</v>
      </c>
      <c r="AD417">
        <v>3.7</v>
      </c>
      <c r="AE417">
        <v>8.1</v>
      </c>
      <c r="AF417" s="5">
        <v>0.437</v>
      </c>
      <c r="AG417">
        <v>0.28999999999999998</v>
      </c>
      <c r="AH417">
        <v>1.34</v>
      </c>
      <c r="AI417">
        <v>4.3</v>
      </c>
      <c r="AJ417">
        <v>4.47</v>
      </c>
      <c r="AK417">
        <v>2.2000000000000002</v>
      </c>
      <c r="AL417">
        <v>0.2</v>
      </c>
      <c r="AM417">
        <v>25</v>
      </c>
      <c r="AN417">
        <v>41</v>
      </c>
      <c r="AO417">
        <v>12</v>
      </c>
      <c r="AP417">
        <v>15</v>
      </c>
      <c r="AQ417" t="s">
        <v>2886</v>
      </c>
      <c r="AR417">
        <v>71</v>
      </c>
      <c r="AS417" t="s">
        <v>35</v>
      </c>
      <c r="AT417" t="s">
        <v>36</v>
      </c>
      <c r="AU417" s="4">
        <f>HYPERLINK("http://mlb.mlb.com/team/player.jsp?player_id=605135",605135)</f>
        <v>605135</v>
      </c>
      <c r="AV417">
        <v>135</v>
      </c>
      <c r="AW417">
        <v>1135</v>
      </c>
      <c r="AX417">
        <v>0</v>
      </c>
    </row>
    <row r="418" spans="1:50" x14ac:dyDescent="0.3">
      <c r="A418" s="4">
        <f>HYPERLINK("http://legacy.baseballprospectus.com/p/69644",69644)</f>
        <v>69644</v>
      </c>
      <c r="B418" t="s">
        <v>877</v>
      </c>
      <c r="C418" t="s">
        <v>1132</v>
      </c>
      <c r="D418" s="10">
        <v>34140</v>
      </c>
      <c r="E418" t="s">
        <v>33</v>
      </c>
      <c r="F418" t="s">
        <v>9</v>
      </c>
      <c r="G418">
        <v>75</v>
      </c>
      <c r="H418">
        <v>195</v>
      </c>
      <c r="I418">
        <v>2018</v>
      </c>
      <c r="J418" s="4" t="str">
        <f>HYPERLINK("http://legacy.baseballprospectus.com/fantasy/dc/index.php?tm=MIN","MIN")</f>
        <v>MIN</v>
      </c>
      <c r="K418" t="s">
        <v>95</v>
      </c>
      <c r="L418" t="s">
        <v>34</v>
      </c>
      <c r="M418">
        <v>25</v>
      </c>
      <c r="N418">
        <v>2.6</v>
      </c>
      <c r="O418">
        <v>2.7</v>
      </c>
      <c r="P418">
        <v>3</v>
      </c>
      <c r="Q418">
        <v>0</v>
      </c>
      <c r="R418">
        <v>0</v>
      </c>
      <c r="S418">
        <v>0</v>
      </c>
      <c r="T418">
        <v>8</v>
      </c>
      <c r="U418">
        <v>8</v>
      </c>
      <c r="V418" s="9">
        <v>42.333300000000001</v>
      </c>
      <c r="W418">
        <v>188</v>
      </c>
      <c r="X418">
        <v>45</v>
      </c>
      <c r="Y418">
        <v>7</v>
      </c>
      <c r="Z418">
        <v>17</v>
      </c>
      <c r="AA418">
        <v>1</v>
      </c>
      <c r="AB418">
        <v>2</v>
      </c>
      <c r="AC418">
        <v>36</v>
      </c>
      <c r="AD418">
        <v>3.6</v>
      </c>
      <c r="AE418">
        <v>7.7</v>
      </c>
      <c r="AF418" s="5">
        <v>0.42599999999999999</v>
      </c>
      <c r="AG418">
        <v>0.29699999999999999</v>
      </c>
      <c r="AH418">
        <v>1.49</v>
      </c>
      <c r="AI418">
        <v>4.75</v>
      </c>
      <c r="AJ418">
        <v>5.04</v>
      </c>
      <c r="AK418">
        <v>2.2000000000000002</v>
      </c>
      <c r="AL418">
        <v>0.2</v>
      </c>
      <c r="AM418">
        <v>26</v>
      </c>
      <c r="AN418">
        <v>55</v>
      </c>
      <c r="AO418">
        <v>16</v>
      </c>
      <c r="AP418">
        <v>27</v>
      </c>
      <c r="AQ418" t="s">
        <v>2373</v>
      </c>
      <c r="AR418">
        <v>89</v>
      </c>
      <c r="AS418" t="s">
        <v>35</v>
      </c>
      <c r="AT418" t="s">
        <v>36</v>
      </c>
      <c r="AU418" s="4">
        <f>HYPERLINK("http://mlb.mlb.com/team/player.jsp?player_id=606167",606167)</f>
        <v>606167</v>
      </c>
      <c r="AV418">
        <v>56</v>
      </c>
      <c r="AW418">
        <v>1056</v>
      </c>
      <c r="AX418">
        <v>98</v>
      </c>
    </row>
    <row r="419" spans="1:50" x14ac:dyDescent="0.3">
      <c r="A419" s="4">
        <f>HYPERLINK("http://legacy.baseballprospectus.com/p/70188",70188)</f>
        <v>70188</v>
      </c>
      <c r="B419" t="s">
        <v>1619</v>
      </c>
      <c r="C419" t="s">
        <v>165</v>
      </c>
      <c r="D419" s="10">
        <v>33966</v>
      </c>
      <c r="E419" t="s">
        <v>33</v>
      </c>
      <c r="F419" t="s">
        <v>33</v>
      </c>
      <c r="G419">
        <v>76</v>
      </c>
      <c r="H419">
        <v>210</v>
      </c>
      <c r="I419">
        <v>2018</v>
      </c>
      <c r="J419" s="4" t="str">
        <f>HYPERLINK("http://legacy.baseballprospectus.com/fantasy/dc/index.php?tm=COL","COL")</f>
        <v>COL</v>
      </c>
      <c r="K419" t="s">
        <v>100</v>
      </c>
      <c r="L419" t="s">
        <v>34</v>
      </c>
      <c r="M419">
        <v>25</v>
      </c>
      <c r="N419">
        <v>1.3</v>
      </c>
      <c r="O419">
        <v>1.3</v>
      </c>
      <c r="P419">
        <v>0</v>
      </c>
      <c r="Q419">
        <v>0</v>
      </c>
      <c r="R419">
        <v>0</v>
      </c>
      <c r="S419">
        <v>1</v>
      </c>
      <c r="T419">
        <v>26</v>
      </c>
      <c r="U419">
        <v>0</v>
      </c>
      <c r="V419" s="9">
        <v>27.666699999999999</v>
      </c>
      <c r="W419">
        <v>122</v>
      </c>
      <c r="X419">
        <v>27</v>
      </c>
      <c r="Y419">
        <v>4</v>
      </c>
      <c r="Z419">
        <v>13</v>
      </c>
      <c r="AA419">
        <v>1</v>
      </c>
      <c r="AB419">
        <v>1</v>
      </c>
      <c r="AC419">
        <v>28</v>
      </c>
      <c r="AD419">
        <v>4.0999999999999996</v>
      </c>
      <c r="AE419">
        <v>9.3000000000000007</v>
      </c>
      <c r="AF419" s="5">
        <v>0.45800000000000002</v>
      </c>
      <c r="AG419">
        <v>0.307</v>
      </c>
      <c r="AH419">
        <v>1.47</v>
      </c>
      <c r="AI419">
        <v>4.4000000000000004</v>
      </c>
      <c r="AJ419">
        <v>4.4800000000000004</v>
      </c>
      <c r="AK419">
        <v>1.5</v>
      </c>
      <c r="AL419">
        <v>0.2</v>
      </c>
      <c r="AM419">
        <v>18</v>
      </c>
      <c r="AN419">
        <v>34</v>
      </c>
      <c r="AO419">
        <v>31</v>
      </c>
      <c r="AP419">
        <v>30</v>
      </c>
      <c r="AQ419" t="s">
        <v>2745</v>
      </c>
      <c r="AR419">
        <v>77</v>
      </c>
      <c r="AS419" t="s">
        <v>35</v>
      </c>
      <c r="AT419" t="s">
        <v>36</v>
      </c>
      <c r="AU419" s="4">
        <f>HYPERLINK("http://mlb.mlb.com/team/player.jsp?player_id=608032",608032)</f>
        <v>608032</v>
      </c>
      <c r="AV419">
        <v>1309</v>
      </c>
      <c r="AW419">
        <v>309</v>
      </c>
      <c r="AX419">
        <v>32.299999999999997</v>
      </c>
    </row>
    <row r="420" spans="1:50" x14ac:dyDescent="0.3">
      <c r="A420" s="4">
        <f>HYPERLINK("http://legacy.baseballprospectus.com/p/70551",70551)</f>
        <v>70551</v>
      </c>
      <c r="B420" t="s">
        <v>1621</v>
      </c>
      <c r="C420" t="s">
        <v>127</v>
      </c>
      <c r="D420" s="10">
        <v>34168</v>
      </c>
      <c r="E420" t="s">
        <v>33</v>
      </c>
      <c r="F420" t="s">
        <v>33</v>
      </c>
      <c r="G420">
        <v>76</v>
      </c>
      <c r="H420">
        <v>205</v>
      </c>
      <c r="I420">
        <v>2018</v>
      </c>
      <c r="J420" s="4" t="str">
        <f>HYPERLINK("http://legacy.baseballprospectus.com/fantasy/dc/index.php?tm=NYN","NYN")</f>
        <v>NYN</v>
      </c>
      <c r="K420" t="s">
        <v>100</v>
      </c>
      <c r="L420" t="s">
        <v>34</v>
      </c>
      <c r="M420">
        <v>24</v>
      </c>
      <c r="N420">
        <v>4.4000000000000004</v>
      </c>
      <c r="O420">
        <v>4.8</v>
      </c>
      <c r="P420">
        <v>4</v>
      </c>
      <c r="Q420">
        <v>0</v>
      </c>
      <c r="R420">
        <v>0</v>
      </c>
      <c r="S420">
        <v>0</v>
      </c>
      <c r="T420">
        <v>46</v>
      </c>
      <c r="U420">
        <v>8</v>
      </c>
      <c r="V420" s="9">
        <v>82.666700000000006</v>
      </c>
      <c r="W420">
        <v>363</v>
      </c>
      <c r="X420">
        <v>84</v>
      </c>
      <c r="Y420">
        <v>11</v>
      </c>
      <c r="Z420">
        <v>33</v>
      </c>
      <c r="AA420">
        <v>3</v>
      </c>
      <c r="AB420">
        <v>4</v>
      </c>
      <c r="AC420">
        <v>67</v>
      </c>
      <c r="AD420">
        <v>3.5</v>
      </c>
      <c r="AE420">
        <v>7.3</v>
      </c>
      <c r="AF420" s="5">
        <v>0.504</v>
      </c>
      <c r="AG420">
        <v>0.29499999999999998</v>
      </c>
      <c r="AH420">
        <v>1.41</v>
      </c>
      <c r="AI420">
        <v>4.7</v>
      </c>
      <c r="AJ420">
        <v>4.8899999999999997</v>
      </c>
      <c r="AK420">
        <v>2.1</v>
      </c>
      <c r="AL420">
        <v>0.2</v>
      </c>
      <c r="AM420">
        <v>20</v>
      </c>
      <c r="AN420">
        <v>52</v>
      </c>
      <c r="AO420">
        <v>18</v>
      </c>
      <c r="AP420">
        <v>24</v>
      </c>
      <c r="AQ420" t="s">
        <v>2349</v>
      </c>
      <c r="AR420">
        <v>84</v>
      </c>
      <c r="AS420" t="s">
        <v>35</v>
      </c>
      <c r="AT420" t="s">
        <v>36</v>
      </c>
      <c r="AU420" s="4">
        <f>HYPERLINK("http://mlb.mlb.com/team/player.jsp?player_id=607229",607229)</f>
        <v>607229</v>
      </c>
      <c r="AV420">
        <v>1047</v>
      </c>
      <c r="AW420">
        <v>47</v>
      </c>
      <c r="AX420">
        <v>119.7</v>
      </c>
    </row>
    <row r="421" spans="1:50" x14ac:dyDescent="0.3">
      <c r="A421" s="4">
        <f>HYPERLINK("http://legacy.baseballprospectus.com/p/70552",70552)</f>
        <v>70552</v>
      </c>
      <c r="B421" t="s">
        <v>1573</v>
      </c>
      <c r="C421" t="s">
        <v>148</v>
      </c>
      <c r="D421" s="10">
        <v>33822</v>
      </c>
      <c r="E421" t="s">
        <v>33</v>
      </c>
      <c r="F421" t="s">
        <v>33</v>
      </c>
      <c r="G421">
        <v>75</v>
      </c>
      <c r="H421">
        <v>200</v>
      </c>
      <c r="I421">
        <v>2018</v>
      </c>
      <c r="J421" s="4" t="str">
        <f>HYPERLINK("http://legacy.baseballprospectus.com/fantasy/dc/index.php?tm=SLN","SLN")</f>
        <v>SLN</v>
      </c>
      <c r="K421" t="s">
        <v>100</v>
      </c>
      <c r="L421" t="s">
        <v>34</v>
      </c>
      <c r="M421">
        <v>25</v>
      </c>
      <c r="N421">
        <v>2.2000000000000002</v>
      </c>
      <c r="O421">
        <v>2.1</v>
      </c>
      <c r="P421">
        <v>0</v>
      </c>
      <c r="Q421">
        <v>0</v>
      </c>
      <c r="R421">
        <v>0</v>
      </c>
      <c r="S421">
        <v>1</v>
      </c>
      <c r="T421">
        <v>41</v>
      </c>
      <c r="U421">
        <v>0</v>
      </c>
      <c r="V421" s="9">
        <v>43.666699999999999</v>
      </c>
      <c r="W421">
        <v>192</v>
      </c>
      <c r="X421">
        <v>43</v>
      </c>
      <c r="Y421">
        <v>6</v>
      </c>
      <c r="Z421">
        <v>18</v>
      </c>
      <c r="AA421">
        <v>2</v>
      </c>
      <c r="AB421">
        <v>2</v>
      </c>
      <c r="AC421">
        <v>42</v>
      </c>
      <c r="AD421">
        <v>3.7</v>
      </c>
      <c r="AE421">
        <v>8.6</v>
      </c>
      <c r="AF421" s="5">
        <v>0.45200000000000001</v>
      </c>
      <c r="AG421">
        <v>0.29799999999999999</v>
      </c>
      <c r="AH421">
        <v>1.4</v>
      </c>
      <c r="AI421">
        <v>4.3899999999999997</v>
      </c>
      <c r="AJ421">
        <v>4.55</v>
      </c>
      <c r="AK421">
        <v>2</v>
      </c>
      <c r="AL421">
        <v>0.2</v>
      </c>
      <c r="AM421">
        <v>32</v>
      </c>
      <c r="AN421">
        <v>59</v>
      </c>
      <c r="AO421">
        <v>14</v>
      </c>
      <c r="AP421">
        <v>33</v>
      </c>
      <c r="AQ421" t="s">
        <v>2657</v>
      </c>
      <c r="AR421">
        <v>85</v>
      </c>
      <c r="AS421" t="s">
        <v>35</v>
      </c>
      <c r="AT421" t="s">
        <v>36</v>
      </c>
      <c r="AU421" s="4">
        <f>HYPERLINK("http://mlb.mlb.com/team/player.jsp?player_id=607231",607231)</f>
        <v>607231</v>
      </c>
      <c r="AV421">
        <v>1116</v>
      </c>
      <c r="AW421">
        <v>116</v>
      </c>
      <c r="AX421">
        <v>17.3</v>
      </c>
    </row>
    <row r="422" spans="1:50" x14ac:dyDescent="0.3">
      <c r="A422" s="4">
        <f>HYPERLINK("http://legacy.baseballprospectus.com/p/70822",70822)</f>
        <v>70822</v>
      </c>
      <c r="B422" t="s">
        <v>1183</v>
      </c>
      <c r="C422" t="s">
        <v>734</v>
      </c>
      <c r="D422" s="10">
        <v>34055</v>
      </c>
      <c r="E422" t="s">
        <v>33</v>
      </c>
      <c r="F422" t="s">
        <v>33</v>
      </c>
      <c r="G422">
        <v>77</v>
      </c>
      <c r="H422">
        <v>230</v>
      </c>
      <c r="I422">
        <v>2018</v>
      </c>
      <c r="J422" s="4" t="str">
        <f>HYPERLINK("http://legacy.baseballprospectus.com/fantasy/dc/index.php?tm=PIT","PIT")</f>
        <v>PIT</v>
      </c>
      <c r="K422" t="s">
        <v>100</v>
      </c>
      <c r="L422" t="s">
        <v>34</v>
      </c>
      <c r="M422">
        <v>25</v>
      </c>
      <c r="N422">
        <v>2.7</v>
      </c>
      <c r="O422">
        <v>3.2</v>
      </c>
      <c r="P422">
        <v>3</v>
      </c>
      <c r="Q422">
        <v>0</v>
      </c>
      <c r="R422">
        <v>0</v>
      </c>
      <c r="S422">
        <v>0</v>
      </c>
      <c r="T422">
        <v>26</v>
      </c>
      <c r="U422">
        <v>6</v>
      </c>
      <c r="V422" s="9">
        <v>51.666699999999999</v>
      </c>
      <c r="W422">
        <v>226</v>
      </c>
      <c r="X422">
        <v>51</v>
      </c>
      <c r="Y422">
        <v>6</v>
      </c>
      <c r="Z422">
        <v>23</v>
      </c>
      <c r="AA422">
        <v>2</v>
      </c>
      <c r="AB422">
        <v>3</v>
      </c>
      <c r="AC422">
        <v>43</v>
      </c>
      <c r="AD422">
        <v>4</v>
      </c>
      <c r="AE422">
        <v>7.5</v>
      </c>
      <c r="AF422" s="5">
        <v>0.54900000000000004</v>
      </c>
      <c r="AG422">
        <v>0.29799999999999999</v>
      </c>
      <c r="AH422">
        <v>1.44</v>
      </c>
      <c r="AI422">
        <v>4.5</v>
      </c>
      <c r="AJ422">
        <v>4.78</v>
      </c>
      <c r="AK422">
        <v>2</v>
      </c>
      <c r="AL422">
        <v>0.2</v>
      </c>
      <c r="AM422">
        <v>30</v>
      </c>
      <c r="AN422">
        <v>38</v>
      </c>
      <c r="AO422">
        <v>9</v>
      </c>
      <c r="AP422">
        <v>25</v>
      </c>
      <c r="AQ422" t="s">
        <v>2896</v>
      </c>
      <c r="AR422">
        <v>52</v>
      </c>
      <c r="AS422" t="s">
        <v>35</v>
      </c>
      <c r="AT422" t="s">
        <v>35</v>
      </c>
      <c r="AU422" s="4">
        <f>HYPERLINK("http://mlb.mlb.com/team/player.jsp?player_id=605280",605280)</f>
        <v>605280</v>
      </c>
      <c r="AV422">
        <v>1197</v>
      </c>
      <c r="AW422">
        <v>197</v>
      </c>
      <c r="AX422">
        <v>0</v>
      </c>
    </row>
    <row r="423" spans="1:50" x14ac:dyDescent="0.3">
      <c r="A423" s="4">
        <f>HYPERLINK("http://legacy.baseballprospectus.com/p/70825",70825)</f>
        <v>70825</v>
      </c>
      <c r="B423" t="s">
        <v>1574</v>
      </c>
      <c r="C423" t="s">
        <v>1110</v>
      </c>
      <c r="D423" s="10">
        <v>34159</v>
      </c>
      <c r="E423" t="s">
        <v>9</v>
      </c>
      <c r="F423" t="s">
        <v>9</v>
      </c>
      <c r="G423">
        <v>73</v>
      </c>
      <c r="H423">
        <v>190</v>
      </c>
      <c r="I423">
        <v>2018</v>
      </c>
      <c r="J423" s="4" t="str">
        <f>HYPERLINK("http://legacy.baseballprospectus.com/fantasy/dc/index.php?tm=CHA","CHA")</f>
        <v>CHA</v>
      </c>
      <c r="K423" t="s">
        <v>95</v>
      </c>
      <c r="L423" t="s">
        <v>34</v>
      </c>
      <c r="M423">
        <v>24</v>
      </c>
      <c r="N423">
        <v>0.9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20</v>
      </c>
      <c r="U423">
        <v>0</v>
      </c>
      <c r="V423" s="9">
        <v>21</v>
      </c>
      <c r="W423">
        <v>92</v>
      </c>
      <c r="X423">
        <v>20</v>
      </c>
      <c r="Y423">
        <v>3</v>
      </c>
      <c r="Z423">
        <v>10</v>
      </c>
      <c r="AA423">
        <v>1</v>
      </c>
      <c r="AB423">
        <v>1</v>
      </c>
      <c r="AC423">
        <v>21</v>
      </c>
      <c r="AD423">
        <v>4.2</v>
      </c>
      <c r="AE423">
        <v>8.9</v>
      </c>
      <c r="AF423" s="5">
        <v>0.498</v>
      </c>
      <c r="AG423">
        <v>0.29799999999999999</v>
      </c>
      <c r="AH423">
        <v>1.43</v>
      </c>
      <c r="AI423">
        <v>4.2699999999999996</v>
      </c>
      <c r="AJ423">
        <v>4.46</v>
      </c>
      <c r="AK423">
        <v>1.7</v>
      </c>
      <c r="AL423">
        <v>0.2</v>
      </c>
      <c r="AM423">
        <v>22</v>
      </c>
      <c r="AN423">
        <v>29</v>
      </c>
      <c r="AO423">
        <v>11</v>
      </c>
      <c r="AP423">
        <v>26</v>
      </c>
      <c r="AQ423" t="s">
        <v>2755</v>
      </c>
      <c r="AR423">
        <v>47</v>
      </c>
      <c r="AS423" t="s">
        <v>35</v>
      </c>
      <c r="AT423" t="s">
        <v>35</v>
      </c>
      <c r="AU423" s="4">
        <f>HYPERLINK("http://mlb.mlb.com/team/player.jsp?player_id=605240",605240)</f>
        <v>605240</v>
      </c>
      <c r="AV423">
        <v>337</v>
      </c>
      <c r="AW423">
        <v>1337</v>
      </c>
      <c r="AX423">
        <v>6.7</v>
      </c>
    </row>
    <row r="424" spans="1:50" x14ac:dyDescent="0.3">
      <c r="A424" s="4">
        <f>HYPERLINK("http://legacy.baseballprospectus.com/p/71071",71071)</f>
        <v>71071</v>
      </c>
      <c r="B424" t="s">
        <v>1623</v>
      </c>
      <c r="C424" t="s">
        <v>384</v>
      </c>
      <c r="D424" s="10">
        <v>34191</v>
      </c>
      <c r="E424" t="s">
        <v>9</v>
      </c>
      <c r="F424" t="s">
        <v>9</v>
      </c>
      <c r="G424">
        <v>74</v>
      </c>
      <c r="H424">
        <v>190</v>
      </c>
      <c r="I424">
        <v>2018</v>
      </c>
      <c r="J424" s="4" t="str">
        <f>HYPERLINK("http://legacy.baseballprospectus.com/fantasy/dc/index.php?tm=TBA","TBA")</f>
        <v>TBA</v>
      </c>
      <c r="K424" t="s">
        <v>95</v>
      </c>
      <c r="L424" t="s">
        <v>34</v>
      </c>
      <c r="M424">
        <v>24</v>
      </c>
      <c r="N424">
        <v>2.9</v>
      </c>
      <c r="O424">
        <v>3.5</v>
      </c>
      <c r="P424">
        <v>4</v>
      </c>
      <c r="Q424">
        <v>0</v>
      </c>
      <c r="R424">
        <v>0</v>
      </c>
      <c r="S424">
        <v>0</v>
      </c>
      <c r="T424">
        <v>10</v>
      </c>
      <c r="U424">
        <v>10</v>
      </c>
      <c r="V424" s="9">
        <v>50</v>
      </c>
      <c r="W424">
        <v>217</v>
      </c>
      <c r="X424">
        <v>49</v>
      </c>
      <c r="Y424">
        <v>8</v>
      </c>
      <c r="Z424">
        <v>20</v>
      </c>
      <c r="AA424">
        <v>1</v>
      </c>
      <c r="AB424">
        <v>2</v>
      </c>
      <c r="AC424">
        <v>50</v>
      </c>
      <c r="AD424">
        <v>3.6</v>
      </c>
      <c r="AE424">
        <v>9</v>
      </c>
      <c r="AF424" s="5">
        <v>0.439</v>
      </c>
      <c r="AG424">
        <v>0.29599999999999999</v>
      </c>
      <c r="AH424">
        <v>1.39</v>
      </c>
      <c r="AI424">
        <v>4.42</v>
      </c>
      <c r="AJ424">
        <v>5.0999999999999996</v>
      </c>
      <c r="AK424">
        <v>2.2000000000000002</v>
      </c>
      <c r="AL424">
        <v>0.2</v>
      </c>
      <c r="AM424">
        <v>13</v>
      </c>
      <c r="AN424">
        <v>33</v>
      </c>
      <c r="AO424">
        <v>19</v>
      </c>
      <c r="AP424">
        <v>27</v>
      </c>
      <c r="AQ424" t="s">
        <v>2660</v>
      </c>
      <c r="AR424">
        <v>58</v>
      </c>
      <c r="AS424" t="s">
        <v>35</v>
      </c>
      <c r="AT424" t="s">
        <v>35</v>
      </c>
      <c r="AU424" s="4">
        <f>HYPERLINK("http://mlb.mlb.com/team/player.jsp?player_id=607455",607455)</f>
        <v>607455</v>
      </c>
      <c r="AV424">
        <v>1105</v>
      </c>
      <c r="AW424">
        <v>105</v>
      </c>
      <c r="AX424">
        <v>25.7</v>
      </c>
    </row>
    <row r="425" spans="1:50" x14ac:dyDescent="0.3">
      <c r="A425" s="4">
        <f>HYPERLINK("http://legacy.baseballprospectus.com/p/99616",99616)</f>
        <v>99616</v>
      </c>
      <c r="B425" t="s">
        <v>1476</v>
      </c>
      <c r="C425" t="s">
        <v>232</v>
      </c>
      <c r="D425" s="10">
        <v>32807</v>
      </c>
      <c r="E425" t="s">
        <v>9</v>
      </c>
      <c r="F425" t="s">
        <v>9</v>
      </c>
      <c r="G425">
        <v>70</v>
      </c>
      <c r="H425">
        <v>190</v>
      </c>
      <c r="I425">
        <v>2018</v>
      </c>
      <c r="J425" s="4" t="str">
        <f>HYPERLINK("http://legacy.baseballprospectus.com/fantasy/dc/index.php?tm=OAK","OAK")</f>
        <v>OAK</v>
      </c>
      <c r="K425" t="s">
        <v>95</v>
      </c>
      <c r="L425" t="s">
        <v>34</v>
      </c>
      <c r="M425">
        <v>28</v>
      </c>
      <c r="N425">
        <v>0.9</v>
      </c>
      <c r="O425">
        <v>1.1000000000000001</v>
      </c>
      <c r="P425">
        <v>0</v>
      </c>
      <c r="Q425">
        <v>0</v>
      </c>
      <c r="R425">
        <v>0</v>
      </c>
      <c r="S425">
        <v>0</v>
      </c>
      <c r="T425">
        <v>21</v>
      </c>
      <c r="U425">
        <v>0</v>
      </c>
      <c r="V425" s="9">
        <v>22</v>
      </c>
      <c r="W425">
        <v>96</v>
      </c>
      <c r="X425">
        <v>21</v>
      </c>
      <c r="Y425">
        <v>2</v>
      </c>
      <c r="Z425">
        <v>10</v>
      </c>
      <c r="AA425">
        <v>1</v>
      </c>
      <c r="AB425">
        <v>1</v>
      </c>
      <c r="AC425">
        <v>19</v>
      </c>
      <c r="AD425">
        <v>4.0999999999999996</v>
      </c>
      <c r="AE425">
        <v>8</v>
      </c>
      <c r="AF425" s="5">
        <v>0.52400000000000002</v>
      </c>
      <c r="AG425">
        <v>0.29399999999999998</v>
      </c>
      <c r="AH425">
        <v>1.41</v>
      </c>
      <c r="AI425">
        <v>4.34</v>
      </c>
      <c r="AJ425">
        <v>4.5</v>
      </c>
      <c r="AK425">
        <v>1.7</v>
      </c>
      <c r="AL425">
        <v>0.2</v>
      </c>
      <c r="AM425">
        <v>22</v>
      </c>
      <c r="AN425">
        <v>38</v>
      </c>
      <c r="AO425">
        <v>23</v>
      </c>
      <c r="AP425">
        <v>18</v>
      </c>
      <c r="AQ425" t="s">
        <v>2661</v>
      </c>
      <c r="AR425">
        <v>73</v>
      </c>
      <c r="AS425" t="s">
        <v>35</v>
      </c>
      <c r="AT425" t="s">
        <v>36</v>
      </c>
      <c r="AU425" s="4">
        <f>HYPERLINK("http://mlb.mlb.com/team/player.jsp?player_id=543056",543056)</f>
        <v>543056</v>
      </c>
      <c r="AV425">
        <v>281</v>
      </c>
      <c r="AW425">
        <v>1281</v>
      </c>
      <c r="AX425">
        <v>51.7</v>
      </c>
    </row>
    <row r="426" spans="1:50" x14ac:dyDescent="0.3">
      <c r="A426" s="4">
        <f>HYPERLINK("http://legacy.baseballprospectus.com/p/99874",99874)</f>
        <v>99874</v>
      </c>
      <c r="B426" t="s">
        <v>1172</v>
      </c>
      <c r="C426" t="s">
        <v>204</v>
      </c>
      <c r="D426" s="10">
        <v>33394</v>
      </c>
      <c r="E426" t="s">
        <v>9</v>
      </c>
      <c r="F426" t="s">
        <v>9</v>
      </c>
      <c r="G426">
        <v>74</v>
      </c>
      <c r="H426">
        <v>195</v>
      </c>
      <c r="I426">
        <v>2018</v>
      </c>
      <c r="J426" s="4" t="str">
        <f>HYPERLINK("http://legacy.baseballprospectus.com/fantasy/dc/index.php?tm=ANA","ANA")</f>
        <v>ANA</v>
      </c>
      <c r="K426" t="s">
        <v>95</v>
      </c>
      <c r="L426" t="s">
        <v>34</v>
      </c>
      <c r="M426">
        <v>27</v>
      </c>
      <c r="N426">
        <v>4.2</v>
      </c>
      <c r="O426">
        <v>5.7</v>
      </c>
      <c r="P426">
        <v>9</v>
      </c>
      <c r="Q426">
        <v>0</v>
      </c>
      <c r="R426">
        <v>0</v>
      </c>
      <c r="S426">
        <v>0</v>
      </c>
      <c r="T426">
        <v>21</v>
      </c>
      <c r="U426">
        <v>21</v>
      </c>
      <c r="V426" s="9">
        <v>63</v>
      </c>
      <c r="W426">
        <v>274</v>
      </c>
      <c r="X426">
        <v>63</v>
      </c>
      <c r="Y426">
        <v>12</v>
      </c>
      <c r="Z426">
        <v>24</v>
      </c>
      <c r="AA426">
        <v>1</v>
      </c>
      <c r="AB426">
        <v>2</v>
      </c>
      <c r="AC426">
        <v>59</v>
      </c>
      <c r="AD426">
        <v>3.5</v>
      </c>
      <c r="AE426">
        <v>8.5</v>
      </c>
      <c r="AF426" s="5">
        <v>0.42399999999999999</v>
      </c>
      <c r="AG426">
        <v>0.29299999999999998</v>
      </c>
      <c r="AH426">
        <v>1.39</v>
      </c>
      <c r="AI426">
        <v>4.79</v>
      </c>
      <c r="AJ426">
        <v>5.18</v>
      </c>
      <c r="AK426">
        <v>2.2999999999999998</v>
      </c>
      <c r="AL426">
        <v>0.2</v>
      </c>
      <c r="AM426">
        <v>35</v>
      </c>
      <c r="AN426">
        <v>59</v>
      </c>
      <c r="AO426">
        <v>16</v>
      </c>
      <c r="AP426">
        <v>18</v>
      </c>
      <c r="AQ426" t="s">
        <v>3274</v>
      </c>
      <c r="AR426">
        <v>90</v>
      </c>
      <c r="AS426" t="s">
        <v>35</v>
      </c>
      <c r="AT426" t="s">
        <v>36</v>
      </c>
      <c r="AU426" s="4">
        <f>HYPERLINK("http://mlb.mlb.com/team/player.jsp?player_id=571760",571760)</f>
        <v>571760</v>
      </c>
      <c r="AV426">
        <v>105</v>
      </c>
      <c r="AW426">
        <v>1105</v>
      </c>
      <c r="AX426">
        <v>21.7</v>
      </c>
    </row>
    <row r="427" spans="1:50" x14ac:dyDescent="0.3">
      <c r="A427" s="4">
        <f>HYPERLINK("http://legacy.baseballprospectus.com/p/100067",100067)</f>
        <v>100067</v>
      </c>
      <c r="B427" t="s">
        <v>1414</v>
      </c>
      <c r="C427" t="s">
        <v>206</v>
      </c>
      <c r="D427" s="10">
        <v>33289</v>
      </c>
      <c r="E427" t="s">
        <v>9</v>
      </c>
      <c r="F427" t="s">
        <v>33</v>
      </c>
      <c r="G427">
        <v>76</v>
      </c>
      <c r="H427">
        <v>225</v>
      </c>
      <c r="I427">
        <v>2018</v>
      </c>
      <c r="J427" s="4" t="str">
        <f>HYPERLINK("http://legacy.baseballprospectus.com/fantasy/dc/index.php?tm=DET","DET")</f>
        <v>DET</v>
      </c>
      <c r="K427" t="s">
        <v>95</v>
      </c>
      <c r="L427" t="s">
        <v>34</v>
      </c>
      <c r="M427">
        <v>27</v>
      </c>
      <c r="N427">
        <v>3.4</v>
      </c>
      <c r="O427">
        <v>4.8</v>
      </c>
      <c r="P427">
        <v>4</v>
      </c>
      <c r="Q427">
        <v>0</v>
      </c>
      <c r="R427">
        <v>0</v>
      </c>
      <c r="S427">
        <v>0</v>
      </c>
      <c r="T427">
        <v>26</v>
      </c>
      <c r="U427">
        <v>10</v>
      </c>
      <c r="V427" s="9">
        <v>69.666700000000006</v>
      </c>
      <c r="W427">
        <v>311</v>
      </c>
      <c r="X427">
        <v>77</v>
      </c>
      <c r="Y427">
        <v>13</v>
      </c>
      <c r="Z427">
        <v>26</v>
      </c>
      <c r="AA427">
        <v>2</v>
      </c>
      <c r="AB427">
        <v>3</v>
      </c>
      <c r="AC427">
        <v>59</v>
      </c>
      <c r="AD427">
        <v>3.4</v>
      </c>
      <c r="AE427">
        <v>7.6</v>
      </c>
      <c r="AF427" s="5">
        <v>0.432</v>
      </c>
      <c r="AG427">
        <v>0.30599999999999999</v>
      </c>
      <c r="AH427">
        <v>1.51</v>
      </c>
      <c r="AI427">
        <v>5.16</v>
      </c>
      <c r="AJ427">
        <v>5.2</v>
      </c>
      <c r="AK427">
        <v>1.9</v>
      </c>
      <c r="AL427">
        <v>0.2</v>
      </c>
      <c r="AM427">
        <v>36</v>
      </c>
      <c r="AN427">
        <v>58</v>
      </c>
      <c r="AO427">
        <v>7</v>
      </c>
      <c r="AP427">
        <v>20</v>
      </c>
      <c r="AQ427" t="s">
        <v>2662</v>
      </c>
      <c r="AR427">
        <v>69</v>
      </c>
      <c r="AS427" t="s">
        <v>35</v>
      </c>
      <c r="AT427" t="s">
        <v>36</v>
      </c>
      <c r="AU427" s="4">
        <f>HYPERLINK("http://mlb.mlb.com/team/player.jsp?player_id=571656",571656)</f>
        <v>571656</v>
      </c>
      <c r="AV427">
        <v>83</v>
      </c>
      <c r="AW427">
        <v>1083</v>
      </c>
      <c r="AX427">
        <v>48</v>
      </c>
    </row>
    <row r="428" spans="1:50" x14ac:dyDescent="0.3">
      <c r="A428" s="4">
        <f>HYPERLINK("http://legacy.baseballprospectus.com/p/100188",100188)</f>
        <v>100188</v>
      </c>
      <c r="B428" t="s">
        <v>1173</v>
      </c>
      <c r="C428" t="s">
        <v>210</v>
      </c>
      <c r="D428" s="10">
        <v>33168</v>
      </c>
      <c r="E428" t="s">
        <v>33</v>
      </c>
      <c r="F428" t="s">
        <v>33</v>
      </c>
      <c r="G428">
        <v>78</v>
      </c>
      <c r="H428">
        <v>230</v>
      </c>
      <c r="I428">
        <v>2018</v>
      </c>
      <c r="J428" s="4" t="str">
        <f>HYPERLINK("http://legacy.baseballprospectus.com/fantasy/dc/index.php?tm=DET","DET")</f>
        <v>DET</v>
      </c>
      <c r="K428" t="s">
        <v>95</v>
      </c>
      <c r="L428" t="s">
        <v>34</v>
      </c>
      <c r="M428">
        <v>27</v>
      </c>
      <c r="N428">
        <v>2.2999999999999998</v>
      </c>
      <c r="O428">
        <v>2.9</v>
      </c>
      <c r="P428">
        <v>0</v>
      </c>
      <c r="Q428">
        <v>0</v>
      </c>
      <c r="R428">
        <v>0</v>
      </c>
      <c r="S428">
        <v>0</v>
      </c>
      <c r="T428">
        <v>52</v>
      </c>
      <c r="U428">
        <v>0</v>
      </c>
      <c r="V428" s="9">
        <v>55.333300000000001</v>
      </c>
      <c r="W428">
        <v>243</v>
      </c>
      <c r="X428">
        <v>56</v>
      </c>
      <c r="Y428">
        <v>7</v>
      </c>
      <c r="Z428">
        <v>25</v>
      </c>
      <c r="AA428">
        <v>3</v>
      </c>
      <c r="AB428">
        <v>2</v>
      </c>
      <c r="AC428">
        <v>42</v>
      </c>
      <c r="AD428">
        <v>4.0999999999999996</v>
      </c>
      <c r="AE428">
        <v>6.9</v>
      </c>
      <c r="AF428" s="5">
        <v>0.502</v>
      </c>
      <c r="AG428">
        <v>0.29299999999999998</v>
      </c>
      <c r="AH428">
        <v>1.46</v>
      </c>
      <c r="AI428">
        <v>4.99</v>
      </c>
      <c r="AJ428">
        <v>4.9000000000000004</v>
      </c>
      <c r="AK428">
        <v>2</v>
      </c>
      <c r="AL428">
        <v>0.2</v>
      </c>
      <c r="AM428">
        <v>17</v>
      </c>
      <c r="AN428">
        <v>35</v>
      </c>
      <c r="AO428">
        <v>12</v>
      </c>
      <c r="AP428">
        <v>22</v>
      </c>
      <c r="AQ428" t="s">
        <v>2900</v>
      </c>
      <c r="AR428">
        <v>61</v>
      </c>
      <c r="AS428" t="s">
        <v>35</v>
      </c>
      <c r="AT428" t="s">
        <v>36</v>
      </c>
      <c r="AU428" s="4">
        <f>HYPERLINK("http://mlb.mlb.com/team/player.jsp?player_id=572403",572403)</f>
        <v>572403</v>
      </c>
      <c r="AV428">
        <v>92</v>
      </c>
      <c r="AW428">
        <v>1092</v>
      </c>
      <c r="AX428">
        <v>34.299999999999997</v>
      </c>
    </row>
    <row r="429" spans="1:50" x14ac:dyDescent="0.3">
      <c r="A429" s="4">
        <f>HYPERLINK("http://legacy.baseballprospectus.com/p/100211",100211)</f>
        <v>100211</v>
      </c>
      <c r="B429" t="s">
        <v>2084</v>
      </c>
      <c r="C429" t="s">
        <v>2085</v>
      </c>
      <c r="D429" s="10">
        <v>32889</v>
      </c>
      <c r="E429" t="s">
        <v>33</v>
      </c>
      <c r="F429" t="s">
        <v>33</v>
      </c>
      <c r="G429">
        <v>73</v>
      </c>
      <c r="H429">
        <v>195</v>
      </c>
      <c r="I429">
        <v>2018</v>
      </c>
      <c r="J429" s="4" t="str">
        <f>HYPERLINK("http://legacy.baseballprospectus.com/fantasy/dc/index.php?tm=DET","DET")</f>
        <v>DET</v>
      </c>
      <c r="K429" t="s">
        <v>95</v>
      </c>
      <c r="L429" t="s">
        <v>34</v>
      </c>
      <c r="M429">
        <v>28</v>
      </c>
      <c r="N429">
        <v>2.2999999999999998</v>
      </c>
      <c r="O429">
        <v>2.9</v>
      </c>
      <c r="P429">
        <v>0</v>
      </c>
      <c r="Q429">
        <v>0</v>
      </c>
      <c r="R429">
        <v>0</v>
      </c>
      <c r="S429">
        <v>1</v>
      </c>
      <c r="T429">
        <v>52</v>
      </c>
      <c r="U429">
        <v>0</v>
      </c>
      <c r="V429" s="9">
        <v>55.333300000000001</v>
      </c>
      <c r="W429">
        <v>244</v>
      </c>
      <c r="X429">
        <v>56</v>
      </c>
      <c r="Y429">
        <v>7</v>
      </c>
      <c r="Z429">
        <v>24</v>
      </c>
      <c r="AA429">
        <v>3</v>
      </c>
      <c r="AB429">
        <v>3</v>
      </c>
      <c r="AC429">
        <v>44</v>
      </c>
      <c r="AD429">
        <v>3.9</v>
      </c>
      <c r="AE429">
        <v>7.1</v>
      </c>
      <c r="AF429" s="5">
        <v>0.46300000000000002</v>
      </c>
      <c r="AG429">
        <v>0.29399999999999998</v>
      </c>
      <c r="AH429">
        <v>1.44</v>
      </c>
      <c r="AI429">
        <v>5.01</v>
      </c>
      <c r="AJ429">
        <v>4.91</v>
      </c>
      <c r="AK429">
        <v>2</v>
      </c>
      <c r="AL429">
        <v>0.2</v>
      </c>
      <c r="AM429">
        <v>15</v>
      </c>
      <c r="AN429">
        <v>29</v>
      </c>
      <c r="AO429">
        <v>10</v>
      </c>
      <c r="AP429">
        <v>19</v>
      </c>
      <c r="AQ429" t="s">
        <v>2761</v>
      </c>
      <c r="AR429">
        <v>43</v>
      </c>
      <c r="AS429" t="s">
        <v>35</v>
      </c>
      <c r="AT429" t="s">
        <v>36</v>
      </c>
      <c r="AU429" s="4">
        <f>HYPERLINK("http://mlb.mlb.com/team/player.jsp?player_id=599683",599683)</f>
        <v>599683</v>
      </c>
      <c r="AV429">
        <v>253</v>
      </c>
      <c r="AW429">
        <v>1253</v>
      </c>
      <c r="AX429">
        <v>62.7</v>
      </c>
    </row>
    <row r="430" spans="1:50" x14ac:dyDescent="0.3">
      <c r="A430" s="4">
        <f>HYPERLINK("http://legacy.baseballprospectus.com/p/100246",100246)</f>
        <v>100246</v>
      </c>
      <c r="B430" t="s">
        <v>2022</v>
      </c>
      <c r="C430" t="s">
        <v>1395</v>
      </c>
      <c r="D430" s="10">
        <v>33464</v>
      </c>
      <c r="E430" t="s">
        <v>33</v>
      </c>
      <c r="F430" t="s">
        <v>33</v>
      </c>
      <c r="G430">
        <v>74</v>
      </c>
      <c r="H430">
        <v>210</v>
      </c>
      <c r="I430">
        <v>2018</v>
      </c>
      <c r="J430" s="4" t="str">
        <f>HYPERLINK("http://legacy.baseballprospectus.com/fantasy/dc/index.php?tm=NYA","NYA")</f>
        <v>NYA</v>
      </c>
      <c r="K430" t="s">
        <v>95</v>
      </c>
      <c r="L430" t="s">
        <v>34</v>
      </c>
      <c r="M430">
        <v>26</v>
      </c>
      <c r="N430">
        <v>1</v>
      </c>
      <c r="O430">
        <v>0.8</v>
      </c>
      <c r="P430">
        <v>0</v>
      </c>
      <c r="Q430">
        <v>0</v>
      </c>
      <c r="R430">
        <v>0</v>
      </c>
      <c r="S430">
        <v>0</v>
      </c>
      <c r="T430">
        <v>19</v>
      </c>
      <c r="U430">
        <v>0</v>
      </c>
      <c r="V430" s="9">
        <v>19.666699999999999</v>
      </c>
      <c r="W430">
        <v>83</v>
      </c>
      <c r="X430">
        <v>17</v>
      </c>
      <c r="Y430">
        <v>3</v>
      </c>
      <c r="Z430">
        <v>7</v>
      </c>
      <c r="AA430">
        <v>1</v>
      </c>
      <c r="AB430">
        <v>1</v>
      </c>
      <c r="AC430">
        <v>24</v>
      </c>
      <c r="AD430">
        <v>3.4</v>
      </c>
      <c r="AE430">
        <v>11.1</v>
      </c>
      <c r="AF430" s="5">
        <v>0.39700000000000002</v>
      </c>
      <c r="AG430">
        <v>0.29499999999999998</v>
      </c>
      <c r="AH430">
        <v>1.26</v>
      </c>
      <c r="AI430">
        <v>3.92</v>
      </c>
      <c r="AJ430">
        <v>4.1900000000000004</v>
      </c>
      <c r="AK430">
        <v>2.2000000000000002</v>
      </c>
      <c r="AL430">
        <v>0.2</v>
      </c>
      <c r="AM430">
        <v>23</v>
      </c>
      <c r="AN430">
        <v>40</v>
      </c>
      <c r="AO430">
        <v>15</v>
      </c>
      <c r="AP430">
        <v>28</v>
      </c>
      <c r="AQ430" t="s">
        <v>2762</v>
      </c>
      <c r="AR430">
        <v>67</v>
      </c>
      <c r="AS430" t="s">
        <v>35</v>
      </c>
      <c r="AT430" t="s">
        <v>35</v>
      </c>
      <c r="AU430" s="4">
        <f>HYPERLINK("http://mlb.mlb.com/team/player.jsp?player_id=606149",606149)</f>
        <v>606149</v>
      </c>
      <c r="AV430">
        <v>317</v>
      </c>
      <c r="AW430">
        <v>1317</v>
      </c>
      <c r="AX430">
        <v>20.3</v>
      </c>
    </row>
    <row r="431" spans="1:50" x14ac:dyDescent="0.3">
      <c r="A431" s="4">
        <f>HYPERLINK("http://legacy.baseballprospectus.com/p/100305",100305)</f>
        <v>100305</v>
      </c>
      <c r="B431" t="s">
        <v>1454</v>
      </c>
      <c r="C431" t="s">
        <v>1271</v>
      </c>
      <c r="D431" s="10">
        <v>33537</v>
      </c>
      <c r="E431" t="s">
        <v>33</v>
      </c>
      <c r="F431" t="s">
        <v>33</v>
      </c>
      <c r="G431">
        <v>71</v>
      </c>
      <c r="H431">
        <v>210</v>
      </c>
      <c r="I431">
        <v>2018</v>
      </c>
      <c r="J431" s="4" t="str">
        <f>HYPERLINK("http://legacy.baseballprospectus.com/fantasy/dc/index.php?tm=SLN","SLN")</f>
        <v>SLN</v>
      </c>
      <c r="K431" t="s">
        <v>100</v>
      </c>
      <c r="L431" t="s">
        <v>34</v>
      </c>
      <c r="M431">
        <v>26</v>
      </c>
      <c r="N431">
        <v>2</v>
      </c>
      <c r="O431">
        <v>2</v>
      </c>
      <c r="P431">
        <v>0</v>
      </c>
      <c r="Q431">
        <v>0</v>
      </c>
      <c r="R431">
        <v>0</v>
      </c>
      <c r="S431">
        <v>1</v>
      </c>
      <c r="T431">
        <v>39</v>
      </c>
      <c r="U431">
        <v>0</v>
      </c>
      <c r="V431" s="9">
        <v>41.333300000000001</v>
      </c>
      <c r="W431">
        <v>178</v>
      </c>
      <c r="X431">
        <v>38</v>
      </c>
      <c r="Y431">
        <v>6</v>
      </c>
      <c r="Z431">
        <v>18</v>
      </c>
      <c r="AA431">
        <v>2</v>
      </c>
      <c r="AB431">
        <v>1</v>
      </c>
      <c r="AC431">
        <v>43</v>
      </c>
      <c r="AD431">
        <v>3.9</v>
      </c>
      <c r="AE431">
        <v>9.4</v>
      </c>
      <c r="AF431" s="5">
        <v>0.42499999999999999</v>
      </c>
      <c r="AG431">
        <v>0.29599999999999999</v>
      </c>
      <c r="AH431">
        <v>1.37</v>
      </c>
      <c r="AI431">
        <v>4.3499999999999996</v>
      </c>
      <c r="AJ431">
        <v>4.5199999999999996</v>
      </c>
      <c r="AK431">
        <v>2</v>
      </c>
      <c r="AL431">
        <v>0.2</v>
      </c>
      <c r="AM431">
        <v>36</v>
      </c>
      <c r="AN431">
        <v>48</v>
      </c>
      <c r="AO431">
        <v>22</v>
      </c>
      <c r="AP431">
        <v>16</v>
      </c>
      <c r="AQ431" t="s">
        <v>2664</v>
      </c>
      <c r="AR431">
        <v>80</v>
      </c>
      <c r="AS431" t="s">
        <v>35</v>
      </c>
      <c r="AT431" t="s">
        <v>36</v>
      </c>
      <c r="AU431" s="4">
        <f>HYPERLINK("http://mlb.mlb.com/team/player.jsp?player_id=608678",608678)</f>
        <v>608678</v>
      </c>
      <c r="AV431">
        <v>1246</v>
      </c>
      <c r="AW431">
        <v>246</v>
      </c>
      <c r="AX431">
        <v>70.3</v>
      </c>
    </row>
    <row r="432" spans="1:50" x14ac:dyDescent="0.3">
      <c r="A432" s="4">
        <f>HYPERLINK("http://legacy.baseballprospectus.com/p/100355",100355)</f>
        <v>100355</v>
      </c>
      <c r="B432" t="s">
        <v>1411</v>
      </c>
      <c r="C432" t="s">
        <v>1469</v>
      </c>
      <c r="D432" s="10">
        <v>33802</v>
      </c>
      <c r="E432" t="s">
        <v>33</v>
      </c>
      <c r="F432" t="s">
        <v>33</v>
      </c>
      <c r="G432">
        <v>70</v>
      </c>
      <c r="H432">
        <v>190</v>
      </c>
      <c r="I432">
        <v>2018</v>
      </c>
      <c r="J432" s="4" t="str">
        <f>HYPERLINK("http://legacy.baseballprospectus.com/fantasy/dc/index.php?tm=ARI","ARI")</f>
        <v>ARI</v>
      </c>
      <c r="K432" t="s">
        <v>100</v>
      </c>
      <c r="L432" t="s">
        <v>34</v>
      </c>
      <c r="M432">
        <v>25</v>
      </c>
      <c r="N432">
        <v>1.5</v>
      </c>
      <c r="O432">
        <v>1.3</v>
      </c>
      <c r="P432">
        <v>0</v>
      </c>
      <c r="Q432">
        <v>0</v>
      </c>
      <c r="R432">
        <v>0</v>
      </c>
      <c r="S432">
        <v>1</v>
      </c>
      <c r="T432">
        <v>28</v>
      </c>
      <c r="U432">
        <v>0</v>
      </c>
      <c r="V432" s="9">
        <v>30</v>
      </c>
      <c r="W432">
        <v>127</v>
      </c>
      <c r="X432">
        <v>26</v>
      </c>
      <c r="Y432">
        <v>5</v>
      </c>
      <c r="Z432">
        <v>12</v>
      </c>
      <c r="AA432">
        <v>1</v>
      </c>
      <c r="AB432">
        <v>1</v>
      </c>
      <c r="AC432">
        <v>40</v>
      </c>
      <c r="AD432">
        <v>3.5</v>
      </c>
      <c r="AE432">
        <v>11.9</v>
      </c>
      <c r="AF432" s="5">
        <v>0.36199999999999999</v>
      </c>
      <c r="AG432">
        <v>0.29899999999999999</v>
      </c>
      <c r="AH432">
        <v>1.25</v>
      </c>
      <c r="AI432">
        <v>3.76</v>
      </c>
      <c r="AJ432">
        <v>4.2699999999999996</v>
      </c>
      <c r="AK432">
        <v>2.2000000000000002</v>
      </c>
      <c r="AL432">
        <v>0.2</v>
      </c>
      <c r="AM432">
        <v>20</v>
      </c>
      <c r="AN432">
        <v>31</v>
      </c>
      <c r="AO432">
        <v>17</v>
      </c>
      <c r="AP432">
        <v>35</v>
      </c>
      <c r="AQ432" t="s">
        <v>2901</v>
      </c>
      <c r="AR432">
        <v>55</v>
      </c>
      <c r="AS432" t="s">
        <v>35</v>
      </c>
      <c r="AT432" t="s">
        <v>36</v>
      </c>
      <c r="AU432" s="4">
        <f>HYPERLINK("http://mlb.mlb.com/team/player.jsp?player_id=611093",611093)</f>
        <v>611093</v>
      </c>
      <c r="AV432">
        <v>1326</v>
      </c>
      <c r="AW432">
        <v>326</v>
      </c>
      <c r="AX432">
        <v>20.7</v>
      </c>
    </row>
    <row r="433" spans="1:50" x14ac:dyDescent="0.3">
      <c r="A433" s="4">
        <f>HYPERLINK("http://legacy.baseballprospectus.com/p/66999",66999)</f>
        <v>66999</v>
      </c>
      <c r="B433" t="s">
        <v>1121</v>
      </c>
      <c r="C433" t="s">
        <v>462</v>
      </c>
      <c r="D433" s="10">
        <v>32497</v>
      </c>
      <c r="E433" t="s">
        <v>33</v>
      </c>
      <c r="F433" t="s">
        <v>33</v>
      </c>
      <c r="G433">
        <v>75</v>
      </c>
      <c r="H433">
        <v>191</v>
      </c>
      <c r="I433">
        <v>2018</v>
      </c>
      <c r="J433" s="4" t="str">
        <f>HYPERLINK("http://legacy.baseballprospectus.com/fantasy/dc/index.php?tm=SEA","SEA")</f>
        <v>SEA</v>
      </c>
      <c r="K433" t="s">
        <v>95</v>
      </c>
      <c r="L433" t="s">
        <v>34</v>
      </c>
      <c r="M433">
        <v>29</v>
      </c>
      <c r="N433">
        <v>2.2999999999999998</v>
      </c>
      <c r="O433">
        <v>0.8</v>
      </c>
      <c r="P433">
        <v>0</v>
      </c>
      <c r="Q433">
        <v>0</v>
      </c>
      <c r="R433">
        <v>0.3</v>
      </c>
      <c r="S433">
        <v>0</v>
      </c>
      <c r="T433">
        <v>47.1</v>
      </c>
      <c r="U433">
        <v>0</v>
      </c>
      <c r="V433" s="9">
        <v>49.666699999999999</v>
      </c>
      <c r="W433">
        <v>222</v>
      </c>
      <c r="X433">
        <v>51</v>
      </c>
      <c r="Y433">
        <v>8</v>
      </c>
      <c r="Z433">
        <v>23</v>
      </c>
      <c r="AA433" t="s">
        <v>1680</v>
      </c>
      <c r="AB433">
        <v>2</v>
      </c>
      <c r="AC433">
        <v>47</v>
      </c>
      <c r="AD433">
        <v>4.2</v>
      </c>
      <c r="AE433">
        <v>8.5</v>
      </c>
      <c r="AF433" s="5">
        <v>0.41789156198501498</v>
      </c>
      <c r="AG433">
        <v>0.30499999999999999</v>
      </c>
      <c r="AH433">
        <v>1.49</v>
      </c>
      <c r="AI433">
        <v>4.93</v>
      </c>
      <c r="AJ433">
        <v>4.95</v>
      </c>
      <c r="AK433">
        <v>1.7</v>
      </c>
      <c r="AL433">
        <v>0.2</v>
      </c>
      <c r="AM433">
        <v>17</v>
      </c>
      <c r="AN433">
        <v>26</v>
      </c>
      <c r="AO433">
        <v>11</v>
      </c>
      <c r="AP433">
        <v>23</v>
      </c>
      <c r="AQ433" t="s">
        <v>3039</v>
      </c>
      <c r="AR433">
        <v>45</v>
      </c>
      <c r="AS433" t="s">
        <v>36</v>
      </c>
      <c r="AT433" t="s">
        <v>36</v>
      </c>
      <c r="AU433" s="4">
        <f>HYPERLINK("http://mlb.mlb.com/team/player.jsp?player_id=592340",592340)</f>
        <v>592340</v>
      </c>
      <c r="AV433">
        <v>0</v>
      </c>
      <c r="AW433">
        <v>0</v>
      </c>
      <c r="AX433">
        <v>29</v>
      </c>
    </row>
    <row r="434" spans="1:50" x14ac:dyDescent="0.3">
      <c r="A434" s="4">
        <f>HYPERLINK("http://legacy.baseballprospectus.com/p/67738",67738)</f>
        <v>67738</v>
      </c>
      <c r="B434" t="s">
        <v>2017</v>
      </c>
      <c r="C434" t="s">
        <v>390</v>
      </c>
      <c r="D434" s="10">
        <v>32106</v>
      </c>
      <c r="E434" t="s">
        <v>9</v>
      </c>
      <c r="F434" t="s">
        <v>9</v>
      </c>
      <c r="G434">
        <v>74</v>
      </c>
      <c r="H434">
        <v>215</v>
      </c>
      <c r="I434">
        <v>2018</v>
      </c>
      <c r="J434" s="4" t="str">
        <f>HYPERLINK("http://legacy.baseballprospectus.com/fantasy/dc/index.php?tm=ATL","ATL")</f>
        <v>ATL</v>
      </c>
      <c r="K434" t="s">
        <v>100</v>
      </c>
      <c r="L434" t="s">
        <v>34</v>
      </c>
      <c r="M434">
        <v>30</v>
      </c>
      <c r="N434">
        <v>1.7</v>
      </c>
      <c r="O434">
        <v>0.7</v>
      </c>
      <c r="P434">
        <v>0</v>
      </c>
      <c r="Q434">
        <v>0</v>
      </c>
      <c r="R434">
        <v>0.5</v>
      </c>
      <c r="S434">
        <v>0</v>
      </c>
      <c r="T434">
        <v>33.799999999999997</v>
      </c>
      <c r="U434">
        <v>0</v>
      </c>
      <c r="V434" s="9">
        <v>35.666699999999999</v>
      </c>
      <c r="W434">
        <v>150</v>
      </c>
      <c r="X434">
        <v>33</v>
      </c>
      <c r="Y434">
        <v>5</v>
      </c>
      <c r="Z434">
        <v>14</v>
      </c>
      <c r="AA434" t="s">
        <v>1680</v>
      </c>
      <c r="AB434">
        <v>1</v>
      </c>
      <c r="AC434">
        <v>41</v>
      </c>
      <c r="AD434">
        <v>3.6</v>
      </c>
      <c r="AE434">
        <v>10.199999999999999</v>
      </c>
      <c r="AF434" s="5">
        <v>0.38362970948219299</v>
      </c>
      <c r="AG434">
        <v>0.317</v>
      </c>
      <c r="AH434">
        <v>1.33</v>
      </c>
      <c r="AI434">
        <v>4.0999999999999996</v>
      </c>
      <c r="AJ434">
        <v>4.76</v>
      </c>
      <c r="AK434">
        <v>1.9</v>
      </c>
      <c r="AL434">
        <v>0.2</v>
      </c>
      <c r="AM434">
        <v>17</v>
      </c>
      <c r="AN434">
        <v>26</v>
      </c>
      <c r="AO434">
        <v>16</v>
      </c>
      <c r="AP434">
        <v>21</v>
      </c>
      <c r="AQ434" t="s">
        <v>2737</v>
      </c>
      <c r="AR434">
        <v>54</v>
      </c>
      <c r="AS434" t="s">
        <v>36</v>
      </c>
      <c r="AT434" t="s">
        <v>36</v>
      </c>
      <c r="AU434" s="4">
        <f>HYPERLINK("http://mlb.mlb.com/team/player.jsp?player_id=594795",594795)</f>
        <v>594795</v>
      </c>
      <c r="AV434">
        <v>1697</v>
      </c>
      <c r="AW434">
        <v>697</v>
      </c>
      <c r="AX434">
        <v>23.7</v>
      </c>
    </row>
    <row r="435" spans="1:50" x14ac:dyDescent="0.3">
      <c r="A435" s="4">
        <f>HYPERLINK("http://legacy.baseballprospectus.com/p/67836",67836)</f>
        <v>67836</v>
      </c>
      <c r="B435" t="s">
        <v>1614</v>
      </c>
      <c r="C435" t="s">
        <v>102</v>
      </c>
      <c r="D435" s="10">
        <v>32263</v>
      </c>
      <c r="E435" t="s">
        <v>33</v>
      </c>
      <c r="F435" t="s">
        <v>9</v>
      </c>
      <c r="G435">
        <v>75</v>
      </c>
      <c r="H435">
        <v>230</v>
      </c>
      <c r="I435">
        <v>2018</v>
      </c>
      <c r="J435" s="4" t="str">
        <f>HYPERLINK("http://legacy.baseballprospectus.com/fantasy/dc/index.php?tm=MIN","MIN")</f>
        <v>MIN</v>
      </c>
      <c r="K435" t="s">
        <v>95</v>
      </c>
      <c r="L435" t="s">
        <v>34</v>
      </c>
      <c r="M435">
        <v>30</v>
      </c>
      <c r="N435">
        <v>1.6</v>
      </c>
      <c r="O435">
        <v>0.6</v>
      </c>
      <c r="P435">
        <v>0</v>
      </c>
      <c r="Q435">
        <v>0</v>
      </c>
      <c r="R435">
        <v>0.1</v>
      </c>
      <c r="S435">
        <v>0</v>
      </c>
      <c r="T435">
        <v>32.1</v>
      </c>
      <c r="U435">
        <v>0</v>
      </c>
      <c r="V435" s="9">
        <v>34</v>
      </c>
      <c r="W435">
        <v>150</v>
      </c>
      <c r="X435">
        <v>33</v>
      </c>
      <c r="Y435">
        <v>5</v>
      </c>
      <c r="Z435">
        <v>16</v>
      </c>
      <c r="AA435" t="s">
        <v>1680</v>
      </c>
      <c r="AB435">
        <v>1</v>
      </c>
      <c r="AC435">
        <v>35</v>
      </c>
      <c r="AD435">
        <v>4.3</v>
      </c>
      <c r="AE435">
        <v>9.1999999999999993</v>
      </c>
      <c r="AF435" s="5">
        <v>0.43693643808364802</v>
      </c>
      <c r="AG435">
        <v>0.30299999999999999</v>
      </c>
      <c r="AH435">
        <v>1.44</v>
      </c>
      <c r="AI435">
        <v>4.55</v>
      </c>
      <c r="AJ435">
        <v>4.59</v>
      </c>
      <c r="AK435">
        <v>1.9</v>
      </c>
      <c r="AL435">
        <v>0.2</v>
      </c>
      <c r="AM435">
        <v>15</v>
      </c>
      <c r="AN435">
        <v>26</v>
      </c>
      <c r="AO435">
        <v>13</v>
      </c>
      <c r="AP435">
        <v>18</v>
      </c>
      <c r="AQ435" t="s">
        <v>2738</v>
      </c>
      <c r="AR435">
        <v>48</v>
      </c>
      <c r="AS435" t="s">
        <v>36</v>
      </c>
      <c r="AT435" t="s">
        <v>35</v>
      </c>
      <c r="AU435" s="4">
        <f>HYPERLINK("http://mlb.mlb.com/team/player.jsp?player_id=594951",594951)</f>
        <v>594951</v>
      </c>
      <c r="AV435">
        <v>0</v>
      </c>
      <c r="AW435">
        <v>0</v>
      </c>
      <c r="AX435">
        <v>0</v>
      </c>
    </row>
    <row r="436" spans="1:50" x14ac:dyDescent="0.3">
      <c r="A436" s="4">
        <f>HYPERLINK("http://legacy.baseballprospectus.com/p/68215",68215)</f>
        <v>68215</v>
      </c>
      <c r="B436" t="s">
        <v>166</v>
      </c>
      <c r="C436" t="s">
        <v>1873</v>
      </c>
      <c r="D436" s="10">
        <v>34156</v>
      </c>
      <c r="E436" t="s">
        <v>33</v>
      </c>
      <c r="F436" t="s">
        <v>33</v>
      </c>
      <c r="G436">
        <v>76</v>
      </c>
      <c r="H436">
        <v>195</v>
      </c>
      <c r="I436">
        <v>2018</v>
      </c>
      <c r="J436" s="4" t="str">
        <f>HYPERLINK("http://legacy.baseballprospectus.com/fantasy/dc/index.php?tm=MIA","MIA")</f>
        <v>MIA</v>
      </c>
      <c r="K436" t="s">
        <v>100</v>
      </c>
      <c r="L436" t="s">
        <v>34</v>
      </c>
      <c r="M436">
        <v>24</v>
      </c>
      <c r="N436">
        <v>2.1</v>
      </c>
      <c r="O436">
        <v>1</v>
      </c>
      <c r="P436">
        <v>0.5</v>
      </c>
      <c r="Q436">
        <v>0</v>
      </c>
      <c r="R436">
        <v>1.6</v>
      </c>
      <c r="S436">
        <v>0</v>
      </c>
      <c r="T436">
        <v>38.1</v>
      </c>
      <c r="U436">
        <v>1</v>
      </c>
      <c r="V436" s="9">
        <v>44</v>
      </c>
      <c r="W436">
        <v>183</v>
      </c>
      <c r="X436">
        <v>40</v>
      </c>
      <c r="Y436">
        <v>8</v>
      </c>
      <c r="Z436">
        <v>18</v>
      </c>
      <c r="AA436" t="s">
        <v>1680</v>
      </c>
      <c r="AB436">
        <v>1</v>
      </c>
      <c r="AC436">
        <v>53</v>
      </c>
      <c r="AD436">
        <v>3.7</v>
      </c>
      <c r="AE436">
        <v>10.9</v>
      </c>
      <c r="AF436" s="5">
        <v>0.37852984666824302</v>
      </c>
      <c r="AG436">
        <v>0.315</v>
      </c>
      <c r="AH436">
        <v>1.32</v>
      </c>
      <c r="AI436">
        <v>4.33</v>
      </c>
      <c r="AJ436">
        <v>4.8899999999999997</v>
      </c>
      <c r="AK436">
        <v>1.9</v>
      </c>
      <c r="AL436">
        <v>0.2</v>
      </c>
      <c r="AM436">
        <v>3</v>
      </c>
      <c r="AN436">
        <v>6</v>
      </c>
      <c r="AO436">
        <v>3</v>
      </c>
      <c r="AP436">
        <v>8</v>
      </c>
      <c r="AQ436" t="s">
        <v>2877</v>
      </c>
      <c r="AR436">
        <v>10</v>
      </c>
      <c r="AS436" t="s">
        <v>36</v>
      </c>
      <c r="AT436" t="s">
        <v>35</v>
      </c>
      <c r="AU436" s="4">
        <f>HYPERLINK("http://mlb.mlb.com/team/player.jsp?player_id=596883",596883)</f>
        <v>596883</v>
      </c>
      <c r="AV436">
        <v>0</v>
      </c>
      <c r="AW436">
        <v>0</v>
      </c>
      <c r="AX436">
        <v>0</v>
      </c>
    </row>
    <row r="437" spans="1:50" x14ac:dyDescent="0.3">
      <c r="A437" s="4">
        <f>HYPERLINK("http://legacy.baseballprospectus.com/p/68563",68563)</f>
        <v>68563</v>
      </c>
      <c r="B437" t="s">
        <v>380</v>
      </c>
      <c r="C437" t="s">
        <v>1537</v>
      </c>
      <c r="D437" s="10">
        <v>33618</v>
      </c>
      <c r="E437" t="s">
        <v>33</v>
      </c>
      <c r="F437" t="s">
        <v>33</v>
      </c>
      <c r="G437">
        <v>75</v>
      </c>
      <c r="H437">
        <v>215</v>
      </c>
      <c r="I437">
        <v>2018</v>
      </c>
      <c r="J437" s="4" t="str">
        <f>HYPERLINK("http://legacy.baseballprospectus.com/fantasy/dc/index.php?tm=TEX","TEX")</f>
        <v>TEX</v>
      </c>
      <c r="K437" t="s">
        <v>95</v>
      </c>
      <c r="L437" t="s">
        <v>34</v>
      </c>
      <c r="M437">
        <v>26</v>
      </c>
      <c r="N437">
        <v>2</v>
      </c>
      <c r="O437">
        <v>2.2000000000000002</v>
      </c>
      <c r="P437">
        <v>2.5</v>
      </c>
      <c r="Q437">
        <v>0</v>
      </c>
      <c r="R437">
        <v>0</v>
      </c>
      <c r="S437">
        <v>0</v>
      </c>
      <c r="T437">
        <v>6.1</v>
      </c>
      <c r="U437">
        <v>6.1</v>
      </c>
      <c r="V437" s="9">
        <v>33.666699999999999</v>
      </c>
      <c r="W437">
        <v>150</v>
      </c>
      <c r="X437">
        <v>36</v>
      </c>
      <c r="Y437">
        <v>4</v>
      </c>
      <c r="Z437">
        <v>14</v>
      </c>
      <c r="AA437" t="s">
        <v>1680</v>
      </c>
      <c r="AB437">
        <v>1</v>
      </c>
      <c r="AC437">
        <v>23</v>
      </c>
      <c r="AD437">
        <v>3.8</v>
      </c>
      <c r="AE437">
        <v>6.1</v>
      </c>
      <c r="AF437" s="5">
        <v>0.506897032260894</v>
      </c>
      <c r="AG437">
        <v>0.29899999999999999</v>
      </c>
      <c r="AH437">
        <v>1.5</v>
      </c>
      <c r="AI437">
        <v>5.01</v>
      </c>
      <c r="AJ437">
        <v>5.04</v>
      </c>
      <c r="AK437">
        <v>2.2999999999999998</v>
      </c>
      <c r="AL437">
        <v>0.2</v>
      </c>
      <c r="AM437">
        <v>25</v>
      </c>
      <c r="AN437">
        <v>45</v>
      </c>
      <c r="AO437">
        <v>21</v>
      </c>
      <c r="AP437">
        <v>28</v>
      </c>
      <c r="AQ437" t="s">
        <v>2782</v>
      </c>
      <c r="AR437">
        <v>78</v>
      </c>
      <c r="AS437" t="s">
        <v>36</v>
      </c>
      <c r="AT437" t="s">
        <v>36</v>
      </c>
      <c r="AU437" s="4">
        <f>HYPERLINK("http://mlb.mlb.com/team/player.jsp?player_id=592346",592346)</f>
        <v>592346</v>
      </c>
      <c r="AV437">
        <v>0</v>
      </c>
      <c r="AW437">
        <v>0</v>
      </c>
      <c r="AX437">
        <v>0</v>
      </c>
    </row>
    <row r="438" spans="1:50" x14ac:dyDescent="0.3">
      <c r="A438" s="4">
        <f>HYPERLINK("http://legacy.baseballprospectus.com/p/68622",68622)</f>
        <v>68622</v>
      </c>
      <c r="B438" t="s">
        <v>493</v>
      </c>
      <c r="C438" t="s">
        <v>584</v>
      </c>
      <c r="D438" s="10">
        <v>32755</v>
      </c>
      <c r="E438" t="s">
        <v>33</v>
      </c>
      <c r="F438" t="s">
        <v>33</v>
      </c>
      <c r="G438">
        <v>75</v>
      </c>
      <c r="H438">
        <v>230</v>
      </c>
      <c r="I438">
        <v>2018</v>
      </c>
      <c r="J438" s="4" t="str">
        <f>HYPERLINK("http://legacy.baseballprospectus.com/fantasy/dc/index.php?tm=SEA","SEA")</f>
        <v>SEA</v>
      </c>
      <c r="K438" t="s">
        <v>95</v>
      </c>
      <c r="L438" t="s">
        <v>34</v>
      </c>
      <c r="M438">
        <v>28</v>
      </c>
      <c r="N438">
        <v>3.4</v>
      </c>
      <c r="O438">
        <v>3.7</v>
      </c>
      <c r="P438">
        <v>3.9</v>
      </c>
      <c r="Q438">
        <v>0</v>
      </c>
      <c r="R438">
        <v>0.1</v>
      </c>
      <c r="S438">
        <v>0</v>
      </c>
      <c r="T438">
        <v>19.8</v>
      </c>
      <c r="U438">
        <v>9.6</v>
      </c>
      <c r="V438" s="9">
        <v>62.333300000000001</v>
      </c>
      <c r="W438">
        <v>270</v>
      </c>
      <c r="X438">
        <v>62</v>
      </c>
      <c r="Y438">
        <v>11</v>
      </c>
      <c r="Z438">
        <v>24</v>
      </c>
      <c r="AA438" t="s">
        <v>1680</v>
      </c>
      <c r="AB438">
        <v>4</v>
      </c>
      <c r="AC438">
        <v>59</v>
      </c>
      <c r="AD438">
        <v>3.4</v>
      </c>
      <c r="AE438">
        <v>8.6</v>
      </c>
      <c r="AF438" s="5">
        <v>0.38708183169364901</v>
      </c>
      <c r="AG438">
        <v>0.29599999999999999</v>
      </c>
      <c r="AH438">
        <v>1.38</v>
      </c>
      <c r="AI438">
        <v>5.03</v>
      </c>
      <c r="AJ438">
        <v>5.36</v>
      </c>
      <c r="AK438">
        <v>1.7</v>
      </c>
      <c r="AL438">
        <v>0.2</v>
      </c>
      <c r="AM438">
        <v>19</v>
      </c>
      <c r="AN438">
        <v>37</v>
      </c>
      <c r="AO438">
        <v>10</v>
      </c>
      <c r="AP438">
        <v>24</v>
      </c>
      <c r="AQ438" t="s">
        <v>2784</v>
      </c>
      <c r="AR438">
        <v>49</v>
      </c>
      <c r="AS438" t="s">
        <v>36</v>
      </c>
      <c r="AT438" t="s">
        <v>36</v>
      </c>
      <c r="AU438" s="4">
        <f>HYPERLINK("http://mlb.mlb.com/team/player.jsp?player_id=592533",592533)</f>
        <v>592533</v>
      </c>
      <c r="AV438">
        <v>0</v>
      </c>
      <c r="AW438">
        <v>0</v>
      </c>
      <c r="AX438">
        <v>2</v>
      </c>
    </row>
    <row r="439" spans="1:50" x14ac:dyDescent="0.3">
      <c r="A439" s="4">
        <f>HYPERLINK("http://legacy.baseballprospectus.com/p/68741",68741)</f>
        <v>68741</v>
      </c>
      <c r="B439" t="s">
        <v>124</v>
      </c>
      <c r="C439" t="s">
        <v>584</v>
      </c>
      <c r="D439" s="10">
        <v>33130</v>
      </c>
      <c r="E439" t="s">
        <v>33</v>
      </c>
      <c r="F439" t="s">
        <v>33</v>
      </c>
      <c r="G439">
        <v>76</v>
      </c>
      <c r="H439">
        <v>240</v>
      </c>
      <c r="I439">
        <v>2018</v>
      </c>
      <c r="J439" s="4" t="str">
        <f>HYPERLINK("http://legacy.baseballprospectus.com/fantasy/dc/index.php?tm=CLE","CLE")</f>
        <v>CLE</v>
      </c>
      <c r="K439" t="s">
        <v>95</v>
      </c>
      <c r="L439" t="s">
        <v>34</v>
      </c>
      <c r="M439">
        <v>27</v>
      </c>
      <c r="N439">
        <v>2.1</v>
      </c>
      <c r="O439">
        <v>2.2000000000000002</v>
      </c>
      <c r="P439">
        <v>2.9</v>
      </c>
      <c r="Q439">
        <v>0</v>
      </c>
      <c r="R439">
        <v>0</v>
      </c>
      <c r="S439">
        <v>0</v>
      </c>
      <c r="T439">
        <v>6.6</v>
      </c>
      <c r="U439">
        <v>6.6</v>
      </c>
      <c r="V439" s="9">
        <v>34.666699999999999</v>
      </c>
      <c r="W439">
        <v>150</v>
      </c>
      <c r="X439">
        <v>37</v>
      </c>
      <c r="Y439">
        <v>5</v>
      </c>
      <c r="Z439">
        <v>12</v>
      </c>
      <c r="AA439" t="s">
        <v>1680</v>
      </c>
      <c r="AB439">
        <v>1</v>
      </c>
      <c r="AC439">
        <v>29</v>
      </c>
      <c r="AD439">
        <v>3.1</v>
      </c>
      <c r="AE439">
        <v>7.5</v>
      </c>
      <c r="AF439" s="5">
        <v>0.44582366943359297</v>
      </c>
      <c r="AG439">
        <v>0.307</v>
      </c>
      <c r="AH439">
        <v>1.42</v>
      </c>
      <c r="AI439">
        <v>4.76</v>
      </c>
      <c r="AJ439">
        <v>5.0999999999999996</v>
      </c>
      <c r="AK439">
        <v>2.2000000000000002</v>
      </c>
      <c r="AL439">
        <v>0.2</v>
      </c>
      <c r="AM439">
        <v>39</v>
      </c>
      <c r="AN439">
        <v>60</v>
      </c>
      <c r="AO439">
        <v>14</v>
      </c>
      <c r="AP439">
        <v>21</v>
      </c>
      <c r="AQ439" t="s">
        <v>2669</v>
      </c>
      <c r="AR439">
        <v>89</v>
      </c>
      <c r="AS439" t="s">
        <v>36</v>
      </c>
      <c r="AT439" t="s">
        <v>36</v>
      </c>
      <c r="AU439" s="4">
        <f>HYPERLINK("http://mlb.mlb.com/team/player.jsp?player_id=594736",594736)</f>
        <v>594736</v>
      </c>
      <c r="AV439">
        <v>134</v>
      </c>
      <c r="AW439">
        <v>1134</v>
      </c>
      <c r="AX439">
        <v>0</v>
      </c>
    </row>
    <row r="440" spans="1:50" x14ac:dyDescent="0.3">
      <c r="A440" s="4">
        <f>HYPERLINK("http://legacy.baseballprospectus.com/p/69113",69113)</f>
        <v>69113</v>
      </c>
      <c r="B440" t="s">
        <v>616</v>
      </c>
      <c r="C440" t="s">
        <v>549</v>
      </c>
      <c r="D440" s="10">
        <v>32840</v>
      </c>
      <c r="E440" t="s">
        <v>33</v>
      </c>
      <c r="F440" t="s">
        <v>33</v>
      </c>
      <c r="G440">
        <v>73</v>
      </c>
      <c r="H440">
        <v>190</v>
      </c>
      <c r="I440">
        <v>2018</v>
      </c>
      <c r="J440" s="4" t="str">
        <f>HYPERLINK("http://legacy.baseballprospectus.com/fantasy/dc/index.php?tm=PIT","PIT")</f>
        <v>PIT</v>
      </c>
      <c r="K440" t="s">
        <v>100</v>
      </c>
      <c r="L440" t="s">
        <v>34</v>
      </c>
      <c r="M440">
        <v>28</v>
      </c>
      <c r="N440">
        <v>1.8</v>
      </c>
      <c r="O440">
        <v>0.7</v>
      </c>
      <c r="P440">
        <v>0</v>
      </c>
      <c r="Q440">
        <v>0</v>
      </c>
      <c r="R440">
        <v>0</v>
      </c>
      <c r="S440">
        <v>0</v>
      </c>
      <c r="T440">
        <v>35.4</v>
      </c>
      <c r="U440">
        <v>0</v>
      </c>
      <c r="V440" s="9">
        <v>37.666699999999999</v>
      </c>
      <c r="W440">
        <v>159</v>
      </c>
      <c r="X440">
        <v>39</v>
      </c>
      <c r="Y440">
        <v>5</v>
      </c>
      <c r="Z440">
        <v>13</v>
      </c>
      <c r="AA440" t="s">
        <v>1680</v>
      </c>
      <c r="AB440">
        <v>1</v>
      </c>
      <c r="AC440">
        <v>34</v>
      </c>
      <c r="AD440">
        <v>3.2</v>
      </c>
      <c r="AE440">
        <v>8.1999999999999993</v>
      </c>
      <c r="AF440" s="5">
        <v>0.47651600837707497</v>
      </c>
      <c r="AG440">
        <v>0.32200000000000001</v>
      </c>
      <c r="AH440">
        <v>1.39</v>
      </c>
      <c r="AI440">
        <v>4.34</v>
      </c>
      <c r="AJ440">
        <v>4.88</v>
      </c>
      <c r="AK440">
        <v>1.6</v>
      </c>
      <c r="AL440">
        <v>0.2</v>
      </c>
      <c r="AM440">
        <v>23</v>
      </c>
      <c r="AN440">
        <v>31</v>
      </c>
      <c r="AO440">
        <v>6</v>
      </c>
      <c r="AP440">
        <v>24</v>
      </c>
      <c r="AQ440" t="s">
        <v>2651</v>
      </c>
      <c r="AR440">
        <v>37</v>
      </c>
      <c r="AS440" t="s">
        <v>36</v>
      </c>
      <c r="AT440" t="s">
        <v>35</v>
      </c>
      <c r="AU440" s="4">
        <f>HYPERLINK("http://mlb.mlb.com/team/player.jsp?player_id=605795",605795)</f>
        <v>605795</v>
      </c>
      <c r="AV440">
        <v>0</v>
      </c>
      <c r="AW440">
        <v>0</v>
      </c>
      <c r="AX440">
        <v>12.3</v>
      </c>
    </row>
    <row r="441" spans="1:50" x14ac:dyDescent="0.3">
      <c r="A441" s="4">
        <f>HYPERLINK("http://legacy.baseballprospectus.com/p/69545",69545)</f>
        <v>69545</v>
      </c>
      <c r="B441" t="s">
        <v>1640</v>
      </c>
      <c r="C441" t="s">
        <v>167</v>
      </c>
      <c r="D441" s="10">
        <v>34002</v>
      </c>
      <c r="E441" t="s">
        <v>33</v>
      </c>
      <c r="F441" t="s">
        <v>33</v>
      </c>
      <c r="G441">
        <v>76</v>
      </c>
      <c r="H441">
        <v>235</v>
      </c>
      <c r="I441">
        <v>2018</v>
      </c>
      <c r="J441" s="4" t="str">
        <f>HYPERLINK("http://legacy.baseballprospectus.com/fantasy/dc/index.php?tm=MIL","MIL")</f>
        <v>MIL</v>
      </c>
      <c r="K441" t="s">
        <v>100</v>
      </c>
      <c r="L441" t="s">
        <v>34</v>
      </c>
      <c r="M441">
        <v>25</v>
      </c>
      <c r="N441">
        <v>0.5</v>
      </c>
      <c r="O441">
        <v>0.2</v>
      </c>
      <c r="P441">
        <v>0</v>
      </c>
      <c r="Q441">
        <v>0</v>
      </c>
      <c r="R441">
        <v>0</v>
      </c>
      <c r="S441">
        <v>0</v>
      </c>
      <c r="T441">
        <v>9.8000000000000007</v>
      </c>
      <c r="U441">
        <v>0</v>
      </c>
      <c r="V441" s="9">
        <v>10.333299999999999</v>
      </c>
      <c r="W441">
        <v>43</v>
      </c>
      <c r="X441">
        <v>10</v>
      </c>
      <c r="Y441">
        <v>1</v>
      </c>
      <c r="Z441">
        <v>4</v>
      </c>
      <c r="AA441" t="s">
        <v>1680</v>
      </c>
      <c r="AB441">
        <v>0</v>
      </c>
      <c r="AC441">
        <v>11</v>
      </c>
      <c r="AD441">
        <v>3.5</v>
      </c>
      <c r="AE441">
        <v>9.6999999999999993</v>
      </c>
      <c r="AF441" s="5">
        <v>0.52880358695983798</v>
      </c>
      <c r="AG441">
        <v>0.318</v>
      </c>
      <c r="AH441">
        <v>1.32</v>
      </c>
      <c r="AI441">
        <v>4.08</v>
      </c>
      <c r="AJ441">
        <v>4.59</v>
      </c>
      <c r="AK441">
        <v>1.5</v>
      </c>
      <c r="AL441">
        <v>0.2</v>
      </c>
      <c r="AM441">
        <v>20</v>
      </c>
      <c r="AN441">
        <v>27</v>
      </c>
      <c r="AO441">
        <v>11</v>
      </c>
      <c r="AP441">
        <v>26</v>
      </c>
      <c r="AQ441" t="s">
        <v>2887</v>
      </c>
      <c r="AR441">
        <v>43</v>
      </c>
      <c r="AS441" t="s">
        <v>36</v>
      </c>
      <c r="AT441" t="s">
        <v>35</v>
      </c>
      <c r="AU441" s="4">
        <f>HYPERLINK("http://mlb.mlb.com/team/player.jsp?player_id=605288",605288)</f>
        <v>605288</v>
      </c>
      <c r="AV441">
        <v>1150</v>
      </c>
      <c r="AW441">
        <v>150</v>
      </c>
      <c r="AX441">
        <v>0</v>
      </c>
    </row>
    <row r="442" spans="1:50" x14ac:dyDescent="0.3">
      <c r="A442" s="4">
        <f>HYPERLINK("http://legacy.baseballprospectus.com/p/69637",69637)</f>
        <v>69637</v>
      </c>
      <c r="B442" t="s">
        <v>521</v>
      </c>
      <c r="C442" t="s">
        <v>354</v>
      </c>
      <c r="D442" s="10">
        <v>33163</v>
      </c>
      <c r="E442" t="s">
        <v>33</v>
      </c>
      <c r="F442" t="s">
        <v>33</v>
      </c>
      <c r="G442">
        <v>72</v>
      </c>
      <c r="H442">
        <v>185</v>
      </c>
      <c r="I442">
        <v>2018</v>
      </c>
      <c r="J442" s="4" t="str">
        <f>HYPERLINK("http://legacy.baseballprospectus.com/fantasy/dc/index.php?tm=NYN","NYN")</f>
        <v>NYN</v>
      </c>
      <c r="K442" t="s">
        <v>100</v>
      </c>
      <c r="L442" t="s">
        <v>34</v>
      </c>
      <c r="M442">
        <v>27</v>
      </c>
      <c r="N442">
        <v>2.8</v>
      </c>
      <c r="O442">
        <v>2.4</v>
      </c>
      <c r="P442">
        <v>2.8</v>
      </c>
      <c r="Q442">
        <v>0</v>
      </c>
      <c r="R442">
        <v>0</v>
      </c>
      <c r="S442">
        <v>0</v>
      </c>
      <c r="T442">
        <v>25.4</v>
      </c>
      <c r="U442">
        <v>6</v>
      </c>
      <c r="V442" s="9">
        <v>52.333300000000001</v>
      </c>
      <c r="W442">
        <v>226</v>
      </c>
      <c r="X442">
        <v>53</v>
      </c>
      <c r="Y442">
        <v>7</v>
      </c>
      <c r="Z442">
        <v>24</v>
      </c>
      <c r="AA442" t="s">
        <v>1680</v>
      </c>
      <c r="AB442">
        <v>2</v>
      </c>
      <c r="AC442">
        <v>50</v>
      </c>
      <c r="AD442">
        <v>4.2</v>
      </c>
      <c r="AE442">
        <v>8.6999999999999993</v>
      </c>
      <c r="AF442" s="5">
        <v>0.45749068260192799</v>
      </c>
      <c r="AG442">
        <v>0.32500000000000001</v>
      </c>
      <c r="AH442">
        <v>1.49</v>
      </c>
      <c r="AI442">
        <v>4.5599999999999996</v>
      </c>
      <c r="AJ442">
        <v>5.07</v>
      </c>
      <c r="AK442">
        <v>1.8</v>
      </c>
      <c r="AL442">
        <v>0.2</v>
      </c>
      <c r="AM442">
        <v>35</v>
      </c>
      <c r="AN442">
        <v>55</v>
      </c>
      <c r="AO442">
        <v>19</v>
      </c>
      <c r="AP442">
        <v>20</v>
      </c>
      <c r="AQ442" t="s">
        <v>3048</v>
      </c>
      <c r="AR442">
        <v>90</v>
      </c>
      <c r="AS442" t="s">
        <v>36</v>
      </c>
      <c r="AT442" t="s">
        <v>36</v>
      </c>
      <c r="AU442" s="4">
        <f>HYPERLINK("http://mlb.mlb.com/team/player.jsp?player_id=606160",606160)</f>
        <v>606160</v>
      </c>
      <c r="AV442">
        <v>1048</v>
      </c>
      <c r="AW442">
        <v>48</v>
      </c>
      <c r="AX442">
        <v>119</v>
      </c>
    </row>
    <row r="443" spans="1:50" x14ac:dyDescent="0.3">
      <c r="A443" s="4">
        <f>HYPERLINK("http://legacy.baseballprospectus.com/p/70840",70840)</f>
        <v>70840</v>
      </c>
      <c r="B443" t="s">
        <v>1455</v>
      </c>
      <c r="C443" t="s">
        <v>125</v>
      </c>
      <c r="D443" s="10">
        <v>34040</v>
      </c>
      <c r="E443" t="s">
        <v>9</v>
      </c>
      <c r="F443" t="s">
        <v>9</v>
      </c>
      <c r="G443">
        <v>71</v>
      </c>
      <c r="H443">
        <v>210</v>
      </c>
      <c r="I443">
        <v>2018</v>
      </c>
      <c r="J443" s="4" t="str">
        <f>HYPERLINK("http://legacy.baseballprospectus.com/fantasy/dc/index.php?tm=ATL","ATL")</f>
        <v>ATL</v>
      </c>
      <c r="K443" t="s">
        <v>100</v>
      </c>
      <c r="L443" t="s">
        <v>34</v>
      </c>
      <c r="M443">
        <v>25</v>
      </c>
      <c r="N443">
        <v>1.1000000000000001</v>
      </c>
      <c r="O443">
        <v>0.4</v>
      </c>
      <c r="P443">
        <v>0</v>
      </c>
      <c r="Q443">
        <v>0</v>
      </c>
      <c r="R443">
        <v>0</v>
      </c>
      <c r="S443">
        <v>0</v>
      </c>
      <c r="T443">
        <v>20.7</v>
      </c>
      <c r="U443">
        <v>0</v>
      </c>
      <c r="V443" s="9">
        <v>22</v>
      </c>
      <c r="W443">
        <v>93</v>
      </c>
      <c r="X443">
        <v>19</v>
      </c>
      <c r="Y443">
        <v>2</v>
      </c>
      <c r="Z443">
        <v>12</v>
      </c>
      <c r="AA443" t="s">
        <v>1680</v>
      </c>
      <c r="AB443">
        <v>1</v>
      </c>
      <c r="AC443">
        <v>26</v>
      </c>
      <c r="AD443">
        <v>5</v>
      </c>
      <c r="AE443">
        <v>10.5</v>
      </c>
      <c r="AF443" s="5">
        <v>0.46047016978263799</v>
      </c>
      <c r="AG443">
        <v>0.313</v>
      </c>
      <c r="AH443">
        <v>1.4</v>
      </c>
      <c r="AI443">
        <v>3.93</v>
      </c>
      <c r="AJ443">
        <v>4.58</v>
      </c>
      <c r="AK443">
        <v>1.6</v>
      </c>
      <c r="AL443">
        <v>0.2</v>
      </c>
      <c r="AM443">
        <v>19</v>
      </c>
      <c r="AN443">
        <v>29</v>
      </c>
      <c r="AO443">
        <v>14</v>
      </c>
      <c r="AP443">
        <v>39</v>
      </c>
      <c r="AQ443" t="s">
        <v>3188</v>
      </c>
      <c r="AR443">
        <v>50</v>
      </c>
      <c r="AS443" t="s">
        <v>36</v>
      </c>
      <c r="AT443" t="s">
        <v>35</v>
      </c>
      <c r="AU443" s="4">
        <f>HYPERLINK("http://mlb.mlb.com/team/player.jsp?player_id=605338",605338)</f>
        <v>605338</v>
      </c>
      <c r="AV443">
        <v>1360</v>
      </c>
      <c r="AW443">
        <v>360</v>
      </c>
      <c r="AX443">
        <v>0</v>
      </c>
    </row>
    <row r="444" spans="1:50" x14ac:dyDescent="0.3">
      <c r="A444" s="4">
        <f>HYPERLINK("http://legacy.baseballprospectus.com/p/70966",70966)</f>
        <v>70966</v>
      </c>
      <c r="B444" t="s">
        <v>1464</v>
      </c>
      <c r="C444" t="s">
        <v>108</v>
      </c>
      <c r="D444" s="10">
        <v>33988</v>
      </c>
      <c r="E444" t="s">
        <v>33</v>
      </c>
      <c r="F444" t="s">
        <v>33</v>
      </c>
      <c r="G444">
        <v>77</v>
      </c>
      <c r="H444">
        <v>220</v>
      </c>
      <c r="I444">
        <v>2018</v>
      </c>
      <c r="J444" s="4" t="str">
        <f>HYPERLINK("http://legacy.baseballprospectus.com/fantasy/dc/index.php?tm=PIT","PIT")</f>
        <v>PIT</v>
      </c>
      <c r="K444" t="s">
        <v>100</v>
      </c>
      <c r="L444" t="s">
        <v>34</v>
      </c>
      <c r="M444">
        <v>25</v>
      </c>
      <c r="N444">
        <v>1.7</v>
      </c>
      <c r="O444">
        <v>0.7</v>
      </c>
      <c r="P444">
        <v>0</v>
      </c>
      <c r="Q444">
        <v>0</v>
      </c>
      <c r="R444">
        <v>1.4</v>
      </c>
      <c r="S444">
        <v>0</v>
      </c>
      <c r="T444">
        <v>33.700000000000003</v>
      </c>
      <c r="U444">
        <v>0</v>
      </c>
      <c r="V444" s="9">
        <v>35.666699999999999</v>
      </c>
      <c r="W444">
        <v>150</v>
      </c>
      <c r="X444">
        <v>34</v>
      </c>
      <c r="Y444">
        <v>5</v>
      </c>
      <c r="Z444">
        <v>16</v>
      </c>
      <c r="AA444" t="s">
        <v>1680</v>
      </c>
      <c r="AB444">
        <v>1</v>
      </c>
      <c r="AC444">
        <v>39</v>
      </c>
      <c r="AD444">
        <v>4</v>
      </c>
      <c r="AE444">
        <v>9.9</v>
      </c>
      <c r="AF444" s="5">
        <v>0.44036462903022699</v>
      </c>
      <c r="AG444">
        <v>0.32100000000000001</v>
      </c>
      <c r="AH444">
        <v>1.38</v>
      </c>
      <c r="AI444">
        <v>4.25</v>
      </c>
      <c r="AJ444">
        <v>4.76</v>
      </c>
      <c r="AK444">
        <v>1.9</v>
      </c>
      <c r="AL444">
        <v>0.2</v>
      </c>
      <c r="AM444">
        <v>18</v>
      </c>
      <c r="AN444">
        <v>26</v>
      </c>
      <c r="AO444">
        <v>7</v>
      </c>
      <c r="AP444">
        <v>27</v>
      </c>
      <c r="AQ444" t="s">
        <v>2922</v>
      </c>
      <c r="AR444">
        <v>35</v>
      </c>
      <c r="AS444" t="s">
        <v>36</v>
      </c>
      <c r="AT444" t="s">
        <v>35</v>
      </c>
      <c r="AU444" s="4">
        <f>HYPERLINK("http://mlb.mlb.com/team/player.jsp?player_id=595897",595897)</f>
        <v>595897</v>
      </c>
      <c r="AV444">
        <v>1363</v>
      </c>
      <c r="AW444">
        <v>363</v>
      </c>
      <c r="AX444">
        <v>0</v>
      </c>
    </row>
    <row r="445" spans="1:50" x14ac:dyDescent="0.3">
      <c r="A445" s="4">
        <f>HYPERLINK("http://legacy.baseballprospectus.com/p/71189",71189)</f>
        <v>71189</v>
      </c>
      <c r="B445" t="s">
        <v>1781</v>
      </c>
      <c r="C445" t="s">
        <v>149</v>
      </c>
      <c r="D445" s="10">
        <v>33841</v>
      </c>
      <c r="E445" t="s">
        <v>33</v>
      </c>
      <c r="F445" t="s">
        <v>33</v>
      </c>
      <c r="G445">
        <v>75</v>
      </c>
      <c r="H445">
        <v>185</v>
      </c>
      <c r="I445">
        <v>2018</v>
      </c>
      <c r="J445" s="4" t="str">
        <f>HYPERLINK("http://legacy.baseballprospectus.com/fantasy/dc/index.php?tm=BOS","BOS")</f>
        <v>BOS</v>
      </c>
      <c r="K445" t="s">
        <v>95</v>
      </c>
      <c r="L445" t="s">
        <v>34</v>
      </c>
      <c r="M445">
        <v>25</v>
      </c>
      <c r="N445">
        <v>2.2999999999999998</v>
      </c>
      <c r="O445">
        <v>0.8</v>
      </c>
      <c r="P445">
        <v>0</v>
      </c>
      <c r="Q445">
        <v>0</v>
      </c>
      <c r="R445">
        <v>1.9</v>
      </c>
      <c r="S445">
        <v>0</v>
      </c>
      <c r="T445">
        <v>46.5</v>
      </c>
      <c r="U445">
        <v>0</v>
      </c>
      <c r="V445" s="9">
        <v>49.333300000000001</v>
      </c>
      <c r="W445">
        <v>216</v>
      </c>
      <c r="X445">
        <v>51</v>
      </c>
      <c r="Y445">
        <v>8</v>
      </c>
      <c r="Z445">
        <v>20</v>
      </c>
      <c r="AA445" t="s">
        <v>1680</v>
      </c>
      <c r="AB445">
        <v>1</v>
      </c>
      <c r="AC445">
        <v>49</v>
      </c>
      <c r="AD445">
        <v>3.6</v>
      </c>
      <c r="AE445">
        <v>8.9</v>
      </c>
      <c r="AF445" s="5">
        <v>0.43171057105064298</v>
      </c>
      <c r="AG445">
        <v>0.313</v>
      </c>
      <c r="AH445">
        <v>1.44</v>
      </c>
      <c r="AI445">
        <v>4.62</v>
      </c>
      <c r="AJ445">
        <v>5.07</v>
      </c>
      <c r="AK445">
        <v>1.6</v>
      </c>
      <c r="AL445">
        <v>0.2</v>
      </c>
      <c r="AM445">
        <v>19</v>
      </c>
      <c r="AN445">
        <v>22</v>
      </c>
      <c r="AO445">
        <v>21</v>
      </c>
      <c r="AP445">
        <v>37</v>
      </c>
      <c r="AQ445" t="s">
        <v>2527</v>
      </c>
      <c r="AR445">
        <v>47</v>
      </c>
      <c r="AS445" t="s">
        <v>36</v>
      </c>
      <c r="AT445" t="s">
        <v>35</v>
      </c>
      <c r="AU445" s="4">
        <f>HYPERLINK("http://mlb.mlb.com/team/player.jsp?player_id=605469",605469)</f>
        <v>605469</v>
      </c>
      <c r="AV445">
        <v>0</v>
      </c>
      <c r="AW445">
        <v>0</v>
      </c>
      <c r="AX445">
        <v>0</v>
      </c>
    </row>
    <row r="446" spans="1:50" x14ac:dyDescent="0.3">
      <c r="A446" s="4">
        <f>HYPERLINK("http://legacy.baseballprospectus.com/p/101113",101113)</f>
        <v>101113</v>
      </c>
      <c r="B446" t="s">
        <v>421</v>
      </c>
      <c r="C446" t="s">
        <v>714</v>
      </c>
      <c r="D446" s="10">
        <v>34822</v>
      </c>
      <c r="E446" t="s">
        <v>33</v>
      </c>
      <c r="F446" t="s">
        <v>33</v>
      </c>
      <c r="G446">
        <v>71</v>
      </c>
      <c r="H446">
        <v>185</v>
      </c>
      <c r="I446">
        <v>2018</v>
      </c>
      <c r="J446" s="4" t="str">
        <f>HYPERLINK("http://legacy.baseballprospectus.com/fantasy/dc/index.php?tm=TEX","TEX")</f>
        <v>TEX</v>
      </c>
      <c r="K446" t="s">
        <v>95</v>
      </c>
      <c r="L446" t="s">
        <v>34</v>
      </c>
      <c r="M446">
        <v>23</v>
      </c>
      <c r="N446">
        <v>3.1</v>
      </c>
      <c r="O446">
        <v>3.9</v>
      </c>
      <c r="P446">
        <v>3</v>
      </c>
      <c r="Q446">
        <v>0</v>
      </c>
      <c r="R446">
        <v>0</v>
      </c>
      <c r="S446">
        <v>0</v>
      </c>
      <c r="T446">
        <v>28</v>
      </c>
      <c r="U446">
        <v>8</v>
      </c>
      <c r="V446" s="9">
        <v>61</v>
      </c>
      <c r="W446">
        <v>269</v>
      </c>
      <c r="X446">
        <v>65</v>
      </c>
      <c r="Y446">
        <v>11</v>
      </c>
      <c r="Z446">
        <v>24</v>
      </c>
      <c r="AA446">
        <v>2</v>
      </c>
      <c r="AB446">
        <v>3</v>
      </c>
      <c r="AC446">
        <v>52</v>
      </c>
      <c r="AD446">
        <v>3.5</v>
      </c>
      <c r="AE446">
        <v>7.6</v>
      </c>
      <c r="AF446" s="5">
        <v>0.42499999999999999</v>
      </c>
      <c r="AG446">
        <v>0.29699999999999999</v>
      </c>
      <c r="AH446">
        <v>1.45</v>
      </c>
      <c r="AI446">
        <v>5.34</v>
      </c>
      <c r="AJ446">
        <v>5.21</v>
      </c>
      <c r="AK446">
        <v>1.4</v>
      </c>
      <c r="AL446">
        <v>0.2</v>
      </c>
      <c r="AM446">
        <v>14</v>
      </c>
      <c r="AN446">
        <v>17</v>
      </c>
      <c r="AO446">
        <v>13</v>
      </c>
      <c r="AP446">
        <v>27</v>
      </c>
      <c r="AQ446" t="s">
        <v>2583</v>
      </c>
      <c r="AR446">
        <v>36</v>
      </c>
      <c r="AS446" t="s">
        <v>35</v>
      </c>
      <c r="AT446" t="s">
        <v>35</v>
      </c>
      <c r="AU446" s="4">
        <f>HYPERLINK("http://mlb.mlb.com/team/player.jsp?player_id=622703",622703)</f>
        <v>622703</v>
      </c>
      <c r="AV446">
        <v>124</v>
      </c>
      <c r="AW446">
        <v>1124</v>
      </c>
      <c r="AX446">
        <v>3</v>
      </c>
    </row>
    <row r="447" spans="1:50" x14ac:dyDescent="0.3">
      <c r="A447" s="4">
        <f>HYPERLINK("http://legacy.baseballprospectus.com/p/101403",101403)</f>
        <v>101403</v>
      </c>
      <c r="B447" t="s">
        <v>1631</v>
      </c>
      <c r="C447" t="s">
        <v>173</v>
      </c>
      <c r="D447" s="10">
        <v>33089</v>
      </c>
      <c r="E447" t="s">
        <v>33</v>
      </c>
      <c r="F447" t="s">
        <v>33</v>
      </c>
      <c r="G447">
        <v>75</v>
      </c>
      <c r="H447">
        <v>215</v>
      </c>
      <c r="I447">
        <v>2018</v>
      </c>
      <c r="J447" s="4" t="str">
        <f>HYPERLINK("http://legacy.baseballprospectus.com/fantasy/dc/index.php?tm=MIA","MIA")</f>
        <v>MIA</v>
      </c>
      <c r="K447" t="s">
        <v>100</v>
      </c>
      <c r="L447" t="s">
        <v>34</v>
      </c>
      <c r="M447">
        <v>27</v>
      </c>
      <c r="N447">
        <v>1.2</v>
      </c>
      <c r="O447">
        <v>1.3</v>
      </c>
      <c r="P447">
        <v>0</v>
      </c>
      <c r="Q447">
        <v>0</v>
      </c>
      <c r="R447">
        <v>0</v>
      </c>
      <c r="S447">
        <v>1</v>
      </c>
      <c r="T447">
        <v>26</v>
      </c>
      <c r="U447">
        <v>0</v>
      </c>
      <c r="V447" s="9">
        <v>27</v>
      </c>
      <c r="W447">
        <v>119</v>
      </c>
      <c r="X447">
        <v>24</v>
      </c>
      <c r="Y447">
        <v>3</v>
      </c>
      <c r="Z447">
        <v>14</v>
      </c>
      <c r="AA447">
        <v>1</v>
      </c>
      <c r="AB447">
        <v>2</v>
      </c>
      <c r="AC447">
        <v>29</v>
      </c>
      <c r="AD447">
        <v>4.5</v>
      </c>
      <c r="AE447">
        <v>9.8000000000000007</v>
      </c>
      <c r="AF447" s="5">
        <v>0.38500000000000001</v>
      </c>
      <c r="AG447">
        <v>0.29599999999999999</v>
      </c>
      <c r="AH447">
        <v>1.4</v>
      </c>
      <c r="AI447">
        <v>4.26</v>
      </c>
      <c r="AJ447">
        <v>4.46</v>
      </c>
      <c r="AK447">
        <v>1.5</v>
      </c>
      <c r="AL447">
        <v>0.2</v>
      </c>
      <c r="AM447">
        <v>24</v>
      </c>
      <c r="AN447">
        <v>37</v>
      </c>
      <c r="AO447">
        <v>13</v>
      </c>
      <c r="AP447">
        <v>22</v>
      </c>
      <c r="AQ447" t="s">
        <v>3076</v>
      </c>
      <c r="AR447">
        <v>65</v>
      </c>
      <c r="AS447" t="s">
        <v>35</v>
      </c>
      <c r="AT447" t="s">
        <v>36</v>
      </c>
      <c r="AU447" s="4">
        <f>HYPERLINK("http://mlb.mlb.com/team/player.jsp?player_id=623395",623395)</f>
        <v>623395</v>
      </c>
      <c r="AV447">
        <v>1300</v>
      </c>
      <c r="AW447">
        <v>300</v>
      </c>
      <c r="AX447">
        <v>44.7</v>
      </c>
    </row>
    <row r="448" spans="1:50" x14ac:dyDescent="0.3">
      <c r="A448" s="4">
        <f>HYPERLINK("http://legacy.baseballprospectus.com/p/101433",101433)</f>
        <v>101433</v>
      </c>
      <c r="B448" t="s">
        <v>1601</v>
      </c>
      <c r="C448" t="s">
        <v>102</v>
      </c>
      <c r="D448" s="10">
        <v>32783</v>
      </c>
      <c r="E448" t="s">
        <v>33</v>
      </c>
      <c r="F448" t="s">
        <v>33</v>
      </c>
      <c r="G448">
        <v>69</v>
      </c>
      <c r="H448">
        <v>175</v>
      </c>
      <c r="I448">
        <v>2018</v>
      </c>
      <c r="J448" s="4" t="str">
        <f>HYPERLINK("http://legacy.baseballprospectus.com/fantasy/dc/index.php?tm=OAK","OAK")</f>
        <v>OAK</v>
      </c>
      <c r="K448" t="s">
        <v>95</v>
      </c>
      <c r="L448" t="s">
        <v>34</v>
      </c>
      <c r="M448">
        <v>28</v>
      </c>
      <c r="N448">
        <v>1.4</v>
      </c>
      <c r="O448">
        <v>1.7</v>
      </c>
      <c r="P448">
        <v>0</v>
      </c>
      <c r="Q448">
        <v>0</v>
      </c>
      <c r="R448">
        <v>0</v>
      </c>
      <c r="S448">
        <v>1</v>
      </c>
      <c r="T448">
        <v>31</v>
      </c>
      <c r="U448">
        <v>0</v>
      </c>
      <c r="V448" s="9">
        <v>33</v>
      </c>
      <c r="W448">
        <v>142</v>
      </c>
      <c r="X448">
        <v>31</v>
      </c>
      <c r="Y448">
        <v>5</v>
      </c>
      <c r="Z448">
        <v>14</v>
      </c>
      <c r="AA448">
        <v>2</v>
      </c>
      <c r="AB448">
        <v>2</v>
      </c>
      <c r="AC448">
        <v>33</v>
      </c>
      <c r="AD448">
        <v>3.8</v>
      </c>
      <c r="AE448">
        <v>8.9</v>
      </c>
      <c r="AF448" s="5">
        <v>0.40100000000000002</v>
      </c>
      <c r="AG448">
        <v>0.28499999999999998</v>
      </c>
      <c r="AH448">
        <v>1.33</v>
      </c>
      <c r="AI448">
        <v>4.79</v>
      </c>
      <c r="AJ448">
        <v>4.84</v>
      </c>
      <c r="AK448">
        <v>1.4</v>
      </c>
      <c r="AL448">
        <v>0.2</v>
      </c>
      <c r="AM448">
        <v>31</v>
      </c>
      <c r="AN448">
        <v>43</v>
      </c>
      <c r="AO448">
        <v>27</v>
      </c>
      <c r="AP448">
        <v>18</v>
      </c>
      <c r="AQ448" t="s">
        <v>2907</v>
      </c>
      <c r="AR448">
        <v>84</v>
      </c>
      <c r="AS448" t="s">
        <v>35</v>
      </c>
      <c r="AT448" t="s">
        <v>36</v>
      </c>
      <c r="AU448" s="4">
        <f>HYPERLINK("http://mlb.mlb.com/team/player.jsp?player_id=623430",623430)</f>
        <v>623430</v>
      </c>
      <c r="AV448">
        <v>296</v>
      </c>
      <c r="AW448">
        <v>1296</v>
      </c>
      <c r="AX448">
        <v>42</v>
      </c>
    </row>
    <row r="449" spans="1:50" x14ac:dyDescent="0.3">
      <c r="A449" s="4">
        <f>HYPERLINK("http://legacy.baseballprospectus.com/p/102044",102044)</f>
        <v>102044</v>
      </c>
      <c r="B449" t="s">
        <v>637</v>
      </c>
      <c r="C449" t="s">
        <v>372</v>
      </c>
      <c r="D449" s="10">
        <v>33447</v>
      </c>
      <c r="E449" t="s">
        <v>33</v>
      </c>
      <c r="F449" t="s">
        <v>9</v>
      </c>
      <c r="G449">
        <v>74</v>
      </c>
      <c r="H449">
        <v>205</v>
      </c>
      <c r="I449">
        <v>2018</v>
      </c>
      <c r="J449" s="4" t="str">
        <f>HYPERLINK("http://legacy.baseballprospectus.com/fantasy/dc/index.php?tm=MIA","MIA")</f>
        <v>MIA</v>
      </c>
      <c r="K449" t="s">
        <v>100</v>
      </c>
      <c r="L449" t="s">
        <v>34</v>
      </c>
      <c r="M449">
        <v>26</v>
      </c>
      <c r="N449">
        <v>2.2000000000000002</v>
      </c>
      <c r="O449">
        <v>3.3</v>
      </c>
      <c r="P449">
        <v>4</v>
      </c>
      <c r="Q449">
        <v>0</v>
      </c>
      <c r="R449">
        <v>0</v>
      </c>
      <c r="S449">
        <v>0</v>
      </c>
      <c r="T449">
        <v>8</v>
      </c>
      <c r="U449">
        <v>8</v>
      </c>
      <c r="V449" s="9">
        <v>45.666699999999999</v>
      </c>
      <c r="W449">
        <v>197</v>
      </c>
      <c r="X449">
        <v>45</v>
      </c>
      <c r="Y449">
        <v>7</v>
      </c>
      <c r="Z449">
        <v>17</v>
      </c>
      <c r="AA449">
        <v>1</v>
      </c>
      <c r="AB449">
        <v>2</v>
      </c>
      <c r="AC449">
        <v>43</v>
      </c>
      <c r="AD449">
        <v>3.3</v>
      </c>
      <c r="AE449">
        <v>8.5</v>
      </c>
      <c r="AF449" s="5">
        <v>0.40500000000000003</v>
      </c>
      <c r="AG449">
        <v>0.29499999999999998</v>
      </c>
      <c r="AH449">
        <v>1.35</v>
      </c>
      <c r="AI449">
        <v>4.54</v>
      </c>
      <c r="AJ449">
        <v>4.8499999999999996</v>
      </c>
      <c r="AK449">
        <v>2</v>
      </c>
      <c r="AL449">
        <v>0.2</v>
      </c>
      <c r="AM449">
        <v>15</v>
      </c>
      <c r="AN449">
        <v>26</v>
      </c>
      <c r="AO449">
        <v>17</v>
      </c>
      <c r="AP449">
        <v>39</v>
      </c>
      <c r="AQ449" t="s">
        <v>2775</v>
      </c>
      <c r="AR449">
        <v>61</v>
      </c>
      <c r="AS449" t="s">
        <v>35</v>
      </c>
      <c r="AT449" t="s">
        <v>35</v>
      </c>
      <c r="AU449" s="4">
        <f>HYPERLINK("http://mlb.mlb.com/team/player.jsp?player_id=592761",592761)</f>
        <v>592761</v>
      </c>
      <c r="AV449">
        <v>1113</v>
      </c>
      <c r="AW449">
        <v>113</v>
      </c>
      <c r="AX449">
        <v>18.7</v>
      </c>
    </row>
    <row r="450" spans="1:50" x14ac:dyDescent="0.3">
      <c r="A450" s="4">
        <f>HYPERLINK("http://legacy.baseballprospectus.com/p/102049",102049)</f>
        <v>102049</v>
      </c>
      <c r="B450" t="s">
        <v>690</v>
      </c>
      <c r="C450" t="s">
        <v>391</v>
      </c>
      <c r="D450" s="10">
        <v>33440</v>
      </c>
      <c r="E450" t="s">
        <v>37</v>
      </c>
      <c r="F450" t="s">
        <v>33</v>
      </c>
      <c r="G450">
        <v>71</v>
      </c>
      <c r="H450">
        <v>195</v>
      </c>
      <c r="I450">
        <v>2018</v>
      </c>
      <c r="J450" s="4" t="str">
        <f>HYPERLINK("http://legacy.baseballprospectus.com/fantasy/dc/index.php?tm=MIL","MIL")</f>
        <v>MIL</v>
      </c>
      <c r="K450" t="s">
        <v>100</v>
      </c>
      <c r="L450" t="s">
        <v>34</v>
      </c>
      <c r="M450">
        <v>26</v>
      </c>
      <c r="N450">
        <v>1.1000000000000001</v>
      </c>
      <c r="O450">
        <v>0.9</v>
      </c>
      <c r="P450">
        <v>0</v>
      </c>
      <c r="Q450">
        <v>0</v>
      </c>
      <c r="R450">
        <v>0</v>
      </c>
      <c r="S450">
        <v>0</v>
      </c>
      <c r="T450">
        <v>20</v>
      </c>
      <c r="U450">
        <v>0</v>
      </c>
      <c r="V450" s="9">
        <v>20.666699999999999</v>
      </c>
      <c r="W450">
        <v>89</v>
      </c>
      <c r="X450">
        <v>18</v>
      </c>
      <c r="Y450">
        <v>3</v>
      </c>
      <c r="Z450">
        <v>9</v>
      </c>
      <c r="AA450">
        <v>1</v>
      </c>
      <c r="AB450">
        <v>1</v>
      </c>
      <c r="AC450">
        <v>25</v>
      </c>
      <c r="AD450">
        <v>3.9</v>
      </c>
      <c r="AE450">
        <v>10.7</v>
      </c>
      <c r="AF450" s="5">
        <v>0.44800000000000001</v>
      </c>
      <c r="AG450">
        <v>0.29699999999999999</v>
      </c>
      <c r="AH450">
        <v>1.3</v>
      </c>
      <c r="AI450">
        <v>3.64</v>
      </c>
      <c r="AJ450">
        <v>3.98</v>
      </c>
      <c r="AK450">
        <v>2.2000000000000002</v>
      </c>
      <c r="AL450">
        <v>0.2</v>
      </c>
      <c r="AM450">
        <v>22</v>
      </c>
      <c r="AN450">
        <v>30</v>
      </c>
      <c r="AO450">
        <v>14</v>
      </c>
      <c r="AP450">
        <v>37</v>
      </c>
      <c r="AQ450" t="s">
        <v>2776</v>
      </c>
      <c r="AR450">
        <v>54</v>
      </c>
      <c r="AS450" t="s">
        <v>35</v>
      </c>
      <c r="AT450" t="s">
        <v>35</v>
      </c>
      <c r="AU450" s="4">
        <f>HYPERLINK("http://mlb.mlb.com/team/player.jsp?player_id=592865",592865)</f>
        <v>592865</v>
      </c>
      <c r="AV450">
        <v>1131</v>
      </c>
      <c r="AW450">
        <v>131</v>
      </c>
      <c r="AX450">
        <v>4.7</v>
      </c>
    </row>
    <row r="451" spans="1:50" x14ac:dyDescent="0.3">
      <c r="A451" s="4">
        <f>HYPERLINK("http://legacy.baseballprospectus.com/p/102320",102320)</f>
        <v>102320</v>
      </c>
      <c r="B451" t="s">
        <v>1579</v>
      </c>
      <c r="C451" t="s">
        <v>1580</v>
      </c>
      <c r="D451" s="10">
        <v>34277</v>
      </c>
      <c r="E451" t="s">
        <v>33</v>
      </c>
      <c r="F451" t="s">
        <v>33</v>
      </c>
      <c r="G451">
        <v>72</v>
      </c>
      <c r="H451">
        <v>220</v>
      </c>
      <c r="I451">
        <v>2018</v>
      </c>
      <c r="J451" s="4" t="str">
        <f>HYPERLINK("http://legacy.baseballprospectus.com/fantasy/dc/index.php?tm=TBA","TBA")</f>
        <v>TBA</v>
      </c>
      <c r="K451" t="s">
        <v>95</v>
      </c>
      <c r="L451" t="s">
        <v>34</v>
      </c>
      <c r="M451">
        <v>24</v>
      </c>
      <c r="N451">
        <v>1.4</v>
      </c>
      <c r="O451">
        <v>1.3</v>
      </c>
      <c r="P451">
        <v>0</v>
      </c>
      <c r="Q451">
        <v>0</v>
      </c>
      <c r="R451">
        <v>0</v>
      </c>
      <c r="S451">
        <v>1</v>
      </c>
      <c r="T451">
        <v>27</v>
      </c>
      <c r="U451">
        <v>0</v>
      </c>
      <c r="V451" s="9">
        <v>28.333300000000001</v>
      </c>
      <c r="W451">
        <v>119</v>
      </c>
      <c r="X451">
        <v>26</v>
      </c>
      <c r="Y451">
        <v>4</v>
      </c>
      <c r="Z451">
        <v>10</v>
      </c>
      <c r="AA451">
        <v>1</v>
      </c>
      <c r="AB451">
        <v>1</v>
      </c>
      <c r="AC451">
        <v>28</v>
      </c>
      <c r="AD451">
        <v>3.2</v>
      </c>
      <c r="AE451">
        <v>8.9</v>
      </c>
      <c r="AF451" s="5">
        <v>0.42499999999999999</v>
      </c>
      <c r="AG451">
        <v>0.28799999999999998</v>
      </c>
      <c r="AH451">
        <v>1.26</v>
      </c>
      <c r="AI451">
        <v>4.22</v>
      </c>
      <c r="AJ451">
        <v>4.7</v>
      </c>
      <c r="AK451">
        <v>1.6</v>
      </c>
      <c r="AL451">
        <v>0.2</v>
      </c>
      <c r="AM451">
        <v>18</v>
      </c>
      <c r="AN451">
        <v>31</v>
      </c>
      <c r="AO451">
        <v>12</v>
      </c>
      <c r="AP451">
        <v>28</v>
      </c>
      <c r="AQ451" t="s">
        <v>2592</v>
      </c>
      <c r="AR451">
        <v>52</v>
      </c>
      <c r="AS451" t="s">
        <v>35</v>
      </c>
      <c r="AT451" t="s">
        <v>35</v>
      </c>
      <c r="AU451" s="4">
        <f>HYPERLINK("http://mlb.mlb.com/team/player.jsp?player_id=629496",629496)</f>
        <v>629496</v>
      </c>
      <c r="AV451">
        <v>116</v>
      </c>
      <c r="AW451">
        <v>1116</v>
      </c>
      <c r="AX451">
        <v>10</v>
      </c>
    </row>
    <row r="452" spans="1:50" x14ac:dyDescent="0.3">
      <c r="A452" s="4">
        <f>HYPERLINK("http://legacy.baseballprospectus.com/p/102336",102336)</f>
        <v>102336</v>
      </c>
      <c r="B452" t="s">
        <v>249</v>
      </c>
      <c r="C452" t="s">
        <v>2293</v>
      </c>
      <c r="D452" s="10">
        <v>34329</v>
      </c>
      <c r="E452" t="s">
        <v>33</v>
      </c>
      <c r="F452" t="s">
        <v>33</v>
      </c>
      <c r="G452">
        <v>74</v>
      </c>
      <c r="H452">
        <v>170</v>
      </c>
      <c r="I452">
        <v>2018</v>
      </c>
      <c r="J452" s="4" t="str">
        <f>HYPERLINK("http://legacy.baseballprospectus.com/fantasy/dc/index.php?tm=TBA","TBA")</f>
        <v>TBA</v>
      </c>
      <c r="K452" t="s">
        <v>95</v>
      </c>
      <c r="L452" t="s">
        <v>34</v>
      </c>
      <c r="M452">
        <v>24</v>
      </c>
      <c r="N452">
        <v>2.1</v>
      </c>
      <c r="O452">
        <v>2</v>
      </c>
      <c r="P452">
        <v>1</v>
      </c>
      <c r="Q452">
        <v>0</v>
      </c>
      <c r="R452">
        <v>0</v>
      </c>
      <c r="S452">
        <v>0</v>
      </c>
      <c r="T452">
        <v>24</v>
      </c>
      <c r="U452">
        <v>3</v>
      </c>
      <c r="V452" s="9">
        <v>37.666699999999999</v>
      </c>
      <c r="W452">
        <v>158</v>
      </c>
      <c r="X452">
        <v>37</v>
      </c>
      <c r="Y452">
        <v>6</v>
      </c>
      <c r="Z452">
        <v>11</v>
      </c>
      <c r="AA452">
        <v>1</v>
      </c>
      <c r="AB452">
        <v>1</v>
      </c>
      <c r="AC452">
        <v>34</v>
      </c>
      <c r="AD452">
        <v>2.6</v>
      </c>
      <c r="AE452">
        <v>8</v>
      </c>
      <c r="AF452" s="5">
        <v>0.442</v>
      </c>
      <c r="AG452">
        <v>0.28599999999999998</v>
      </c>
      <c r="AH452">
        <v>1.24</v>
      </c>
      <c r="AI452">
        <v>4.43</v>
      </c>
      <c r="AJ452">
        <v>4.9400000000000004</v>
      </c>
      <c r="AK452">
        <v>1.6</v>
      </c>
      <c r="AL452">
        <v>0.2</v>
      </c>
      <c r="AM452">
        <v>24</v>
      </c>
      <c r="AN452">
        <v>38</v>
      </c>
      <c r="AO452">
        <v>15</v>
      </c>
      <c r="AP452">
        <v>36</v>
      </c>
      <c r="AQ452" t="s">
        <v>2294</v>
      </c>
      <c r="AR452">
        <v>59</v>
      </c>
      <c r="AS452" t="s">
        <v>35</v>
      </c>
      <c r="AT452" t="s">
        <v>35</v>
      </c>
      <c r="AU452" s="4">
        <f>HYPERLINK("http://mlb.mlb.com/team/player.jsp?player_id=630023",630023)</f>
        <v>630023</v>
      </c>
      <c r="AV452">
        <v>223</v>
      </c>
      <c r="AW452">
        <v>1223</v>
      </c>
      <c r="AX452">
        <v>0</v>
      </c>
    </row>
    <row r="453" spans="1:50" x14ac:dyDescent="0.3">
      <c r="A453" s="4">
        <f>HYPERLINK("http://legacy.baseballprospectus.com/p/102632",102632)</f>
        <v>102632</v>
      </c>
      <c r="B453" t="s">
        <v>1513</v>
      </c>
      <c r="C453" t="s">
        <v>285</v>
      </c>
      <c r="D453" s="10">
        <v>34907</v>
      </c>
      <c r="E453" t="s">
        <v>33</v>
      </c>
      <c r="F453" t="s">
        <v>33</v>
      </c>
      <c r="G453">
        <v>77</v>
      </c>
      <c r="H453">
        <v>230</v>
      </c>
      <c r="I453">
        <v>2018</v>
      </c>
      <c r="J453" s="4" t="str">
        <f>HYPERLINK("http://legacy.baseballprospectus.com/fantasy/dc/index.php?tm=KCA","KCA")</f>
        <v>KCA</v>
      </c>
      <c r="K453" t="s">
        <v>95</v>
      </c>
      <c r="L453" t="s">
        <v>34</v>
      </c>
      <c r="M453">
        <v>22</v>
      </c>
      <c r="N453">
        <v>1.7</v>
      </c>
      <c r="O453">
        <v>2.1</v>
      </c>
      <c r="P453">
        <v>0</v>
      </c>
      <c r="Q453">
        <v>0</v>
      </c>
      <c r="R453">
        <v>0</v>
      </c>
      <c r="S453">
        <v>1</v>
      </c>
      <c r="T453">
        <v>39</v>
      </c>
      <c r="U453">
        <v>0</v>
      </c>
      <c r="V453" s="9">
        <v>41.333300000000001</v>
      </c>
      <c r="W453">
        <v>178</v>
      </c>
      <c r="X453">
        <v>41</v>
      </c>
      <c r="Y453">
        <v>6</v>
      </c>
      <c r="Z453">
        <v>16</v>
      </c>
      <c r="AA453">
        <v>2</v>
      </c>
      <c r="AB453">
        <v>1</v>
      </c>
      <c r="AC453">
        <v>37</v>
      </c>
      <c r="AD453">
        <v>3.5</v>
      </c>
      <c r="AE453">
        <v>8</v>
      </c>
      <c r="AF453" s="5">
        <v>0.48699999999999999</v>
      </c>
      <c r="AG453">
        <v>0.29599999999999999</v>
      </c>
      <c r="AH453">
        <v>1.37</v>
      </c>
      <c r="AI453">
        <v>4.75</v>
      </c>
      <c r="AJ453">
        <v>4.8</v>
      </c>
      <c r="AK453">
        <v>1.9</v>
      </c>
      <c r="AL453">
        <v>0.2</v>
      </c>
      <c r="AM453">
        <v>24</v>
      </c>
      <c r="AN453">
        <v>30</v>
      </c>
      <c r="AO453">
        <v>10</v>
      </c>
      <c r="AP453">
        <v>18</v>
      </c>
      <c r="AQ453" t="s">
        <v>2793</v>
      </c>
      <c r="AR453">
        <v>45</v>
      </c>
      <c r="AS453" t="s">
        <v>35</v>
      </c>
      <c r="AT453" t="s">
        <v>35</v>
      </c>
      <c r="AU453" s="4">
        <f>HYPERLINK("http://mlb.mlb.com/team/player.jsp?player_id=641745",641745)</f>
        <v>641745</v>
      </c>
      <c r="AV453">
        <v>178</v>
      </c>
      <c r="AW453">
        <v>1178</v>
      </c>
      <c r="AX453">
        <v>0</v>
      </c>
    </row>
    <row r="454" spans="1:50" x14ac:dyDescent="0.3">
      <c r="A454" s="4">
        <f>HYPERLINK("http://legacy.baseballprospectus.com/p/102382",102382)</f>
        <v>102382</v>
      </c>
      <c r="B454" t="s">
        <v>604</v>
      </c>
      <c r="C454" t="s">
        <v>2016</v>
      </c>
      <c r="D454" s="10">
        <v>32174</v>
      </c>
      <c r="E454" t="s">
        <v>33</v>
      </c>
      <c r="F454" t="s">
        <v>33</v>
      </c>
      <c r="G454">
        <v>76</v>
      </c>
      <c r="H454">
        <v>190</v>
      </c>
      <c r="I454">
        <v>2018</v>
      </c>
      <c r="J454" s="4" t="str">
        <f>HYPERLINK("http://legacy.baseballprospectus.com/fantasy/dc/index.php?tm=CHN","CHN")</f>
        <v>CHN</v>
      </c>
      <c r="K454" t="s">
        <v>100</v>
      </c>
      <c r="L454" t="s">
        <v>34</v>
      </c>
      <c r="M454">
        <v>30</v>
      </c>
      <c r="N454">
        <v>1.7</v>
      </c>
      <c r="O454">
        <v>0.6</v>
      </c>
      <c r="P454">
        <v>0</v>
      </c>
      <c r="Q454">
        <v>0</v>
      </c>
      <c r="R454">
        <v>1.4</v>
      </c>
      <c r="S454">
        <v>0</v>
      </c>
      <c r="T454">
        <v>33.5</v>
      </c>
      <c r="U454">
        <v>0</v>
      </c>
      <c r="V454" s="9">
        <v>35.666699999999999</v>
      </c>
      <c r="W454">
        <v>150</v>
      </c>
      <c r="X454">
        <v>30</v>
      </c>
      <c r="Y454">
        <v>5</v>
      </c>
      <c r="Z454">
        <v>18</v>
      </c>
      <c r="AA454" t="s">
        <v>1680</v>
      </c>
      <c r="AB454">
        <v>2</v>
      </c>
      <c r="AC454">
        <v>41</v>
      </c>
      <c r="AD454">
        <v>4.5999999999999996</v>
      </c>
      <c r="AE454">
        <v>10.3</v>
      </c>
      <c r="AF454" s="5">
        <v>0.38879087567329401</v>
      </c>
      <c r="AG454">
        <v>0.30099999999999999</v>
      </c>
      <c r="AH454">
        <v>1.36</v>
      </c>
      <c r="AI454">
        <v>4.28</v>
      </c>
      <c r="AJ454">
        <v>4.7</v>
      </c>
      <c r="AK454">
        <v>2.2999999999999998</v>
      </c>
      <c r="AL454">
        <v>0.2</v>
      </c>
      <c r="AM454">
        <v>16</v>
      </c>
      <c r="AN454">
        <v>22</v>
      </c>
      <c r="AO454">
        <v>16</v>
      </c>
      <c r="AP454">
        <v>20</v>
      </c>
      <c r="AQ454" t="s">
        <v>2951</v>
      </c>
      <c r="AR454">
        <v>45</v>
      </c>
      <c r="AS454" t="s">
        <v>36</v>
      </c>
      <c r="AT454" t="s">
        <v>35</v>
      </c>
      <c r="AU454" s="4">
        <f>HYPERLINK("http://mlb.mlb.com/team/player.jsp?player_id=633831",633831)</f>
        <v>633831</v>
      </c>
      <c r="AV454">
        <v>0</v>
      </c>
      <c r="AW454">
        <v>0</v>
      </c>
      <c r="AX454">
        <v>0</v>
      </c>
    </row>
    <row r="455" spans="1:50" x14ac:dyDescent="0.3">
      <c r="A455" s="4">
        <f>HYPERLINK("http://legacy.baseballprospectus.com/p/103082",103082)</f>
        <v>103082</v>
      </c>
      <c r="B455" t="s">
        <v>2143</v>
      </c>
      <c r="C455" t="s">
        <v>2144</v>
      </c>
      <c r="D455" s="10">
        <v>34952</v>
      </c>
      <c r="E455" t="s">
        <v>33</v>
      </c>
      <c r="F455" t="s">
        <v>33</v>
      </c>
      <c r="G455">
        <v>72</v>
      </c>
      <c r="H455">
        <v>175</v>
      </c>
      <c r="I455">
        <v>2018</v>
      </c>
      <c r="J455" s="4" t="str">
        <f>HYPERLINK("http://legacy.baseballprospectus.com/fantasy/dc/index.php?tm=DET","DET")</f>
        <v>DET</v>
      </c>
      <c r="K455" t="s">
        <v>95</v>
      </c>
      <c r="L455" t="s">
        <v>34</v>
      </c>
      <c r="M455">
        <v>22</v>
      </c>
      <c r="N455">
        <v>1.9</v>
      </c>
      <c r="O455">
        <v>0.7</v>
      </c>
      <c r="P455">
        <v>0</v>
      </c>
      <c r="Q455">
        <v>0</v>
      </c>
      <c r="R455">
        <v>1.6</v>
      </c>
      <c r="S455">
        <v>0</v>
      </c>
      <c r="T455">
        <v>40.4</v>
      </c>
      <c r="U455">
        <v>0</v>
      </c>
      <c r="V455" s="9">
        <v>42.666699999999999</v>
      </c>
      <c r="W455">
        <v>191</v>
      </c>
      <c r="X455">
        <v>43</v>
      </c>
      <c r="Y455">
        <v>8</v>
      </c>
      <c r="Z455">
        <v>20</v>
      </c>
      <c r="AA455" t="s">
        <v>1680</v>
      </c>
      <c r="AB455">
        <v>2</v>
      </c>
      <c r="AC455">
        <v>51</v>
      </c>
      <c r="AD455">
        <v>4.3</v>
      </c>
      <c r="AE455">
        <v>10.6</v>
      </c>
      <c r="AF455" s="5">
        <v>0.43693849444389299</v>
      </c>
      <c r="AG455">
        <v>0.32300000000000001</v>
      </c>
      <c r="AH455">
        <v>1.49</v>
      </c>
      <c r="AI455">
        <v>4.96</v>
      </c>
      <c r="AJ455">
        <v>5</v>
      </c>
      <c r="AK455">
        <v>1.5</v>
      </c>
      <c r="AL455">
        <v>0.2</v>
      </c>
      <c r="AM455">
        <v>1</v>
      </c>
      <c r="AN455">
        <v>1</v>
      </c>
      <c r="AO455">
        <v>1</v>
      </c>
      <c r="AP455">
        <v>2</v>
      </c>
      <c r="AQ455" t="s">
        <v>3115</v>
      </c>
      <c r="AR455">
        <v>2</v>
      </c>
      <c r="AS455" t="s">
        <v>36</v>
      </c>
      <c r="AT455" t="s">
        <v>35</v>
      </c>
      <c r="AU455" s="4">
        <f>HYPERLINK("http://mlb.mlb.com/team/player.jsp?player_id=642575",642575)</f>
        <v>642575</v>
      </c>
      <c r="AV455">
        <v>0</v>
      </c>
      <c r="AW455">
        <v>0</v>
      </c>
      <c r="AX455">
        <v>0</v>
      </c>
    </row>
    <row r="456" spans="1:50" x14ac:dyDescent="0.3">
      <c r="A456" s="4">
        <f>HYPERLINK("http://legacy.baseballprospectus.com/p/104803",104803)</f>
        <v>104803</v>
      </c>
      <c r="B456" t="s">
        <v>1766</v>
      </c>
      <c r="C456" t="s">
        <v>355</v>
      </c>
      <c r="D456" s="10">
        <v>34129</v>
      </c>
      <c r="E456" t="s">
        <v>33</v>
      </c>
      <c r="F456" t="s">
        <v>33</v>
      </c>
      <c r="G456">
        <v>74</v>
      </c>
      <c r="H456">
        <v>235</v>
      </c>
      <c r="I456">
        <v>2018</v>
      </c>
      <c r="J456" s="4" t="str">
        <f>HYPERLINK("http://legacy.baseballprospectus.com/fantasy/dc/index.php?tm=NYA","NYA")</f>
        <v>NYA</v>
      </c>
      <c r="K456" t="s">
        <v>95</v>
      </c>
      <c r="L456" t="s">
        <v>34</v>
      </c>
      <c r="M456">
        <v>25</v>
      </c>
      <c r="N456">
        <v>1.3</v>
      </c>
      <c r="O456">
        <v>1.1000000000000001</v>
      </c>
      <c r="P456">
        <v>0</v>
      </c>
      <c r="Q456">
        <v>0</v>
      </c>
      <c r="R456">
        <v>0</v>
      </c>
      <c r="S456">
        <v>1</v>
      </c>
      <c r="T456">
        <v>23</v>
      </c>
      <c r="U456">
        <v>0</v>
      </c>
      <c r="V456" s="9">
        <v>24.666699999999999</v>
      </c>
      <c r="W456">
        <v>106</v>
      </c>
      <c r="X456">
        <v>23</v>
      </c>
      <c r="Y456">
        <v>4</v>
      </c>
      <c r="Z456">
        <v>9</v>
      </c>
      <c r="AA456">
        <v>1</v>
      </c>
      <c r="AB456">
        <v>1</v>
      </c>
      <c r="AC456">
        <v>27</v>
      </c>
      <c r="AD456">
        <v>3.4</v>
      </c>
      <c r="AE456">
        <v>9.6999999999999993</v>
      </c>
      <c r="AF456" s="5">
        <v>0.42</v>
      </c>
      <c r="AG456">
        <v>0.29299999999999998</v>
      </c>
      <c r="AH456">
        <v>1.3</v>
      </c>
      <c r="AI456">
        <v>4.28</v>
      </c>
      <c r="AJ456">
        <v>4.47</v>
      </c>
      <c r="AK456">
        <v>2</v>
      </c>
      <c r="AL456">
        <v>0.2</v>
      </c>
      <c r="AM456">
        <v>32</v>
      </c>
      <c r="AN456">
        <v>57</v>
      </c>
      <c r="AO456">
        <v>18</v>
      </c>
      <c r="AP456">
        <v>24</v>
      </c>
      <c r="AQ456" t="s">
        <v>2679</v>
      </c>
      <c r="AR456">
        <v>82</v>
      </c>
      <c r="AS456" t="s">
        <v>35</v>
      </c>
      <c r="AT456" t="s">
        <v>35</v>
      </c>
      <c r="AU456" s="4">
        <f>HYPERLINK("http://mlb.mlb.com/team/player.jsp?player_id=656547",656547)</f>
        <v>656547</v>
      </c>
      <c r="AV456">
        <v>300</v>
      </c>
      <c r="AW456">
        <v>1300</v>
      </c>
      <c r="AX456">
        <v>39.299999999999997</v>
      </c>
    </row>
    <row r="457" spans="1:50" x14ac:dyDescent="0.3">
      <c r="A457" s="4">
        <f>HYPERLINK("http://legacy.baseballprospectus.com/p/104865",104865)</f>
        <v>104865</v>
      </c>
      <c r="B457" t="s">
        <v>2680</v>
      </c>
      <c r="C457" t="s">
        <v>272</v>
      </c>
      <c r="D457" s="10">
        <v>34054</v>
      </c>
      <c r="E457" t="s">
        <v>33</v>
      </c>
      <c r="F457" t="s">
        <v>33</v>
      </c>
      <c r="G457">
        <v>75</v>
      </c>
      <c r="H457">
        <v>220</v>
      </c>
      <c r="I457">
        <v>2018</v>
      </c>
      <c r="J457" s="4" t="str">
        <f>HYPERLINK("http://legacy.baseballprospectus.com/fantasy/dc/index.php?tm=KCA","KCA")</f>
        <v>KCA</v>
      </c>
      <c r="K457" t="s">
        <v>95</v>
      </c>
      <c r="L457" t="s">
        <v>34</v>
      </c>
      <c r="M457">
        <v>25</v>
      </c>
      <c r="N457">
        <v>1.4</v>
      </c>
      <c r="O457">
        <v>1.6</v>
      </c>
      <c r="P457">
        <v>0</v>
      </c>
      <c r="Q457">
        <v>0</v>
      </c>
      <c r="R457">
        <v>0</v>
      </c>
      <c r="S457">
        <v>1</v>
      </c>
      <c r="T457">
        <v>29</v>
      </c>
      <c r="U457">
        <v>0</v>
      </c>
      <c r="V457" s="9">
        <v>31</v>
      </c>
      <c r="W457">
        <v>131</v>
      </c>
      <c r="X457">
        <v>30</v>
      </c>
      <c r="Y457">
        <v>4</v>
      </c>
      <c r="Z457">
        <v>10</v>
      </c>
      <c r="AA457">
        <v>1</v>
      </c>
      <c r="AB457">
        <v>1</v>
      </c>
      <c r="AC457">
        <v>25</v>
      </c>
      <c r="AD457">
        <v>2.9</v>
      </c>
      <c r="AE457">
        <v>7.1</v>
      </c>
      <c r="AF457" s="5">
        <v>0.51200000000000001</v>
      </c>
      <c r="AG457">
        <v>0.29099999999999998</v>
      </c>
      <c r="AH457">
        <v>1.3</v>
      </c>
      <c r="AI457">
        <v>4.5599999999999996</v>
      </c>
      <c r="AJ457">
        <v>4.6500000000000004</v>
      </c>
      <c r="AK457">
        <v>1.9</v>
      </c>
      <c r="AL457">
        <v>0.2</v>
      </c>
      <c r="AM457">
        <v>24</v>
      </c>
      <c r="AN457">
        <v>38</v>
      </c>
      <c r="AO457">
        <v>7</v>
      </c>
      <c r="AP457">
        <v>31</v>
      </c>
      <c r="AQ457" t="s">
        <v>2681</v>
      </c>
      <c r="AR457">
        <v>54</v>
      </c>
      <c r="AS457" t="s">
        <v>35</v>
      </c>
      <c r="AT457" t="s">
        <v>35</v>
      </c>
      <c r="AU457" s="4">
        <f>HYPERLINK("http://mlb.mlb.com/team/player.jsp?player_id=656805",656805)</f>
        <v>656805</v>
      </c>
      <c r="AV457">
        <v>179</v>
      </c>
      <c r="AW457">
        <v>1179</v>
      </c>
      <c r="AX457">
        <v>0</v>
      </c>
    </row>
    <row r="458" spans="1:50" x14ac:dyDescent="0.3">
      <c r="A458" s="4">
        <f>HYPERLINK("http://legacy.baseballprospectus.com/p/105425",105425)</f>
        <v>105425</v>
      </c>
      <c r="B458" t="s">
        <v>1593</v>
      </c>
      <c r="C458" t="s">
        <v>146</v>
      </c>
      <c r="D458" s="10">
        <v>33977</v>
      </c>
      <c r="E458" t="s">
        <v>33</v>
      </c>
      <c r="F458" t="s">
        <v>33</v>
      </c>
      <c r="G458">
        <v>77</v>
      </c>
      <c r="H458">
        <v>225</v>
      </c>
      <c r="I458">
        <v>2018</v>
      </c>
      <c r="J458" s="4" t="str">
        <f>HYPERLINK("http://legacy.baseballprospectus.com/fantasy/dc/index.php?tm=COL","COL")</f>
        <v>COL</v>
      </c>
      <c r="K458" t="s">
        <v>100</v>
      </c>
      <c r="L458" t="s">
        <v>34</v>
      </c>
      <c r="M458">
        <v>25</v>
      </c>
      <c r="N458">
        <v>3.9</v>
      </c>
      <c r="O458">
        <v>4.8</v>
      </c>
      <c r="P458">
        <v>6</v>
      </c>
      <c r="Q458">
        <v>0</v>
      </c>
      <c r="R458">
        <v>0</v>
      </c>
      <c r="S458">
        <v>0</v>
      </c>
      <c r="T458">
        <v>13</v>
      </c>
      <c r="U458">
        <v>13</v>
      </c>
      <c r="V458" s="9">
        <v>69</v>
      </c>
      <c r="W458">
        <v>302</v>
      </c>
      <c r="X458">
        <v>71</v>
      </c>
      <c r="Y458">
        <v>12</v>
      </c>
      <c r="Z458">
        <v>27</v>
      </c>
      <c r="AA458">
        <v>1</v>
      </c>
      <c r="AB458">
        <v>3</v>
      </c>
      <c r="AC458">
        <v>61</v>
      </c>
      <c r="AD458">
        <v>3.5</v>
      </c>
      <c r="AE458">
        <v>8</v>
      </c>
      <c r="AF458" s="5">
        <v>0.44700000000000001</v>
      </c>
      <c r="AG458">
        <v>0.29699999999999999</v>
      </c>
      <c r="AH458">
        <v>1.43</v>
      </c>
      <c r="AI458">
        <v>4.82</v>
      </c>
      <c r="AJ458">
        <v>5.01</v>
      </c>
      <c r="AK458">
        <v>1.8</v>
      </c>
      <c r="AL458">
        <v>0.2</v>
      </c>
      <c r="AM458">
        <v>37</v>
      </c>
      <c r="AN458">
        <v>67</v>
      </c>
      <c r="AO458">
        <v>11</v>
      </c>
      <c r="AP458">
        <v>17</v>
      </c>
      <c r="AQ458" t="s">
        <v>2600</v>
      </c>
      <c r="AR458">
        <v>93</v>
      </c>
      <c r="AS458" t="s">
        <v>35</v>
      </c>
      <c r="AT458" t="s">
        <v>36</v>
      </c>
      <c r="AU458" s="4">
        <f>HYPERLINK("http://mlb.mlb.com/team/player.jsp?player_id=656546",656546)</f>
        <v>656546</v>
      </c>
      <c r="AV458">
        <v>1056</v>
      </c>
      <c r="AW458">
        <v>56</v>
      </c>
      <c r="AX458">
        <v>99.3</v>
      </c>
    </row>
    <row r="459" spans="1:50" x14ac:dyDescent="0.3">
      <c r="A459" s="4">
        <f>HYPERLINK("http://legacy.baseballprospectus.com/p/105455",105455)</f>
        <v>105455</v>
      </c>
      <c r="B459" t="s">
        <v>101</v>
      </c>
      <c r="C459" t="s">
        <v>930</v>
      </c>
      <c r="D459" s="10">
        <v>34556</v>
      </c>
      <c r="E459" t="s">
        <v>33</v>
      </c>
      <c r="F459" t="s">
        <v>33</v>
      </c>
      <c r="G459">
        <v>73</v>
      </c>
      <c r="H459">
        <v>210</v>
      </c>
      <c r="I459">
        <v>2018</v>
      </c>
      <c r="J459" s="4" t="str">
        <f>HYPERLINK("http://legacy.baseballprospectus.com/fantasy/dc/index.php?tm=NYA","NYA")</f>
        <v>NYA</v>
      </c>
      <c r="K459" t="s">
        <v>95</v>
      </c>
      <c r="L459" t="s">
        <v>34</v>
      </c>
      <c r="M459">
        <v>23</v>
      </c>
      <c r="N459">
        <v>2</v>
      </c>
      <c r="O459">
        <v>1.5</v>
      </c>
      <c r="P459">
        <v>2</v>
      </c>
      <c r="Q459">
        <v>0</v>
      </c>
      <c r="R459">
        <v>0</v>
      </c>
      <c r="S459">
        <v>0</v>
      </c>
      <c r="T459">
        <v>5</v>
      </c>
      <c r="U459">
        <v>5</v>
      </c>
      <c r="V459" s="9">
        <v>28.666699999999999</v>
      </c>
      <c r="W459">
        <v>120</v>
      </c>
      <c r="X459">
        <v>27</v>
      </c>
      <c r="Y459">
        <v>5</v>
      </c>
      <c r="Z459">
        <v>11</v>
      </c>
      <c r="AA459">
        <v>0</v>
      </c>
      <c r="AB459">
        <v>1</v>
      </c>
      <c r="AC459">
        <v>29</v>
      </c>
      <c r="AD459">
        <v>3.6</v>
      </c>
      <c r="AE459">
        <v>9.3000000000000007</v>
      </c>
      <c r="AF459" s="5">
        <v>0.41899999999999998</v>
      </c>
      <c r="AG459">
        <v>0.28699999999999998</v>
      </c>
      <c r="AH459">
        <v>1.28</v>
      </c>
      <c r="AI459">
        <v>4.6900000000000004</v>
      </c>
      <c r="AJ459">
        <v>5.0199999999999996</v>
      </c>
      <c r="AK459">
        <v>1.5</v>
      </c>
      <c r="AL459">
        <v>0.2</v>
      </c>
      <c r="AM459">
        <v>21</v>
      </c>
      <c r="AN459">
        <v>41</v>
      </c>
      <c r="AO459">
        <v>24</v>
      </c>
      <c r="AP459">
        <v>36</v>
      </c>
      <c r="AQ459" t="s">
        <v>2810</v>
      </c>
      <c r="AR459">
        <v>71</v>
      </c>
      <c r="AS459" t="s">
        <v>35</v>
      </c>
      <c r="AT459" t="s">
        <v>35</v>
      </c>
      <c r="AU459" s="4">
        <f>HYPERLINK("http://mlb.mlb.com/team/player.jsp?player_id=664856",664856)</f>
        <v>664856</v>
      </c>
      <c r="AV459">
        <v>191</v>
      </c>
      <c r="AW459">
        <v>1191</v>
      </c>
      <c r="AX459">
        <v>0</v>
      </c>
    </row>
    <row r="460" spans="1:50" x14ac:dyDescent="0.3">
      <c r="A460" s="4">
        <f>HYPERLINK("http://legacy.baseballprospectus.com/p/104777",104777)</f>
        <v>104777</v>
      </c>
      <c r="B460" t="s">
        <v>2044</v>
      </c>
      <c r="C460" t="s">
        <v>135</v>
      </c>
      <c r="D460" s="10">
        <v>34007</v>
      </c>
      <c r="E460" t="s">
        <v>33</v>
      </c>
      <c r="F460" t="s">
        <v>33</v>
      </c>
      <c r="G460">
        <v>74</v>
      </c>
      <c r="H460">
        <v>215</v>
      </c>
      <c r="I460">
        <v>2018</v>
      </c>
      <c r="J460" s="4" t="str">
        <f>HYPERLINK("http://legacy.baseballprospectus.com/fantasy/dc/index.php?tm=NYA","NYA")</f>
        <v>NYA</v>
      </c>
      <c r="K460" t="s">
        <v>95</v>
      </c>
      <c r="L460" t="s">
        <v>34</v>
      </c>
      <c r="M460">
        <v>25</v>
      </c>
      <c r="N460">
        <v>2.2999999999999998</v>
      </c>
      <c r="O460">
        <v>0.8</v>
      </c>
      <c r="P460">
        <v>0</v>
      </c>
      <c r="Q460">
        <v>0</v>
      </c>
      <c r="R460">
        <v>1.9</v>
      </c>
      <c r="S460">
        <v>0</v>
      </c>
      <c r="T460">
        <v>48.6</v>
      </c>
      <c r="U460">
        <v>0</v>
      </c>
      <c r="V460" s="9">
        <v>51.333300000000001</v>
      </c>
      <c r="W460">
        <v>220</v>
      </c>
      <c r="X460">
        <v>45</v>
      </c>
      <c r="Y460">
        <v>9</v>
      </c>
      <c r="Z460">
        <v>23</v>
      </c>
      <c r="AA460" t="s">
        <v>1680</v>
      </c>
      <c r="AB460">
        <v>2</v>
      </c>
      <c r="AC460">
        <v>58</v>
      </c>
      <c r="AD460">
        <v>4</v>
      </c>
      <c r="AE460">
        <v>10.1</v>
      </c>
      <c r="AF460" s="5">
        <v>0.42052304744720398</v>
      </c>
      <c r="AG460">
        <v>0.28199999999999997</v>
      </c>
      <c r="AH460">
        <v>1.33</v>
      </c>
      <c r="AI460">
        <v>4.82</v>
      </c>
      <c r="AJ460">
        <v>5.03</v>
      </c>
      <c r="AK460">
        <v>1.5</v>
      </c>
      <c r="AL460">
        <v>0.2</v>
      </c>
      <c r="AM460">
        <v>9</v>
      </c>
      <c r="AN460">
        <v>15</v>
      </c>
      <c r="AO460">
        <v>13</v>
      </c>
      <c r="AP460">
        <v>20</v>
      </c>
      <c r="AQ460" t="s">
        <v>2684</v>
      </c>
      <c r="AR460">
        <v>32</v>
      </c>
      <c r="AS460" t="s">
        <v>36</v>
      </c>
      <c r="AT460" t="s">
        <v>35</v>
      </c>
      <c r="AU460" s="4">
        <f>HYPERLINK("http://mlb.mlb.com/team/player.jsp?player_id=656420",656420)</f>
        <v>656420</v>
      </c>
      <c r="AV460">
        <v>0</v>
      </c>
      <c r="AW460">
        <v>0</v>
      </c>
      <c r="AX460">
        <v>0</v>
      </c>
    </row>
    <row r="461" spans="1:50" x14ac:dyDescent="0.3">
      <c r="A461" s="4">
        <f>HYPERLINK("http://legacy.baseballprospectus.com/p/105962",105962)</f>
        <v>105962</v>
      </c>
      <c r="B461" t="s">
        <v>1637</v>
      </c>
      <c r="C461" t="s">
        <v>1672</v>
      </c>
      <c r="D461" s="10">
        <v>34260</v>
      </c>
      <c r="E461" t="s">
        <v>33</v>
      </c>
      <c r="F461" t="s">
        <v>33</v>
      </c>
      <c r="G461">
        <v>74</v>
      </c>
      <c r="H461">
        <v>200</v>
      </c>
      <c r="I461">
        <v>2018</v>
      </c>
      <c r="J461" s="4" t="str">
        <f>HYPERLINK("http://legacy.baseballprospectus.com/fantasy/dc/index.php?tm=HOU","HOU")</f>
        <v>HOU</v>
      </c>
      <c r="K461" t="s">
        <v>95</v>
      </c>
      <c r="L461" t="s">
        <v>34</v>
      </c>
      <c r="M461">
        <v>24</v>
      </c>
      <c r="N461">
        <v>1.7</v>
      </c>
      <c r="O461">
        <v>0.6</v>
      </c>
      <c r="P461">
        <v>0</v>
      </c>
      <c r="Q461">
        <v>0</v>
      </c>
      <c r="R461">
        <v>1.5</v>
      </c>
      <c r="S461">
        <v>0</v>
      </c>
      <c r="T461">
        <v>35.700000000000003</v>
      </c>
      <c r="U461">
        <v>0</v>
      </c>
      <c r="V461" s="9">
        <v>37.666699999999999</v>
      </c>
      <c r="W461">
        <v>164</v>
      </c>
      <c r="X461">
        <v>37</v>
      </c>
      <c r="Y461">
        <v>6</v>
      </c>
      <c r="Z461">
        <v>16</v>
      </c>
      <c r="AA461" t="s">
        <v>1680</v>
      </c>
      <c r="AB461">
        <v>1</v>
      </c>
      <c r="AC461">
        <v>41</v>
      </c>
      <c r="AD461">
        <v>3.9</v>
      </c>
      <c r="AE461">
        <v>9.8000000000000007</v>
      </c>
      <c r="AF461" s="5">
        <v>0.48129060864448497</v>
      </c>
      <c r="AG461">
        <v>0.31</v>
      </c>
      <c r="AH461">
        <v>1.41</v>
      </c>
      <c r="AI461">
        <v>4.66</v>
      </c>
      <c r="AJ461">
        <v>4.96</v>
      </c>
      <c r="AK461">
        <v>1.5</v>
      </c>
      <c r="AL461">
        <v>0.2</v>
      </c>
      <c r="AM461">
        <v>10</v>
      </c>
      <c r="AN461">
        <v>11</v>
      </c>
      <c r="AO461">
        <v>7</v>
      </c>
      <c r="AP461">
        <v>11</v>
      </c>
      <c r="AQ461" t="s">
        <v>2814</v>
      </c>
      <c r="AR461">
        <v>18</v>
      </c>
      <c r="AS461" t="s">
        <v>36</v>
      </c>
      <c r="AT461" t="s">
        <v>35</v>
      </c>
      <c r="AU461" s="4">
        <f>HYPERLINK("http://mlb.mlb.com/team/player.jsp?player_id=621068",621068)</f>
        <v>621068</v>
      </c>
      <c r="AV461">
        <v>0</v>
      </c>
      <c r="AW461">
        <v>0</v>
      </c>
      <c r="AX461">
        <v>0</v>
      </c>
    </row>
    <row r="462" spans="1:50" x14ac:dyDescent="0.3">
      <c r="A462" s="4">
        <f>HYPERLINK("http://legacy.baseballprospectus.com/p/107552",107552)</f>
        <v>107552</v>
      </c>
      <c r="B462" t="s">
        <v>1464</v>
      </c>
      <c r="C462" t="s">
        <v>266</v>
      </c>
      <c r="D462" s="10">
        <v>34767</v>
      </c>
      <c r="E462" t="s">
        <v>33</v>
      </c>
      <c r="F462" t="s">
        <v>33</v>
      </c>
      <c r="G462">
        <v>75</v>
      </c>
      <c r="H462">
        <v>205</v>
      </c>
      <c r="I462">
        <v>2018</v>
      </c>
      <c r="J462" s="4" t="str">
        <f>HYPERLINK("http://legacy.baseballprospectus.com/fantasy/dc/index.php?tm=CHA","CHA")</f>
        <v>CHA</v>
      </c>
      <c r="K462" t="s">
        <v>95</v>
      </c>
      <c r="L462" t="s">
        <v>34</v>
      </c>
      <c r="M462">
        <v>23</v>
      </c>
      <c r="N462">
        <v>0.8</v>
      </c>
      <c r="O462">
        <v>0.7</v>
      </c>
      <c r="P462">
        <v>0</v>
      </c>
      <c r="Q462">
        <v>0</v>
      </c>
      <c r="R462">
        <v>0</v>
      </c>
      <c r="S462">
        <v>0</v>
      </c>
      <c r="T462">
        <v>15</v>
      </c>
      <c r="U462">
        <v>0</v>
      </c>
      <c r="V462" s="9">
        <v>15.666700000000001</v>
      </c>
      <c r="W462">
        <v>67</v>
      </c>
      <c r="X462">
        <v>13</v>
      </c>
      <c r="Y462">
        <v>2</v>
      </c>
      <c r="Z462">
        <v>8</v>
      </c>
      <c r="AA462">
        <v>1</v>
      </c>
      <c r="AB462">
        <v>1</v>
      </c>
      <c r="AC462">
        <v>20</v>
      </c>
      <c r="AD462">
        <v>4.4000000000000004</v>
      </c>
      <c r="AE462">
        <v>11.7</v>
      </c>
      <c r="AF462" s="5">
        <v>0.47499999999999998</v>
      </c>
      <c r="AG462">
        <v>0.29599999999999999</v>
      </c>
      <c r="AH462">
        <v>1.31</v>
      </c>
      <c r="AI462">
        <v>3.52</v>
      </c>
      <c r="AJ462">
        <v>3.85</v>
      </c>
      <c r="AK462">
        <v>2.2999999999999998</v>
      </c>
      <c r="AL462">
        <v>0.2</v>
      </c>
      <c r="AM462">
        <v>11</v>
      </c>
      <c r="AN462">
        <v>13</v>
      </c>
      <c r="AO462">
        <v>9</v>
      </c>
      <c r="AP462">
        <v>16</v>
      </c>
      <c r="AQ462" t="s">
        <v>2970</v>
      </c>
      <c r="AR462">
        <v>27</v>
      </c>
      <c r="AS462" t="s">
        <v>35</v>
      </c>
      <c r="AT462" t="s">
        <v>35</v>
      </c>
      <c r="AU462" s="4">
        <f>HYPERLINK("http://mlb.mlb.com/team/player.jsp?player_id=641420",641420)</f>
        <v>641420</v>
      </c>
      <c r="AV462">
        <v>348</v>
      </c>
      <c r="AW462">
        <v>1348</v>
      </c>
      <c r="AX462">
        <v>0</v>
      </c>
    </row>
    <row r="463" spans="1:50" x14ac:dyDescent="0.3">
      <c r="A463" s="4">
        <f>HYPERLINK("http://legacy.baseballprospectus.com/p/106709",106709)</f>
        <v>106709</v>
      </c>
      <c r="B463" t="s">
        <v>3297</v>
      </c>
      <c r="C463" t="s">
        <v>739</v>
      </c>
      <c r="D463" s="10">
        <v>33963</v>
      </c>
      <c r="E463" t="s">
        <v>33</v>
      </c>
      <c r="F463" t="s">
        <v>33</v>
      </c>
      <c r="G463">
        <v>74</v>
      </c>
      <c r="H463">
        <v>235</v>
      </c>
      <c r="I463">
        <v>2018</v>
      </c>
      <c r="J463" s="4" t="str">
        <f>HYPERLINK("http://legacy.baseballprospectus.com/fantasy/dc/index.php?tm=CIN","CIN")</f>
        <v>CIN</v>
      </c>
      <c r="K463" t="s">
        <v>100</v>
      </c>
      <c r="L463" t="s">
        <v>34</v>
      </c>
      <c r="M463">
        <v>25</v>
      </c>
      <c r="N463">
        <v>3.4</v>
      </c>
      <c r="O463">
        <v>3.1</v>
      </c>
      <c r="P463">
        <v>4</v>
      </c>
      <c r="Q463">
        <v>0</v>
      </c>
      <c r="R463">
        <v>0.7</v>
      </c>
      <c r="S463">
        <v>0</v>
      </c>
      <c r="T463">
        <v>27.6</v>
      </c>
      <c r="U463">
        <v>9.1</v>
      </c>
      <c r="V463" s="9">
        <v>59.333300000000001</v>
      </c>
      <c r="W463">
        <v>253</v>
      </c>
      <c r="X463">
        <v>53</v>
      </c>
      <c r="Y463">
        <v>11</v>
      </c>
      <c r="Z463">
        <v>31</v>
      </c>
      <c r="AA463" t="s">
        <v>1680</v>
      </c>
      <c r="AB463">
        <v>4</v>
      </c>
      <c r="AC463">
        <v>75</v>
      </c>
      <c r="AD463">
        <v>4.7</v>
      </c>
      <c r="AE463">
        <v>11.4</v>
      </c>
      <c r="AF463" s="5">
        <v>0.42393374443054199</v>
      </c>
      <c r="AG463">
        <v>0.31900000000000001</v>
      </c>
      <c r="AH463">
        <v>1.42</v>
      </c>
      <c r="AI463">
        <v>4.8</v>
      </c>
      <c r="AJ463">
        <v>5.17</v>
      </c>
      <c r="AK463">
        <v>1.9</v>
      </c>
      <c r="AL463">
        <v>0.2</v>
      </c>
      <c r="AM463">
        <v>13</v>
      </c>
      <c r="AN463">
        <v>16</v>
      </c>
      <c r="AO463">
        <v>2</v>
      </c>
      <c r="AP463">
        <v>12</v>
      </c>
      <c r="AQ463" t="s">
        <v>3298</v>
      </c>
      <c r="AR463">
        <v>19</v>
      </c>
      <c r="AS463" t="s">
        <v>36</v>
      </c>
      <c r="AT463" t="s">
        <v>35</v>
      </c>
      <c r="AU463" s="4">
        <f>HYPERLINK("http://mlb.mlb.com/team/player.jsp?player_id=663432",663432)</f>
        <v>663432</v>
      </c>
      <c r="AV463">
        <v>0</v>
      </c>
      <c r="AW463">
        <v>0</v>
      </c>
      <c r="AX463">
        <v>0</v>
      </c>
    </row>
    <row r="464" spans="1:50" x14ac:dyDescent="0.3">
      <c r="A464" s="4">
        <f>HYPERLINK("http://legacy.baseballprospectus.com/p/107232",107232)</f>
        <v>107232</v>
      </c>
      <c r="B464" t="s">
        <v>2134</v>
      </c>
      <c r="C464" t="s">
        <v>207</v>
      </c>
      <c r="D464" s="10">
        <v>34514</v>
      </c>
      <c r="E464" t="s">
        <v>33</v>
      </c>
      <c r="F464" t="s">
        <v>33</v>
      </c>
      <c r="G464">
        <v>73</v>
      </c>
      <c r="H464">
        <v>180</v>
      </c>
      <c r="I464">
        <v>2018</v>
      </c>
      <c r="J464" s="4" t="str">
        <f>HYPERLINK("http://legacy.baseballprospectus.com/fantasy/dc/index.php?tm=BOS","BOS")</f>
        <v>BOS</v>
      </c>
      <c r="K464" t="s">
        <v>95</v>
      </c>
      <c r="L464" t="s">
        <v>34</v>
      </c>
      <c r="M464">
        <v>24</v>
      </c>
      <c r="N464">
        <v>3.6</v>
      </c>
      <c r="O464">
        <v>4.4000000000000004</v>
      </c>
      <c r="P464">
        <v>5.4</v>
      </c>
      <c r="Q464">
        <v>0</v>
      </c>
      <c r="R464">
        <v>0</v>
      </c>
      <c r="S464">
        <v>0</v>
      </c>
      <c r="T464">
        <v>12.9</v>
      </c>
      <c r="U464">
        <v>12.9</v>
      </c>
      <c r="V464" s="9">
        <v>61.333300000000001</v>
      </c>
      <c r="W464">
        <v>274</v>
      </c>
      <c r="X464">
        <v>68</v>
      </c>
      <c r="Y464">
        <v>11</v>
      </c>
      <c r="Z464">
        <v>26</v>
      </c>
      <c r="AA464" t="s">
        <v>1680</v>
      </c>
      <c r="AB464">
        <v>2</v>
      </c>
      <c r="AC464">
        <v>60</v>
      </c>
      <c r="AD464">
        <v>3.9</v>
      </c>
      <c r="AE464">
        <v>8.8000000000000007</v>
      </c>
      <c r="AF464" s="5">
        <v>0.41398727893829301</v>
      </c>
      <c r="AG464">
        <v>0.32700000000000001</v>
      </c>
      <c r="AH464">
        <v>1.54</v>
      </c>
      <c r="AI464">
        <v>4.93</v>
      </c>
      <c r="AJ464">
        <v>5.4</v>
      </c>
      <c r="AK464">
        <v>1.9</v>
      </c>
      <c r="AL464">
        <v>0.2</v>
      </c>
      <c r="AM464">
        <v>3</v>
      </c>
      <c r="AN464">
        <v>6</v>
      </c>
      <c r="AO464">
        <v>2</v>
      </c>
      <c r="AP464">
        <v>5</v>
      </c>
      <c r="AQ464" t="s">
        <v>2690</v>
      </c>
      <c r="AR464">
        <v>9</v>
      </c>
      <c r="AS464" t="s">
        <v>36</v>
      </c>
      <c r="AT464" t="s">
        <v>35</v>
      </c>
      <c r="AU464" s="4">
        <f>HYPERLINK("http://mlb.mlb.com/team/player.jsp?player_id=664042",664042)</f>
        <v>664042</v>
      </c>
      <c r="AV464">
        <v>151</v>
      </c>
      <c r="AW464">
        <v>1151</v>
      </c>
      <c r="AX464">
        <v>0</v>
      </c>
    </row>
    <row r="465" spans="1:50" x14ac:dyDescent="0.3">
      <c r="A465" s="4">
        <f>HYPERLINK("http://legacy.baseballprospectus.com/p/107919",107919)</f>
        <v>107919</v>
      </c>
      <c r="B465" t="s">
        <v>3228</v>
      </c>
      <c r="C465" t="s">
        <v>307</v>
      </c>
      <c r="D465" s="10">
        <v>34527</v>
      </c>
      <c r="E465" t="s">
        <v>33</v>
      </c>
      <c r="F465" t="s">
        <v>33</v>
      </c>
      <c r="G465">
        <v>75</v>
      </c>
      <c r="H465">
        <v>215</v>
      </c>
      <c r="I465">
        <v>2018</v>
      </c>
      <c r="J465" s="4" t="str">
        <f>HYPERLINK("http://legacy.baseballprospectus.com/fantasy/dc/index.php?tm=PHI","PHI")</f>
        <v>PHI</v>
      </c>
      <c r="K465" t="s">
        <v>100</v>
      </c>
      <c r="L465" t="s">
        <v>34</v>
      </c>
      <c r="M465">
        <v>23</v>
      </c>
      <c r="N465">
        <v>2.1</v>
      </c>
      <c r="O465">
        <v>0.8</v>
      </c>
      <c r="P465">
        <v>0</v>
      </c>
      <c r="Q465">
        <v>0</v>
      </c>
      <c r="R465">
        <v>1.8</v>
      </c>
      <c r="S465">
        <v>0</v>
      </c>
      <c r="T465">
        <v>42.8</v>
      </c>
      <c r="U465">
        <v>0</v>
      </c>
      <c r="V465" s="9">
        <v>45.333300000000001</v>
      </c>
      <c r="W465">
        <v>187</v>
      </c>
      <c r="X465">
        <v>41</v>
      </c>
      <c r="Y465">
        <v>8</v>
      </c>
      <c r="Z465">
        <v>18</v>
      </c>
      <c r="AA465" t="s">
        <v>1680</v>
      </c>
      <c r="AB465">
        <v>2</v>
      </c>
      <c r="AC465">
        <v>58</v>
      </c>
      <c r="AD465">
        <v>3.5</v>
      </c>
      <c r="AE465">
        <v>11.6</v>
      </c>
      <c r="AF465" s="5">
        <v>0.47065150737762401</v>
      </c>
      <c r="AG465">
        <v>0.32300000000000001</v>
      </c>
      <c r="AH465">
        <v>1.29</v>
      </c>
      <c r="AI465">
        <v>4.33</v>
      </c>
      <c r="AJ465">
        <v>4.83</v>
      </c>
      <c r="AK465">
        <v>2.1</v>
      </c>
      <c r="AL465">
        <v>0.2</v>
      </c>
      <c r="AM465">
        <v>8</v>
      </c>
      <c r="AN465">
        <v>8</v>
      </c>
      <c r="AO465">
        <v>4</v>
      </c>
      <c r="AP465">
        <v>7</v>
      </c>
      <c r="AQ465" t="s">
        <v>3229</v>
      </c>
      <c r="AR465">
        <v>15</v>
      </c>
      <c r="AS465" t="s">
        <v>36</v>
      </c>
      <c r="AT465" t="s">
        <v>35</v>
      </c>
      <c r="AU465" s="4">
        <f>HYPERLINK("http://mlb.mlb.com/team/player.jsp?player_id=670456",670456)</f>
        <v>670456</v>
      </c>
      <c r="AV465">
        <v>0</v>
      </c>
      <c r="AW465">
        <v>0</v>
      </c>
      <c r="AX465">
        <v>0</v>
      </c>
    </row>
    <row r="466" spans="1:50" x14ac:dyDescent="0.3">
      <c r="A466" s="4">
        <f>HYPERLINK("http://legacy.baseballprospectus.com/p/108830",108830)</f>
        <v>108830</v>
      </c>
      <c r="B466" t="s">
        <v>2095</v>
      </c>
      <c r="C466" t="s">
        <v>606</v>
      </c>
      <c r="D466" s="10">
        <v>34850</v>
      </c>
      <c r="E466" t="s">
        <v>33</v>
      </c>
      <c r="F466" t="s">
        <v>33</v>
      </c>
      <c r="G466">
        <v>75</v>
      </c>
      <c r="H466">
        <v>195</v>
      </c>
      <c r="I466">
        <v>2018</v>
      </c>
      <c r="J466" s="4" t="str">
        <f>HYPERLINK("http://legacy.baseballprospectus.com/fantasy/dc/index.php?tm=CLE","CLE")</f>
        <v>CLE</v>
      </c>
      <c r="K466" t="s">
        <v>95</v>
      </c>
      <c r="L466" t="s">
        <v>34</v>
      </c>
      <c r="M466">
        <v>23</v>
      </c>
      <c r="N466">
        <v>6.8</v>
      </c>
      <c r="O466">
        <v>7.7</v>
      </c>
      <c r="P466">
        <v>8.1999999999999993</v>
      </c>
      <c r="Q466">
        <v>0</v>
      </c>
      <c r="R466">
        <v>0</v>
      </c>
      <c r="S466">
        <v>0</v>
      </c>
      <c r="T466">
        <v>21.3</v>
      </c>
      <c r="U466">
        <v>21.3</v>
      </c>
      <c r="V466" s="9">
        <v>115.33329999999999</v>
      </c>
      <c r="W466">
        <v>508</v>
      </c>
      <c r="X466">
        <v>134</v>
      </c>
      <c r="Y466">
        <v>25</v>
      </c>
      <c r="Z466">
        <v>36</v>
      </c>
      <c r="AA466" t="s">
        <v>1680</v>
      </c>
      <c r="AB466">
        <v>3</v>
      </c>
      <c r="AC466">
        <v>107</v>
      </c>
      <c r="AD466">
        <v>2.8</v>
      </c>
      <c r="AE466">
        <v>8.3000000000000007</v>
      </c>
      <c r="AF466" s="5">
        <v>0.44542461633682201</v>
      </c>
      <c r="AG466">
        <v>0.32200000000000001</v>
      </c>
      <c r="AH466">
        <v>1.47</v>
      </c>
      <c r="AI466">
        <v>5.17</v>
      </c>
      <c r="AJ466">
        <v>5.55</v>
      </c>
      <c r="AK466">
        <v>1.8</v>
      </c>
      <c r="AL466">
        <v>0.2</v>
      </c>
      <c r="AM466">
        <v>14</v>
      </c>
      <c r="AN466">
        <v>24</v>
      </c>
      <c r="AO466">
        <v>12</v>
      </c>
      <c r="AP466">
        <v>19</v>
      </c>
      <c r="AQ466" t="s">
        <v>2391</v>
      </c>
      <c r="AR466">
        <v>44</v>
      </c>
      <c r="AS466" t="s">
        <v>36</v>
      </c>
      <c r="AT466" t="s">
        <v>35</v>
      </c>
      <c r="AU466" s="4">
        <f>HYPERLINK("http://mlb.mlb.com/team/player.jsp?player_id=669456",669456)</f>
        <v>669456</v>
      </c>
      <c r="AV466">
        <v>166</v>
      </c>
      <c r="AW466">
        <v>1166</v>
      </c>
      <c r="AX466">
        <v>0</v>
      </c>
    </row>
    <row r="467" spans="1:50" x14ac:dyDescent="0.3">
      <c r="A467" s="4">
        <f>HYPERLINK("http://legacy.baseballprospectus.com/p/108888",108888)</f>
        <v>108888</v>
      </c>
      <c r="B467" t="s">
        <v>359</v>
      </c>
      <c r="C467" t="s">
        <v>126</v>
      </c>
      <c r="D467" s="10">
        <v>34808</v>
      </c>
      <c r="E467" t="s">
        <v>33</v>
      </c>
      <c r="F467" t="s">
        <v>33</v>
      </c>
      <c r="G467">
        <v>73</v>
      </c>
      <c r="H467">
        <v>203</v>
      </c>
      <c r="I467">
        <v>2018</v>
      </c>
      <c r="J467" s="4" t="str">
        <f>HYPERLINK("http://legacy.baseballprospectus.com/fantasy/dc/index.php?tm=DET","DET")</f>
        <v>DET</v>
      </c>
      <c r="K467" t="s">
        <v>95</v>
      </c>
      <c r="L467" t="s">
        <v>34</v>
      </c>
      <c r="M467">
        <v>23</v>
      </c>
      <c r="N467">
        <v>1.8</v>
      </c>
      <c r="O467">
        <v>0.6</v>
      </c>
      <c r="P467">
        <v>0</v>
      </c>
      <c r="Q467">
        <v>0</v>
      </c>
      <c r="R467">
        <v>1.5</v>
      </c>
      <c r="S467">
        <v>0</v>
      </c>
      <c r="T467">
        <v>35.799999999999997</v>
      </c>
      <c r="U467">
        <v>0</v>
      </c>
      <c r="V467" s="9">
        <v>38</v>
      </c>
      <c r="W467">
        <v>165</v>
      </c>
      <c r="X467">
        <v>37</v>
      </c>
      <c r="Y467">
        <v>7</v>
      </c>
      <c r="Z467">
        <v>16</v>
      </c>
      <c r="AA467" t="s">
        <v>1680</v>
      </c>
      <c r="AB467">
        <v>1</v>
      </c>
      <c r="AC467">
        <v>48</v>
      </c>
      <c r="AD467">
        <v>3.9</v>
      </c>
      <c r="AE467">
        <v>11.3</v>
      </c>
      <c r="AF467" s="5">
        <v>0.37926334142684898</v>
      </c>
      <c r="AG467">
        <v>0.32200000000000001</v>
      </c>
      <c r="AH467">
        <v>1.41</v>
      </c>
      <c r="AI467">
        <v>4.7300000000000004</v>
      </c>
      <c r="AJ467">
        <v>4.75</v>
      </c>
      <c r="AK467">
        <v>2</v>
      </c>
      <c r="AL467">
        <v>0.2</v>
      </c>
      <c r="AM467">
        <v>10</v>
      </c>
      <c r="AN467">
        <v>10</v>
      </c>
      <c r="AO467">
        <v>4</v>
      </c>
      <c r="AP467">
        <v>12</v>
      </c>
      <c r="AQ467" t="s">
        <v>4940</v>
      </c>
      <c r="AR467">
        <v>20</v>
      </c>
      <c r="AS467" t="s">
        <v>36</v>
      </c>
      <c r="AT467" t="s">
        <v>35</v>
      </c>
      <c r="AU467" s="4">
        <f>HYPERLINK("http://mlb.mlb.com/team/player.jsp?player_id=650530",650530)</f>
        <v>650530</v>
      </c>
      <c r="AV467">
        <v>0</v>
      </c>
      <c r="AW467">
        <v>0</v>
      </c>
      <c r="AX467">
        <v>0</v>
      </c>
    </row>
    <row r="468" spans="1:50" x14ac:dyDescent="0.3">
      <c r="A468" s="4">
        <f>HYPERLINK("http://legacy.baseballprospectus.com/p/110211",110211)</f>
        <v>110211</v>
      </c>
      <c r="B468" t="s">
        <v>2828</v>
      </c>
      <c r="C468" t="s">
        <v>1305</v>
      </c>
      <c r="D468" s="10">
        <v>35185</v>
      </c>
      <c r="E468" t="s">
        <v>9</v>
      </c>
      <c r="F468" t="s">
        <v>9</v>
      </c>
      <c r="G468">
        <v>74</v>
      </c>
      <c r="H468">
        <v>235</v>
      </c>
      <c r="I468">
        <v>2018</v>
      </c>
      <c r="J468" s="4" t="str">
        <f>HYPERLINK("http://legacy.baseballprospectus.com/fantasy/dc/index.php?tm=BAL","BAL")</f>
        <v>BAL</v>
      </c>
      <c r="K468" t="s">
        <v>95</v>
      </c>
      <c r="L468" t="s">
        <v>34</v>
      </c>
      <c r="M468">
        <v>22</v>
      </c>
      <c r="N468">
        <v>2</v>
      </c>
      <c r="O468">
        <v>2.5</v>
      </c>
      <c r="P468">
        <v>2.9</v>
      </c>
      <c r="Q468">
        <v>0</v>
      </c>
      <c r="R468">
        <v>0</v>
      </c>
      <c r="S468">
        <v>0</v>
      </c>
      <c r="T468">
        <v>7.4</v>
      </c>
      <c r="U468">
        <v>7.4</v>
      </c>
      <c r="V468" s="9">
        <v>34.666699999999999</v>
      </c>
      <c r="W468">
        <v>150</v>
      </c>
      <c r="X468">
        <v>35</v>
      </c>
      <c r="Y468">
        <v>8</v>
      </c>
      <c r="Z468">
        <v>13</v>
      </c>
      <c r="AA468" t="s">
        <v>1680</v>
      </c>
      <c r="AB468">
        <v>1</v>
      </c>
      <c r="AC468">
        <v>42</v>
      </c>
      <c r="AD468">
        <v>3.2</v>
      </c>
      <c r="AE468">
        <v>11</v>
      </c>
      <c r="AF468" s="5">
        <v>0.38962835073471003</v>
      </c>
      <c r="AG468">
        <v>0.315</v>
      </c>
      <c r="AH468">
        <v>1.38</v>
      </c>
      <c r="AI468">
        <v>5.24</v>
      </c>
      <c r="AJ468">
        <v>5.3</v>
      </c>
      <c r="AK468">
        <v>1.4</v>
      </c>
      <c r="AL468">
        <v>0.2</v>
      </c>
      <c r="AM468">
        <v>16</v>
      </c>
      <c r="AN468">
        <v>23</v>
      </c>
      <c r="AO468">
        <v>2</v>
      </c>
      <c r="AP468">
        <v>17</v>
      </c>
      <c r="AQ468" t="s">
        <v>2829</v>
      </c>
      <c r="AR468">
        <v>25</v>
      </c>
      <c r="AS468" t="s">
        <v>36</v>
      </c>
      <c r="AT468" t="s">
        <v>35</v>
      </c>
      <c r="AU468" s="4">
        <f>HYPERLINK("http://mlb.mlb.com/team/player.jsp?player_id=675912",675912)</f>
        <v>675912</v>
      </c>
      <c r="AV468">
        <v>0</v>
      </c>
      <c r="AW468">
        <v>0</v>
      </c>
      <c r="AX468">
        <v>0</v>
      </c>
    </row>
    <row r="469" spans="1:50" x14ac:dyDescent="0.3">
      <c r="A469" s="4">
        <f>HYPERLINK("http://legacy.baseballprospectus.com/p/111162",111162)</f>
        <v>111162</v>
      </c>
      <c r="B469" t="s">
        <v>988</v>
      </c>
      <c r="C469" t="s">
        <v>182</v>
      </c>
      <c r="D469" s="10">
        <v>34974</v>
      </c>
      <c r="E469" t="s">
        <v>33</v>
      </c>
      <c r="F469" t="s">
        <v>33</v>
      </c>
      <c r="G469">
        <v>76</v>
      </c>
      <c r="H469">
        <v>200</v>
      </c>
      <c r="I469">
        <v>2018</v>
      </c>
      <c r="J469" s="4" t="str">
        <f>HYPERLINK("http://legacy.baseballprospectus.com/fantasy/dc/index.php?tm=ATL","ATL")</f>
        <v>ATL</v>
      </c>
      <c r="K469" t="s">
        <v>100</v>
      </c>
      <c r="L469" t="s">
        <v>34</v>
      </c>
      <c r="M469">
        <v>22</v>
      </c>
      <c r="N469">
        <v>2.2999999999999998</v>
      </c>
      <c r="O469">
        <v>2.7</v>
      </c>
      <c r="P469">
        <v>4.8</v>
      </c>
      <c r="Q469">
        <v>0</v>
      </c>
      <c r="R469">
        <v>0</v>
      </c>
      <c r="S469">
        <v>0</v>
      </c>
      <c r="T469">
        <v>9.9</v>
      </c>
      <c r="U469">
        <v>9.9</v>
      </c>
      <c r="V469" s="9">
        <v>35.333300000000001</v>
      </c>
      <c r="W469">
        <v>150</v>
      </c>
      <c r="X469">
        <v>34</v>
      </c>
      <c r="Y469">
        <v>5</v>
      </c>
      <c r="Z469">
        <v>15</v>
      </c>
      <c r="AA469" t="s">
        <v>1680</v>
      </c>
      <c r="AB469">
        <v>2</v>
      </c>
      <c r="AC469">
        <v>38</v>
      </c>
      <c r="AD469">
        <v>3.9</v>
      </c>
      <c r="AE469">
        <v>9.6</v>
      </c>
      <c r="AF469" s="5">
        <v>0.519794821739196</v>
      </c>
      <c r="AG469">
        <v>0.32300000000000001</v>
      </c>
      <c r="AH469">
        <v>1.4</v>
      </c>
      <c r="AI469">
        <v>4.3099999999999996</v>
      </c>
      <c r="AJ469">
        <v>5</v>
      </c>
      <c r="AK469">
        <v>2.2999999999999998</v>
      </c>
      <c r="AL469">
        <v>0.2</v>
      </c>
      <c r="AM469">
        <v>5</v>
      </c>
      <c r="AN469">
        <v>7</v>
      </c>
      <c r="AO469">
        <v>2</v>
      </c>
      <c r="AP469">
        <v>9</v>
      </c>
      <c r="AQ469" t="s">
        <v>2692</v>
      </c>
      <c r="AR469">
        <v>11</v>
      </c>
      <c r="AS469" t="s">
        <v>36</v>
      </c>
      <c r="AT469" t="s">
        <v>35</v>
      </c>
      <c r="AU469" s="4">
        <f>HYPERLINK("http://mlb.mlb.com/team/player.jsp?player_id=657140",657140)</f>
        <v>657140</v>
      </c>
      <c r="AV469">
        <v>1163</v>
      </c>
      <c r="AW469">
        <v>163</v>
      </c>
      <c r="AX469">
        <v>0</v>
      </c>
    </row>
    <row r="470" spans="1:50" x14ac:dyDescent="0.3">
      <c r="A470" s="4">
        <f>HYPERLINK("http://legacy.baseballprospectus.com/p/31338",31338)</f>
        <v>31338</v>
      </c>
      <c r="B470" t="s">
        <v>715</v>
      </c>
      <c r="C470" t="s">
        <v>104</v>
      </c>
      <c r="D470" s="10">
        <v>29378</v>
      </c>
      <c r="E470" t="s">
        <v>33</v>
      </c>
      <c r="F470" t="s">
        <v>33</v>
      </c>
      <c r="G470">
        <v>75</v>
      </c>
      <c r="H470">
        <v>230</v>
      </c>
      <c r="I470">
        <v>2018</v>
      </c>
      <c r="J470" s="4" t="str">
        <f>HYPERLINK("http://legacy.baseballprospectus.com/fantasy/dc/index.php?tm=CLE","CLE")</f>
        <v>CLE</v>
      </c>
      <c r="K470" t="s">
        <v>95</v>
      </c>
      <c r="L470" t="s">
        <v>34</v>
      </c>
      <c r="M470">
        <v>38</v>
      </c>
      <c r="N470">
        <v>1.2</v>
      </c>
      <c r="O470">
        <v>1.1000000000000001</v>
      </c>
      <c r="P470">
        <v>0</v>
      </c>
      <c r="Q470">
        <v>0</v>
      </c>
      <c r="R470">
        <v>0</v>
      </c>
      <c r="S470">
        <v>1</v>
      </c>
      <c r="T470">
        <v>23</v>
      </c>
      <c r="U470">
        <v>0</v>
      </c>
      <c r="V470" s="9">
        <v>24.333300000000001</v>
      </c>
      <c r="W470">
        <v>109</v>
      </c>
      <c r="X470">
        <v>25</v>
      </c>
      <c r="Y470">
        <v>3</v>
      </c>
      <c r="Z470">
        <v>11</v>
      </c>
      <c r="AA470">
        <v>1</v>
      </c>
      <c r="AB470">
        <v>1</v>
      </c>
      <c r="AC470">
        <v>19</v>
      </c>
      <c r="AD470">
        <v>4.0999999999999996</v>
      </c>
      <c r="AE470">
        <v>7</v>
      </c>
      <c r="AF470" s="5">
        <v>0.46</v>
      </c>
      <c r="AG470">
        <v>0.29699999999999999</v>
      </c>
      <c r="AH470">
        <v>1.49</v>
      </c>
      <c r="AI470">
        <v>4.63</v>
      </c>
      <c r="AJ470">
        <v>4.95</v>
      </c>
      <c r="AK470">
        <v>0.8</v>
      </c>
      <c r="AL470">
        <v>0.1</v>
      </c>
      <c r="AM470">
        <v>23</v>
      </c>
      <c r="AN470">
        <v>33</v>
      </c>
      <c r="AO470">
        <v>24</v>
      </c>
      <c r="AP470">
        <v>8</v>
      </c>
      <c r="AQ470" t="s">
        <v>3021</v>
      </c>
      <c r="AR470">
        <v>81</v>
      </c>
      <c r="AS470" t="s">
        <v>35</v>
      </c>
      <c r="AT470" t="s">
        <v>36</v>
      </c>
      <c r="AU470" s="4">
        <f>HYPERLINK("http://mlb.mlb.com/team/player.jsp?player_id=279571",279571)</f>
        <v>279571</v>
      </c>
      <c r="AV470">
        <v>0</v>
      </c>
      <c r="AW470">
        <v>0</v>
      </c>
      <c r="AX470">
        <v>60.3</v>
      </c>
    </row>
    <row r="471" spans="1:50" x14ac:dyDescent="0.3">
      <c r="A471" s="4">
        <f>HYPERLINK("http://legacy.baseballprospectus.com/p/46630",46630)</f>
        <v>46630</v>
      </c>
      <c r="B471" t="s">
        <v>946</v>
      </c>
      <c r="C471" t="s">
        <v>225</v>
      </c>
      <c r="D471" s="10">
        <v>30509</v>
      </c>
      <c r="E471" t="s">
        <v>9</v>
      </c>
      <c r="F471" t="s">
        <v>9</v>
      </c>
      <c r="G471">
        <v>72</v>
      </c>
      <c r="H471">
        <v>190</v>
      </c>
      <c r="I471">
        <v>2018</v>
      </c>
      <c r="J471" s="4" t="str">
        <f>HYPERLINK("http://legacy.baseballprospectus.com/fantasy/dc/index.php?tm=HOU","HOU")</f>
        <v>HOU</v>
      </c>
      <c r="K471" t="s">
        <v>95</v>
      </c>
      <c r="L471" t="s">
        <v>34</v>
      </c>
      <c r="M471">
        <v>34</v>
      </c>
      <c r="N471">
        <v>1.9</v>
      </c>
      <c r="O471">
        <v>1.8</v>
      </c>
      <c r="P471">
        <v>0</v>
      </c>
      <c r="Q471">
        <v>0</v>
      </c>
      <c r="R471">
        <v>0</v>
      </c>
      <c r="S471">
        <v>1</v>
      </c>
      <c r="T471">
        <v>36</v>
      </c>
      <c r="U471">
        <v>0</v>
      </c>
      <c r="V471" s="9">
        <v>38.666699999999999</v>
      </c>
      <c r="W471">
        <v>169</v>
      </c>
      <c r="X471">
        <v>37</v>
      </c>
      <c r="Y471">
        <v>6</v>
      </c>
      <c r="Z471">
        <v>17</v>
      </c>
      <c r="AA471">
        <v>1</v>
      </c>
      <c r="AB471">
        <v>2</v>
      </c>
      <c r="AC471">
        <v>36</v>
      </c>
      <c r="AD471">
        <v>3.9</v>
      </c>
      <c r="AE471">
        <v>8.4</v>
      </c>
      <c r="AF471" s="5">
        <v>0.435</v>
      </c>
      <c r="AG471">
        <v>0.28999999999999998</v>
      </c>
      <c r="AH471">
        <v>1.39</v>
      </c>
      <c r="AI471">
        <v>4.78</v>
      </c>
      <c r="AJ471">
        <v>4.96</v>
      </c>
      <c r="AK471">
        <v>1.2</v>
      </c>
      <c r="AL471">
        <v>0.1</v>
      </c>
      <c r="AM471">
        <v>21</v>
      </c>
      <c r="AN471">
        <v>39</v>
      </c>
      <c r="AO471">
        <v>26</v>
      </c>
      <c r="AP471">
        <v>17</v>
      </c>
      <c r="AQ471" t="s">
        <v>2983</v>
      </c>
      <c r="AR471">
        <v>84</v>
      </c>
      <c r="AS471" t="s">
        <v>35</v>
      </c>
      <c r="AT471" t="s">
        <v>36</v>
      </c>
      <c r="AU471" s="4">
        <f>HYPERLINK("http://mlb.mlb.com/team/player.jsp?player_id=448609",448609)</f>
        <v>448609</v>
      </c>
      <c r="AV471">
        <v>304</v>
      </c>
      <c r="AW471">
        <v>1304</v>
      </c>
      <c r="AX471">
        <v>37.299999999999997</v>
      </c>
    </row>
    <row r="472" spans="1:50" x14ac:dyDescent="0.3">
      <c r="A472" s="4">
        <f>HYPERLINK("http://legacy.baseballprospectus.com/p/47279",47279)</f>
        <v>47279</v>
      </c>
      <c r="B472" t="s">
        <v>246</v>
      </c>
      <c r="C472" t="s">
        <v>724</v>
      </c>
      <c r="D472" s="10">
        <v>30549</v>
      </c>
      <c r="E472" t="s">
        <v>33</v>
      </c>
      <c r="F472" t="s">
        <v>33</v>
      </c>
      <c r="G472">
        <v>74</v>
      </c>
      <c r="H472">
        <v>175</v>
      </c>
      <c r="I472">
        <v>2018</v>
      </c>
      <c r="J472" s="4" t="str">
        <f>HYPERLINK("http://legacy.baseballprospectus.com/fantasy/dc/index.php?tm=TEX","TEX")</f>
        <v>TEX</v>
      </c>
      <c r="K472" t="s">
        <v>95</v>
      </c>
      <c r="L472" t="s">
        <v>34</v>
      </c>
      <c r="M472">
        <v>34</v>
      </c>
      <c r="N472">
        <v>3.1</v>
      </c>
      <c r="O472">
        <v>4</v>
      </c>
      <c r="P472">
        <v>2</v>
      </c>
      <c r="Q472">
        <v>0</v>
      </c>
      <c r="R472">
        <v>0</v>
      </c>
      <c r="S472">
        <v>0</v>
      </c>
      <c r="T472">
        <v>45</v>
      </c>
      <c r="U472">
        <v>5</v>
      </c>
      <c r="V472" s="9">
        <v>67</v>
      </c>
      <c r="W472">
        <v>302</v>
      </c>
      <c r="X472">
        <v>74</v>
      </c>
      <c r="Y472">
        <v>11</v>
      </c>
      <c r="Z472">
        <v>29</v>
      </c>
      <c r="AA472">
        <v>3</v>
      </c>
      <c r="AB472">
        <v>3</v>
      </c>
      <c r="AC472">
        <v>54</v>
      </c>
      <c r="AD472">
        <v>4</v>
      </c>
      <c r="AE472">
        <v>7.2</v>
      </c>
      <c r="AF472" s="5">
        <v>0.43099999999999999</v>
      </c>
      <c r="AG472">
        <v>0.30399999999999999</v>
      </c>
      <c r="AH472">
        <v>1.55</v>
      </c>
      <c r="AI472">
        <v>5.49</v>
      </c>
      <c r="AJ472">
        <v>5.25</v>
      </c>
      <c r="AK472">
        <v>0.7</v>
      </c>
      <c r="AL472">
        <v>0.1</v>
      </c>
      <c r="AM472">
        <v>12</v>
      </c>
      <c r="AN472">
        <v>38</v>
      </c>
      <c r="AO472">
        <v>23</v>
      </c>
      <c r="AP472">
        <v>9</v>
      </c>
      <c r="AQ472" t="s">
        <v>2860</v>
      </c>
      <c r="AR472">
        <v>88</v>
      </c>
      <c r="AS472" t="s">
        <v>35</v>
      </c>
      <c r="AT472" t="s">
        <v>36</v>
      </c>
      <c r="AU472" s="4">
        <f>HYPERLINK("http://mlb.mlb.com/team/player.jsp?player_id=445926",445926)</f>
        <v>445926</v>
      </c>
      <c r="AV472">
        <v>0</v>
      </c>
      <c r="AW472">
        <v>0</v>
      </c>
      <c r="AX472">
        <v>138</v>
      </c>
    </row>
    <row r="473" spans="1:50" x14ac:dyDescent="0.3">
      <c r="A473" s="4">
        <f>HYPERLINK("http://legacy.baseballprospectus.com/p/47591",47591)</f>
        <v>47591</v>
      </c>
      <c r="B473" t="s">
        <v>801</v>
      </c>
      <c r="C473" t="s">
        <v>802</v>
      </c>
      <c r="D473" s="10">
        <v>31470</v>
      </c>
      <c r="E473" t="s">
        <v>33</v>
      </c>
      <c r="F473" t="s">
        <v>33</v>
      </c>
      <c r="G473">
        <v>74</v>
      </c>
      <c r="H473">
        <v>205</v>
      </c>
      <c r="I473">
        <v>2018</v>
      </c>
      <c r="J473" s="4" t="str">
        <f>HYPERLINK("http://legacy.baseballprospectus.com/fantasy/dc/index.php?tm=MIL","MIL")</f>
        <v>MIL</v>
      </c>
      <c r="K473" t="s">
        <v>100</v>
      </c>
      <c r="L473" t="s">
        <v>34</v>
      </c>
      <c r="M473">
        <v>32</v>
      </c>
      <c r="N473">
        <v>2.7</v>
      </c>
      <c r="O473">
        <v>3.1</v>
      </c>
      <c r="P473">
        <v>4</v>
      </c>
      <c r="Q473">
        <v>0</v>
      </c>
      <c r="R473">
        <v>0</v>
      </c>
      <c r="S473">
        <v>0</v>
      </c>
      <c r="T473">
        <v>9</v>
      </c>
      <c r="U473">
        <v>9</v>
      </c>
      <c r="V473" s="9">
        <v>45</v>
      </c>
      <c r="W473">
        <v>198</v>
      </c>
      <c r="X473">
        <v>46</v>
      </c>
      <c r="Y473">
        <v>6</v>
      </c>
      <c r="Z473">
        <v>19</v>
      </c>
      <c r="AA473">
        <v>1</v>
      </c>
      <c r="AB473">
        <v>1</v>
      </c>
      <c r="AC473">
        <v>36</v>
      </c>
      <c r="AD473">
        <v>3.9</v>
      </c>
      <c r="AE473">
        <v>7.1</v>
      </c>
      <c r="AF473" s="5">
        <v>0.45500000000000002</v>
      </c>
      <c r="AG473">
        <v>0.29499999999999998</v>
      </c>
      <c r="AH473">
        <v>1.45</v>
      </c>
      <c r="AI473">
        <v>4.7</v>
      </c>
      <c r="AJ473">
        <v>5.04</v>
      </c>
      <c r="AK473">
        <v>1.1000000000000001</v>
      </c>
      <c r="AL473">
        <v>0.1</v>
      </c>
      <c r="AM473">
        <v>10</v>
      </c>
      <c r="AN473">
        <v>48</v>
      </c>
      <c r="AO473">
        <v>21</v>
      </c>
      <c r="AP473">
        <v>12</v>
      </c>
      <c r="AQ473" t="s">
        <v>2985</v>
      </c>
      <c r="AR473">
        <v>88</v>
      </c>
      <c r="AS473" t="s">
        <v>35</v>
      </c>
      <c r="AT473" t="s">
        <v>36</v>
      </c>
      <c r="AU473" s="4">
        <f>HYPERLINK("http://mlb.mlb.com/team/player.jsp?player_id=451596",451596)</f>
        <v>451596</v>
      </c>
      <c r="AV473">
        <v>1042</v>
      </c>
      <c r="AW473">
        <v>42</v>
      </c>
      <c r="AX473">
        <v>130.69999999999999</v>
      </c>
    </row>
    <row r="474" spans="1:50" x14ac:dyDescent="0.3">
      <c r="A474" s="4">
        <f>HYPERLINK("http://legacy.baseballprospectus.com/p/47804",47804)</f>
        <v>47804</v>
      </c>
      <c r="B474" t="s">
        <v>420</v>
      </c>
      <c r="C474" t="s">
        <v>103</v>
      </c>
      <c r="D474" s="10">
        <v>31180</v>
      </c>
      <c r="E474" t="s">
        <v>33</v>
      </c>
      <c r="F474" t="s">
        <v>33</v>
      </c>
      <c r="G474">
        <v>75</v>
      </c>
      <c r="H474">
        <v>245</v>
      </c>
      <c r="I474">
        <v>2018</v>
      </c>
      <c r="J474" s="4" t="str">
        <f>HYPERLINK("http://legacy.baseballprospectus.com/fantasy/dc/index.php?tm=CIN","CIN")</f>
        <v>CIN</v>
      </c>
      <c r="K474" t="s">
        <v>100</v>
      </c>
      <c r="L474" t="s">
        <v>34</v>
      </c>
      <c r="M474">
        <v>33</v>
      </c>
      <c r="N474">
        <v>2.1</v>
      </c>
      <c r="O474">
        <v>2.2000000000000002</v>
      </c>
      <c r="P474">
        <v>0</v>
      </c>
      <c r="Q474">
        <v>0</v>
      </c>
      <c r="R474">
        <v>0</v>
      </c>
      <c r="S474">
        <v>1</v>
      </c>
      <c r="T474">
        <v>43</v>
      </c>
      <c r="U474">
        <v>0</v>
      </c>
      <c r="V474" s="9">
        <v>45.666699999999999</v>
      </c>
      <c r="W474">
        <v>199</v>
      </c>
      <c r="X474">
        <v>45</v>
      </c>
      <c r="Y474">
        <v>7</v>
      </c>
      <c r="Z474">
        <v>20</v>
      </c>
      <c r="AA474">
        <v>2</v>
      </c>
      <c r="AB474">
        <v>2</v>
      </c>
      <c r="AC474">
        <v>44</v>
      </c>
      <c r="AD474">
        <v>3.9</v>
      </c>
      <c r="AE474">
        <v>8.8000000000000007</v>
      </c>
      <c r="AF474" s="5">
        <v>0.42599999999999999</v>
      </c>
      <c r="AG474">
        <v>0.29699999999999999</v>
      </c>
      <c r="AH474">
        <v>1.42</v>
      </c>
      <c r="AI474">
        <v>5.0199999999999996</v>
      </c>
      <c r="AJ474">
        <v>4.8499999999999996</v>
      </c>
      <c r="AK474">
        <v>0.7</v>
      </c>
      <c r="AL474">
        <v>0.1</v>
      </c>
      <c r="AM474">
        <v>22</v>
      </c>
      <c r="AN474">
        <v>42</v>
      </c>
      <c r="AO474">
        <v>22</v>
      </c>
      <c r="AP474">
        <v>11</v>
      </c>
      <c r="AQ474" t="s">
        <v>2567</v>
      </c>
      <c r="AR474">
        <v>88</v>
      </c>
      <c r="AS474" t="s">
        <v>35</v>
      </c>
      <c r="AT474" t="s">
        <v>36</v>
      </c>
      <c r="AU474" s="4">
        <f>HYPERLINK("http://mlb.mlb.com/team/player.jsp?player_id=456696",456696)</f>
        <v>456696</v>
      </c>
      <c r="AV474">
        <v>1714</v>
      </c>
      <c r="AW474">
        <v>714</v>
      </c>
      <c r="AX474">
        <v>55</v>
      </c>
    </row>
    <row r="475" spans="1:50" x14ac:dyDescent="0.3">
      <c r="A475" s="4">
        <f>HYPERLINK("http://legacy.baseballprospectus.com/p/48858",48858)</f>
        <v>48858</v>
      </c>
      <c r="B475" t="s">
        <v>935</v>
      </c>
      <c r="C475" t="s">
        <v>501</v>
      </c>
      <c r="D475" s="10">
        <v>31197</v>
      </c>
      <c r="E475" t="s">
        <v>33</v>
      </c>
      <c r="F475" t="s">
        <v>33</v>
      </c>
      <c r="G475">
        <v>74</v>
      </c>
      <c r="H475">
        <v>200</v>
      </c>
      <c r="I475">
        <v>2018</v>
      </c>
      <c r="J475" s="4" t="str">
        <f>HYPERLINK("http://legacy.baseballprospectus.com/fantasy/dc/index.php?tm=ARI","ARI")</f>
        <v>ARI</v>
      </c>
      <c r="K475" t="s">
        <v>100</v>
      </c>
      <c r="L475" t="s">
        <v>34</v>
      </c>
      <c r="M475">
        <v>33</v>
      </c>
      <c r="N475">
        <v>2.1</v>
      </c>
      <c r="O475">
        <v>1.8</v>
      </c>
      <c r="P475">
        <v>0</v>
      </c>
      <c r="Q475">
        <v>0</v>
      </c>
      <c r="R475">
        <v>2</v>
      </c>
      <c r="S475">
        <v>3</v>
      </c>
      <c r="T475">
        <v>38</v>
      </c>
      <c r="U475">
        <v>0</v>
      </c>
      <c r="V475" s="9">
        <v>40</v>
      </c>
      <c r="W475">
        <v>175</v>
      </c>
      <c r="X475">
        <v>40</v>
      </c>
      <c r="Y475">
        <v>5</v>
      </c>
      <c r="Z475">
        <v>16</v>
      </c>
      <c r="AA475">
        <v>2</v>
      </c>
      <c r="AB475">
        <v>1</v>
      </c>
      <c r="AC475">
        <v>39</v>
      </c>
      <c r="AD475">
        <v>3.7</v>
      </c>
      <c r="AE475">
        <v>8.8000000000000007</v>
      </c>
      <c r="AF475" s="5">
        <v>0.435</v>
      </c>
      <c r="AG475">
        <v>0.30099999999999999</v>
      </c>
      <c r="AH475">
        <v>1.4</v>
      </c>
      <c r="AI475">
        <v>4.25</v>
      </c>
      <c r="AJ475">
        <v>4.67</v>
      </c>
      <c r="AK475">
        <v>1.3</v>
      </c>
      <c r="AL475">
        <v>0.1</v>
      </c>
      <c r="AM475">
        <v>22</v>
      </c>
      <c r="AN475">
        <v>39</v>
      </c>
      <c r="AO475">
        <v>22</v>
      </c>
      <c r="AP475">
        <v>16</v>
      </c>
      <c r="AQ475" t="s">
        <v>2834</v>
      </c>
      <c r="AR475">
        <v>88</v>
      </c>
      <c r="AS475" t="s">
        <v>35</v>
      </c>
      <c r="AT475" t="s">
        <v>36</v>
      </c>
      <c r="AU475" s="4">
        <f>HYPERLINK("http://mlb.mlb.com/team/player.jsp?player_id=477569",477569)</f>
        <v>477569</v>
      </c>
      <c r="AV475">
        <v>0</v>
      </c>
      <c r="AW475">
        <v>0</v>
      </c>
      <c r="AX475">
        <v>58.7</v>
      </c>
    </row>
    <row r="476" spans="1:50" x14ac:dyDescent="0.3">
      <c r="A476" s="4">
        <f>HYPERLINK("http://legacy.baseballprospectus.com/p/50167",50167)</f>
        <v>50167</v>
      </c>
      <c r="B476" t="s">
        <v>759</v>
      </c>
      <c r="C476" t="s">
        <v>141</v>
      </c>
      <c r="D476" s="10">
        <v>32057</v>
      </c>
      <c r="E476" t="s">
        <v>33</v>
      </c>
      <c r="F476" t="s">
        <v>33</v>
      </c>
      <c r="G476">
        <v>75</v>
      </c>
      <c r="H476">
        <v>205</v>
      </c>
      <c r="I476">
        <v>2018</v>
      </c>
      <c r="J476" s="4" t="str">
        <f>HYPERLINK("http://legacy.baseballprospectus.com/fantasy/dc/index.php?tm=BAL","BAL")</f>
        <v>BAL</v>
      </c>
      <c r="K476" t="s">
        <v>95</v>
      </c>
      <c r="L476" t="s">
        <v>34</v>
      </c>
      <c r="M476">
        <v>30</v>
      </c>
      <c r="N476">
        <v>6.6</v>
      </c>
      <c r="O476">
        <v>9.3000000000000007</v>
      </c>
      <c r="P476">
        <v>9</v>
      </c>
      <c r="Q476">
        <v>0</v>
      </c>
      <c r="R476">
        <v>0</v>
      </c>
      <c r="S476">
        <v>0</v>
      </c>
      <c r="T476">
        <v>24</v>
      </c>
      <c r="U476">
        <v>24</v>
      </c>
      <c r="V476" s="9">
        <v>127.33329999999999</v>
      </c>
      <c r="W476">
        <v>563</v>
      </c>
      <c r="X476">
        <v>140</v>
      </c>
      <c r="Y476">
        <v>22</v>
      </c>
      <c r="Z476">
        <v>48</v>
      </c>
      <c r="AA476">
        <v>2</v>
      </c>
      <c r="AB476">
        <v>5</v>
      </c>
      <c r="AC476">
        <v>90</v>
      </c>
      <c r="AD476">
        <v>3.4</v>
      </c>
      <c r="AE476">
        <v>6.4</v>
      </c>
      <c r="AF476" s="5">
        <v>0.46800000000000003</v>
      </c>
      <c r="AG476">
        <v>0.29499999999999998</v>
      </c>
      <c r="AH476">
        <v>1.48</v>
      </c>
      <c r="AI476">
        <v>5.2</v>
      </c>
      <c r="AJ476">
        <v>5.44</v>
      </c>
      <c r="AK476">
        <v>1.2</v>
      </c>
      <c r="AL476">
        <v>0.1</v>
      </c>
      <c r="AM476">
        <v>8</v>
      </c>
      <c r="AN476">
        <v>41</v>
      </c>
      <c r="AO476">
        <v>33</v>
      </c>
      <c r="AP476">
        <v>11</v>
      </c>
      <c r="AQ476" t="s">
        <v>2465</v>
      </c>
      <c r="AR476">
        <v>92</v>
      </c>
      <c r="AS476" t="s">
        <v>35</v>
      </c>
      <c r="AT476" t="s">
        <v>36</v>
      </c>
      <c r="AU476" s="4">
        <f>HYPERLINK("http://mlb.mlb.com/team/player.jsp?player_id=502171",502171)</f>
        <v>502171</v>
      </c>
      <c r="AV476">
        <v>692</v>
      </c>
      <c r="AW476">
        <v>1692</v>
      </c>
      <c r="AX476">
        <v>179.3</v>
      </c>
    </row>
    <row r="477" spans="1:50" x14ac:dyDescent="0.3">
      <c r="A477" s="4">
        <f>HYPERLINK("http://legacy.baseballprospectus.com/p/51061",51061)</f>
        <v>51061</v>
      </c>
      <c r="B477" t="s">
        <v>829</v>
      </c>
      <c r="C477" t="s">
        <v>234</v>
      </c>
      <c r="D477" s="10">
        <v>31059</v>
      </c>
      <c r="E477" t="s">
        <v>33</v>
      </c>
      <c r="F477" t="s">
        <v>33</v>
      </c>
      <c r="G477">
        <v>73</v>
      </c>
      <c r="H477">
        <v>200</v>
      </c>
      <c r="I477">
        <v>2018</v>
      </c>
      <c r="J477" s="4" t="str">
        <f>HYPERLINK("http://legacy.baseballprospectus.com/fantasy/dc/index.php?tm=OAK","OAK")</f>
        <v>OAK</v>
      </c>
      <c r="K477" t="s">
        <v>95</v>
      </c>
      <c r="L477" t="s">
        <v>34</v>
      </c>
      <c r="M477">
        <v>33</v>
      </c>
      <c r="N477">
        <v>2.2999999999999998</v>
      </c>
      <c r="O477">
        <v>2.9</v>
      </c>
      <c r="P477">
        <v>0</v>
      </c>
      <c r="Q477">
        <v>0</v>
      </c>
      <c r="R477">
        <v>0</v>
      </c>
      <c r="S477">
        <v>1</v>
      </c>
      <c r="T477">
        <v>52</v>
      </c>
      <c r="U477">
        <v>0</v>
      </c>
      <c r="V477" s="9">
        <v>54.666699999999999</v>
      </c>
      <c r="W477">
        <v>244</v>
      </c>
      <c r="X477">
        <v>56</v>
      </c>
      <c r="Y477">
        <v>9</v>
      </c>
      <c r="Z477">
        <v>25</v>
      </c>
      <c r="AA477">
        <v>3</v>
      </c>
      <c r="AB477">
        <v>2</v>
      </c>
      <c r="AC477">
        <v>53</v>
      </c>
      <c r="AD477">
        <v>4.2</v>
      </c>
      <c r="AE477">
        <v>8.6999999999999993</v>
      </c>
      <c r="AF477" s="5">
        <v>0.41799999999999998</v>
      </c>
      <c r="AG477">
        <v>0.29799999999999999</v>
      </c>
      <c r="AH477">
        <v>1.48</v>
      </c>
      <c r="AI477">
        <v>5.23</v>
      </c>
      <c r="AJ477">
        <v>5.16</v>
      </c>
      <c r="AK477">
        <v>0.5</v>
      </c>
      <c r="AL477">
        <v>0.1</v>
      </c>
      <c r="AM477">
        <v>22</v>
      </c>
      <c r="AN477">
        <v>32</v>
      </c>
      <c r="AO477">
        <v>26</v>
      </c>
      <c r="AP477">
        <v>22</v>
      </c>
      <c r="AQ477" t="s">
        <v>3241</v>
      </c>
      <c r="AR477">
        <v>72</v>
      </c>
      <c r="AS477" t="s">
        <v>35</v>
      </c>
      <c r="AT477" t="s">
        <v>36</v>
      </c>
      <c r="AU477" s="4">
        <f>HYPERLINK("http://mlb.mlb.com/team/player.jsp?player_id=501822",501822)</f>
        <v>501822</v>
      </c>
      <c r="AV477">
        <v>261</v>
      </c>
      <c r="AW477">
        <v>1261</v>
      </c>
      <c r="AX477">
        <v>59.7</v>
      </c>
    </row>
    <row r="478" spans="1:50" x14ac:dyDescent="0.3">
      <c r="A478" s="4">
        <f>HYPERLINK("http://legacy.baseballprospectus.com/p/51594",51594)</f>
        <v>51594</v>
      </c>
      <c r="B478" t="s">
        <v>588</v>
      </c>
      <c r="C478" t="s">
        <v>1634</v>
      </c>
      <c r="D478" s="10">
        <v>32371</v>
      </c>
      <c r="E478" t="s">
        <v>33</v>
      </c>
      <c r="F478" t="s">
        <v>33</v>
      </c>
      <c r="G478">
        <v>76</v>
      </c>
      <c r="H478">
        <v>250</v>
      </c>
      <c r="I478">
        <v>2018</v>
      </c>
      <c r="J478" s="4" t="str">
        <f>HYPERLINK("http://legacy.baseballprospectus.com/fantasy/dc/index.php?tm=ANA","ANA")</f>
        <v>ANA</v>
      </c>
      <c r="K478" t="s">
        <v>95</v>
      </c>
      <c r="L478" t="s">
        <v>34</v>
      </c>
      <c r="M478">
        <v>29</v>
      </c>
      <c r="N478">
        <v>7.3</v>
      </c>
      <c r="O478">
        <v>8.8000000000000007</v>
      </c>
      <c r="P478">
        <v>9</v>
      </c>
      <c r="Q478">
        <v>0</v>
      </c>
      <c r="R478">
        <v>0</v>
      </c>
      <c r="S478">
        <v>0</v>
      </c>
      <c r="T478">
        <v>24</v>
      </c>
      <c r="U478">
        <v>24</v>
      </c>
      <c r="V478" s="9">
        <v>127.33329999999999</v>
      </c>
      <c r="W478">
        <v>563</v>
      </c>
      <c r="X478">
        <v>137</v>
      </c>
      <c r="Y478">
        <v>21</v>
      </c>
      <c r="Z478">
        <v>49</v>
      </c>
      <c r="AA478">
        <v>2</v>
      </c>
      <c r="AB478">
        <v>6</v>
      </c>
      <c r="AC478">
        <v>89</v>
      </c>
      <c r="AD478">
        <v>3.5</v>
      </c>
      <c r="AE478">
        <v>6.3</v>
      </c>
      <c r="AF478" s="5">
        <v>0.49399999999999999</v>
      </c>
      <c r="AG478">
        <v>0.29299999999999998</v>
      </c>
      <c r="AH478">
        <v>1.47</v>
      </c>
      <c r="AI478">
        <v>5.0599999999999996</v>
      </c>
      <c r="AJ478">
        <v>5.47</v>
      </c>
      <c r="AK478">
        <v>0.8</v>
      </c>
      <c r="AL478">
        <v>0.1</v>
      </c>
      <c r="AM478">
        <v>39</v>
      </c>
      <c r="AN478">
        <v>55</v>
      </c>
      <c r="AO478">
        <v>24</v>
      </c>
      <c r="AP478">
        <v>21</v>
      </c>
      <c r="AQ478" t="s">
        <v>2837</v>
      </c>
      <c r="AR478">
        <v>91</v>
      </c>
      <c r="AS478" t="s">
        <v>35</v>
      </c>
      <c r="AT478" t="s">
        <v>36</v>
      </c>
      <c r="AU478" s="4">
        <f>HYPERLINK("http://mlb.mlb.com/team/player.jsp?player_id=500724",500724)</f>
        <v>500724</v>
      </c>
      <c r="AV478">
        <v>32</v>
      </c>
      <c r="AW478">
        <v>1032</v>
      </c>
      <c r="AX478">
        <v>147.30000000000001</v>
      </c>
    </row>
    <row r="479" spans="1:50" x14ac:dyDescent="0.3">
      <c r="A479" s="4">
        <f>HYPERLINK("http://legacy.baseballprospectus.com/p/51967",51967)</f>
        <v>51967</v>
      </c>
      <c r="B479" t="s">
        <v>4984</v>
      </c>
      <c r="C479" t="s">
        <v>159</v>
      </c>
      <c r="D479" s="10">
        <v>30848</v>
      </c>
      <c r="E479" t="s">
        <v>9</v>
      </c>
      <c r="F479" t="s">
        <v>33</v>
      </c>
      <c r="G479">
        <v>71</v>
      </c>
      <c r="H479">
        <v>170</v>
      </c>
      <c r="I479">
        <v>2018</v>
      </c>
      <c r="J479" s="4" t="str">
        <f>HYPERLINK("http://legacy.baseballprospectus.com/fantasy/dc/index.php?tm=TEX","TEX")</f>
        <v>TEX</v>
      </c>
      <c r="K479" t="s">
        <v>95</v>
      </c>
      <c r="L479" t="s">
        <v>34</v>
      </c>
      <c r="M479">
        <v>34</v>
      </c>
      <c r="N479">
        <v>1.1000000000000001</v>
      </c>
      <c r="O479">
        <v>1.4</v>
      </c>
      <c r="P479">
        <v>0</v>
      </c>
      <c r="Q479">
        <v>0</v>
      </c>
      <c r="R479">
        <v>0</v>
      </c>
      <c r="S479">
        <v>1</v>
      </c>
      <c r="T479">
        <v>25</v>
      </c>
      <c r="U479">
        <v>0</v>
      </c>
      <c r="V479" s="9">
        <v>26.333300000000001</v>
      </c>
      <c r="W479">
        <v>118</v>
      </c>
      <c r="X479">
        <v>27</v>
      </c>
      <c r="Y479">
        <v>3</v>
      </c>
      <c r="Z479">
        <v>13</v>
      </c>
      <c r="AA479">
        <v>1</v>
      </c>
      <c r="AB479">
        <v>2</v>
      </c>
      <c r="AC479">
        <v>22</v>
      </c>
      <c r="AD479">
        <v>4.5</v>
      </c>
      <c r="AE479">
        <v>7.4</v>
      </c>
      <c r="AF479" s="5">
        <v>0.44600000000000001</v>
      </c>
      <c r="AG479">
        <v>0.29699999999999999</v>
      </c>
      <c r="AH479">
        <v>1.52</v>
      </c>
      <c r="AI479">
        <v>4.9400000000000004</v>
      </c>
      <c r="AJ479">
        <v>4.76</v>
      </c>
      <c r="AK479">
        <v>1.3</v>
      </c>
      <c r="AL479">
        <v>0.1</v>
      </c>
      <c r="AM479">
        <v>13</v>
      </c>
      <c r="AN479">
        <v>31</v>
      </c>
      <c r="AO479">
        <v>23</v>
      </c>
      <c r="AP479">
        <v>10</v>
      </c>
      <c r="AQ479" t="s">
        <v>4985</v>
      </c>
      <c r="AR479">
        <v>79</v>
      </c>
      <c r="AS479" t="s">
        <v>35</v>
      </c>
      <c r="AT479" t="s">
        <v>36</v>
      </c>
      <c r="AU479" s="4">
        <f>HYPERLINK("http://mlb.mlb.com/team/player.jsp?player_id=453311",453311)</f>
        <v>453311</v>
      </c>
      <c r="AV479">
        <v>0</v>
      </c>
      <c r="AW479">
        <v>0</v>
      </c>
      <c r="AX479">
        <v>0</v>
      </c>
    </row>
    <row r="480" spans="1:50" x14ac:dyDescent="0.3">
      <c r="A480" s="4">
        <f>HYPERLINK("http://legacy.baseballprospectus.com/p/54159",54159)</f>
        <v>54159</v>
      </c>
      <c r="B480" t="s">
        <v>493</v>
      </c>
      <c r="C480" t="s">
        <v>234</v>
      </c>
      <c r="D480" s="10">
        <v>31565</v>
      </c>
      <c r="E480" t="s">
        <v>33</v>
      </c>
      <c r="F480" t="s">
        <v>33</v>
      </c>
      <c r="G480">
        <v>80</v>
      </c>
      <c r="H480">
        <v>215</v>
      </c>
      <c r="I480">
        <v>2018</v>
      </c>
      <c r="J480" s="4" t="str">
        <f>HYPERLINK("http://legacy.baseballprospectus.com/fantasy/dc/index.php?tm=TEX","TEX")</f>
        <v>TEX</v>
      </c>
      <c r="K480" t="s">
        <v>95</v>
      </c>
      <c r="L480" t="s">
        <v>34</v>
      </c>
      <c r="M480">
        <v>32</v>
      </c>
      <c r="N480">
        <v>1.3</v>
      </c>
      <c r="O480">
        <v>1.7</v>
      </c>
      <c r="P480">
        <v>0</v>
      </c>
      <c r="Q480">
        <v>0</v>
      </c>
      <c r="R480">
        <v>0</v>
      </c>
      <c r="S480">
        <v>1</v>
      </c>
      <c r="T480">
        <v>30</v>
      </c>
      <c r="U480">
        <v>0</v>
      </c>
      <c r="V480" s="9">
        <v>31.666699999999999</v>
      </c>
      <c r="W480">
        <v>145</v>
      </c>
      <c r="X480">
        <v>35</v>
      </c>
      <c r="Y480">
        <v>4</v>
      </c>
      <c r="Z480">
        <v>15</v>
      </c>
      <c r="AA480">
        <v>1</v>
      </c>
      <c r="AB480">
        <v>2</v>
      </c>
      <c r="AC480">
        <v>24</v>
      </c>
      <c r="AD480">
        <v>4.3</v>
      </c>
      <c r="AE480">
        <v>7</v>
      </c>
      <c r="AF480" s="5">
        <v>0.49399999999999999</v>
      </c>
      <c r="AG480">
        <v>0.308</v>
      </c>
      <c r="AH480">
        <v>1.62</v>
      </c>
      <c r="AI480">
        <v>5.24</v>
      </c>
      <c r="AJ480">
        <v>4.9800000000000004</v>
      </c>
      <c r="AK480">
        <v>0.9</v>
      </c>
      <c r="AL480">
        <v>0.1</v>
      </c>
      <c r="AM480">
        <v>17</v>
      </c>
      <c r="AN480">
        <v>27</v>
      </c>
      <c r="AO480">
        <v>12</v>
      </c>
      <c r="AP480">
        <v>24</v>
      </c>
      <c r="AQ480" t="s">
        <v>2867</v>
      </c>
      <c r="AR480">
        <v>45</v>
      </c>
      <c r="AS480" t="s">
        <v>35</v>
      </c>
      <c r="AT480" t="s">
        <v>35</v>
      </c>
      <c r="AU480" s="4">
        <f>HYPERLINK("http://mlb.mlb.com/team/player.jsp?player_id=455119",455119)</f>
        <v>455119</v>
      </c>
      <c r="AV480">
        <v>343</v>
      </c>
      <c r="AW480">
        <v>1343</v>
      </c>
      <c r="AX480">
        <v>0</v>
      </c>
    </row>
    <row r="481" spans="1:50" x14ac:dyDescent="0.3">
      <c r="A481" s="4">
        <f>HYPERLINK("http://legacy.baseballprospectus.com/p/55512",55512)</f>
        <v>55512</v>
      </c>
      <c r="B481" t="s">
        <v>705</v>
      </c>
      <c r="C481" t="s">
        <v>148</v>
      </c>
      <c r="D481" s="10">
        <v>30407</v>
      </c>
      <c r="E481" t="s">
        <v>33</v>
      </c>
      <c r="F481" t="s">
        <v>33</v>
      </c>
      <c r="G481">
        <v>77</v>
      </c>
      <c r="H481">
        <v>220</v>
      </c>
      <c r="I481">
        <v>2018</v>
      </c>
      <c r="J481" s="4" t="str">
        <f>HYPERLINK("http://legacy.baseballprospectus.com/fantasy/dc/index.php?tm=TOR","TOR")</f>
        <v>TOR</v>
      </c>
      <c r="K481" t="s">
        <v>95</v>
      </c>
      <c r="L481" t="s">
        <v>34</v>
      </c>
      <c r="M481">
        <v>35</v>
      </c>
      <c r="N481">
        <v>0.7</v>
      </c>
      <c r="O481">
        <v>0.8</v>
      </c>
      <c r="P481">
        <v>0</v>
      </c>
      <c r="Q481">
        <v>0</v>
      </c>
      <c r="R481">
        <v>0</v>
      </c>
      <c r="S481">
        <v>0</v>
      </c>
      <c r="T481">
        <v>15</v>
      </c>
      <c r="U481">
        <v>0</v>
      </c>
      <c r="V481" s="9">
        <v>15.666700000000001</v>
      </c>
      <c r="W481">
        <v>71</v>
      </c>
      <c r="X481">
        <v>15</v>
      </c>
      <c r="Y481">
        <v>2</v>
      </c>
      <c r="Z481">
        <v>8</v>
      </c>
      <c r="AA481">
        <v>1</v>
      </c>
      <c r="AB481">
        <v>1</v>
      </c>
      <c r="AC481">
        <v>14</v>
      </c>
      <c r="AD481">
        <v>4.7</v>
      </c>
      <c r="AE481">
        <v>7.8</v>
      </c>
      <c r="AF481" s="5">
        <v>0.503</v>
      </c>
      <c r="AG481">
        <v>0.30099999999999999</v>
      </c>
      <c r="AH481">
        <v>1.56</v>
      </c>
      <c r="AI481">
        <v>4.68</v>
      </c>
      <c r="AJ481">
        <v>4.8499999999999996</v>
      </c>
      <c r="AK481">
        <v>0.6</v>
      </c>
      <c r="AL481">
        <v>0.1</v>
      </c>
      <c r="AM481">
        <v>28</v>
      </c>
      <c r="AN481">
        <v>45</v>
      </c>
      <c r="AO481">
        <v>24</v>
      </c>
      <c r="AP481">
        <v>19</v>
      </c>
      <c r="AQ481" t="s">
        <v>3033</v>
      </c>
      <c r="AR481">
        <v>82</v>
      </c>
      <c r="AS481" t="s">
        <v>35</v>
      </c>
      <c r="AT481" t="s">
        <v>36</v>
      </c>
      <c r="AU481" s="4">
        <f>HYPERLINK("http://mlb.mlb.com/team/player.jsp?player_id=446099",446099)</f>
        <v>446099</v>
      </c>
      <c r="AV481">
        <v>0</v>
      </c>
      <c r="AW481">
        <v>0</v>
      </c>
      <c r="AX481">
        <v>21</v>
      </c>
    </row>
    <row r="482" spans="1:50" x14ac:dyDescent="0.3">
      <c r="A482" s="4">
        <f>HYPERLINK("http://legacy.baseballprospectus.com/p/55880",55880)</f>
        <v>55880</v>
      </c>
      <c r="B482" t="s">
        <v>120</v>
      </c>
      <c r="C482" t="s">
        <v>1385</v>
      </c>
      <c r="D482" s="10">
        <v>32525</v>
      </c>
      <c r="E482" t="s">
        <v>9</v>
      </c>
      <c r="F482" t="s">
        <v>9</v>
      </c>
      <c r="G482">
        <v>73</v>
      </c>
      <c r="H482">
        <v>170</v>
      </c>
      <c r="I482">
        <v>2018</v>
      </c>
      <c r="J482" s="4" t="str">
        <f>HYPERLINK("http://legacy.baseballprospectus.com/fantasy/dc/index.php?tm=SEA","SEA")</f>
        <v>SEA</v>
      </c>
      <c r="K482" t="s">
        <v>95</v>
      </c>
      <c r="L482" t="s">
        <v>34</v>
      </c>
      <c r="M482">
        <v>29</v>
      </c>
      <c r="N482">
        <v>0.7</v>
      </c>
      <c r="O482">
        <v>0.8</v>
      </c>
      <c r="P482">
        <v>0</v>
      </c>
      <c r="Q482">
        <v>0</v>
      </c>
      <c r="R482">
        <v>0</v>
      </c>
      <c r="S482">
        <v>0</v>
      </c>
      <c r="T482">
        <v>15</v>
      </c>
      <c r="U482">
        <v>0</v>
      </c>
      <c r="V482" s="9">
        <v>15.666700000000001</v>
      </c>
      <c r="W482">
        <v>70</v>
      </c>
      <c r="X482">
        <v>15</v>
      </c>
      <c r="Y482">
        <v>2</v>
      </c>
      <c r="Z482">
        <v>8</v>
      </c>
      <c r="AA482">
        <v>1</v>
      </c>
      <c r="AB482">
        <v>1</v>
      </c>
      <c r="AC482">
        <v>18</v>
      </c>
      <c r="AD482">
        <v>4.4000000000000004</v>
      </c>
      <c r="AE482">
        <v>10.199999999999999</v>
      </c>
      <c r="AF482" s="5">
        <v>0.432</v>
      </c>
      <c r="AG482">
        <v>0.30099999999999999</v>
      </c>
      <c r="AH482">
        <v>1.45</v>
      </c>
      <c r="AI482">
        <v>4.53</v>
      </c>
      <c r="AJ482">
        <v>4.75</v>
      </c>
      <c r="AK482">
        <v>0.8</v>
      </c>
      <c r="AL482">
        <v>0.1</v>
      </c>
      <c r="AM482">
        <v>12</v>
      </c>
      <c r="AN482">
        <v>22</v>
      </c>
      <c r="AO482">
        <v>21</v>
      </c>
      <c r="AP482">
        <v>25</v>
      </c>
      <c r="AQ482" t="s">
        <v>2990</v>
      </c>
      <c r="AR482">
        <v>52</v>
      </c>
      <c r="AS482" t="s">
        <v>35</v>
      </c>
      <c r="AT482" t="s">
        <v>35</v>
      </c>
      <c r="AU482" s="4">
        <f>HYPERLINK("http://mlb.mlb.com/team/player.jsp?player_id=516714",516714)</f>
        <v>516714</v>
      </c>
      <c r="AV482">
        <v>1332</v>
      </c>
      <c r="AW482">
        <v>332</v>
      </c>
      <c r="AX482">
        <v>16.3</v>
      </c>
    </row>
    <row r="483" spans="1:50" x14ac:dyDescent="0.3">
      <c r="A483" s="4">
        <f>HYPERLINK("http://legacy.baseballprospectus.com/p/56949",56949)</f>
        <v>56949</v>
      </c>
      <c r="B483" t="s">
        <v>5015</v>
      </c>
      <c r="C483" t="s">
        <v>477</v>
      </c>
      <c r="D483" s="10">
        <v>32399</v>
      </c>
      <c r="E483" t="s">
        <v>33</v>
      </c>
      <c r="F483" t="s">
        <v>33</v>
      </c>
      <c r="G483">
        <v>72</v>
      </c>
      <c r="H483">
        <v>195</v>
      </c>
      <c r="I483">
        <v>2018</v>
      </c>
      <c r="J483" s="4" t="str">
        <f>HYPERLINK("http://legacy.baseballprospectus.com/fantasy/dc/index.php?tm=BOS","BOS")</f>
        <v>BOS</v>
      </c>
      <c r="K483" t="s">
        <v>95</v>
      </c>
      <c r="L483" t="s">
        <v>34</v>
      </c>
      <c r="M483">
        <v>29</v>
      </c>
      <c r="N483">
        <v>1.1000000000000001</v>
      </c>
      <c r="O483">
        <v>1.1000000000000001</v>
      </c>
      <c r="P483">
        <v>0</v>
      </c>
      <c r="Q483">
        <v>0</v>
      </c>
      <c r="R483">
        <v>0</v>
      </c>
      <c r="S483">
        <v>1</v>
      </c>
      <c r="T483">
        <v>22</v>
      </c>
      <c r="U483">
        <v>0</v>
      </c>
      <c r="V483" s="9">
        <v>23.333300000000001</v>
      </c>
      <c r="W483">
        <v>102</v>
      </c>
      <c r="X483">
        <v>24</v>
      </c>
      <c r="Y483">
        <v>2</v>
      </c>
      <c r="Z483">
        <v>10</v>
      </c>
      <c r="AA483">
        <v>1</v>
      </c>
      <c r="AB483">
        <v>1</v>
      </c>
      <c r="AC483">
        <v>19</v>
      </c>
      <c r="AD483">
        <v>3.9</v>
      </c>
      <c r="AE483">
        <v>7.3</v>
      </c>
      <c r="AF483" s="5">
        <v>0.501</v>
      </c>
      <c r="AG483">
        <v>0.29899999999999999</v>
      </c>
      <c r="AH483">
        <v>1.45</v>
      </c>
      <c r="AI483">
        <v>4.32</v>
      </c>
      <c r="AJ483">
        <v>4.76</v>
      </c>
      <c r="AK483">
        <v>1.2</v>
      </c>
      <c r="AL483">
        <v>0.1</v>
      </c>
      <c r="AM483">
        <v>15</v>
      </c>
      <c r="AN483">
        <v>25</v>
      </c>
      <c r="AO483">
        <v>8</v>
      </c>
      <c r="AP483">
        <v>14</v>
      </c>
      <c r="AQ483" t="s">
        <v>5016</v>
      </c>
      <c r="AR483">
        <v>37</v>
      </c>
      <c r="AS483" t="s">
        <v>35</v>
      </c>
      <c r="AT483" t="s">
        <v>35</v>
      </c>
      <c r="AU483" s="4">
        <f>HYPERLINK("http://mlb.mlb.com/team/player.jsp?player_id=519393",519393)</f>
        <v>519393</v>
      </c>
      <c r="AV483">
        <v>0</v>
      </c>
      <c r="AW483">
        <v>0</v>
      </c>
      <c r="AX483">
        <v>0</v>
      </c>
    </row>
    <row r="484" spans="1:50" x14ac:dyDescent="0.3">
      <c r="A484" s="4">
        <f>HYPERLINK("http://legacy.baseballprospectus.com/p/57550",57550)</f>
        <v>57550</v>
      </c>
      <c r="B484" t="s">
        <v>1609</v>
      </c>
      <c r="C484" t="s">
        <v>150</v>
      </c>
      <c r="D484" s="10">
        <v>32473</v>
      </c>
      <c r="E484" t="s">
        <v>9</v>
      </c>
      <c r="F484" t="s">
        <v>9</v>
      </c>
      <c r="G484">
        <v>74</v>
      </c>
      <c r="H484">
        <v>246</v>
      </c>
      <c r="I484">
        <v>2018</v>
      </c>
      <c r="J484" s="4" t="str">
        <f>HYPERLINK("http://legacy.baseballprospectus.com/fantasy/dc/index.php?tm=PIT","PIT")</f>
        <v>PIT</v>
      </c>
      <c r="K484" t="s">
        <v>100</v>
      </c>
      <c r="L484" t="s">
        <v>34</v>
      </c>
      <c r="M484">
        <v>29</v>
      </c>
      <c r="N484">
        <v>2.5</v>
      </c>
      <c r="O484">
        <v>2.7</v>
      </c>
      <c r="P484">
        <v>0</v>
      </c>
      <c r="Q484">
        <v>0</v>
      </c>
      <c r="R484">
        <v>0</v>
      </c>
      <c r="S484">
        <v>1</v>
      </c>
      <c r="T484">
        <v>51</v>
      </c>
      <c r="U484">
        <v>0</v>
      </c>
      <c r="V484" s="9">
        <v>54</v>
      </c>
      <c r="W484">
        <v>242</v>
      </c>
      <c r="X484">
        <v>55</v>
      </c>
      <c r="Y484">
        <v>8</v>
      </c>
      <c r="Z484">
        <v>25</v>
      </c>
      <c r="AA484">
        <v>3</v>
      </c>
      <c r="AB484">
        <v>2</v>
      </c>
      <c r="AC484">
        <v>58</v>
      </c>
      <c r="AD484">
        <v>4.2</v>
      </c>
      <c r="AE484">
        <v>9.6</v>
      </c>
      <c r="AF484" s="5">
        <v>0.443</v>
      </c>
      <c r="AG484">
        <v>0.313</v>
      </c>
      <c r="AH484">
        <v>1.5</v>
      </c>
      <c r="AI484">
        <v>4.66</v>
      </c>
      <c r="AJ484">
        <v>4.82</v>
      </c>
      <c r="AK484">
        <v>1</v>
      </c>
      <c r="AL484">
        <v>0.1</v>
      </c>
      <c r="AM484">
        <v>17</v>
      </c>
      <c r="AN484">
        <v>33</v>
      </c>
      <c r="AO484">
        <v>14</v>
      </c>
      <c r="AP484">
        <v>19</v>
      </c>
      <c r="AQ484" t="s">
        <v>2841</v>
      </c>
      <c r="AR484">
        <v>63</v>
      </c>
      <c r="AS484" t="s">
        <v>35</v>
      </c>
      <c r="AT484" t="s">
        <v>36</v>
      </c>
      <c r="AU484" s="4">
        <f>HYPERLINK("http://mlb.mlb.com/team/player.jsp?player_id=519294",519294)</f>
        <v>519294</v>
      </c>
      <c r="AV484">
        <v>1282</v>
      </c>
      <c r="AW484">
        <v>282</v>
      </c>
      <c r="AX484">
        <v>56.3</v>
      </c>
    </row>
    <row r="485" spans="1:50" x14ac:dyDescent="0.3">
      <c r="A485" s="4">
        <f>HYPERLINK("http://legacy.baseballprospectus.com/p/57827",57827)</f>
        <v>57827</v>
      </c>
      <c r="B485" t="s">
        <v>792</v>
      </c>
      <c r="C485" t="s">
        <v>329</v>
      </c>
      <c r="D485" s="10">
        <v>31825</v>
      </c>
      <c r="E485" t="s">
        <v>33</v>
      </c>
      <c r="F485" t="s">
        <v>33</v>
      </c>
      <c r="G485">
        <v>69</v>
      </c>
      <c r="H485">
        <v>185</v>
      </c>
      <c r="I485">
        <v>2018</v>
      </c>
      <c r="J485" s="4" t="str">
        <f>HYPERLINK("http://legacy.baseballprospectus.com/fantasy/dc/index.php?tm=CHA","CHA")</f>
        <v>CHA</v>
      </c>
      <c r="K485" t="s">
        <v>95</v>
      </c>
      <c r="L485" t="s">
        <v>34</v>
      </c>
      <c r="M485">
        <v>31</v>
      </c>
      <c r="N485">
        <v>2.4</v>
      </c>
      <c r="O485">
        <v>3</v>
      </c>
      <c r="P485">
        <v>0</v>
      </c>
      <c r="Q485">
        <v>0</v>
      </c>
      <c r="R485">
        <v>0</v>
      </c>
      <c r="S485">
        <v>1</v>
      </c>
      <c r="T485">
        <v>54</v>
      </c>
      <c r="U485">
        <v>0</v>
      </c>
      <c r="V485" s="9">
        <v>57.666699999999999</v>
      </c>
      <c r="W485">
        <v>258</v>
      </c>
      <c r="X485">
        <v>58</v>
      </c>
      <c r="Y485">
        <v>9</v>
      </c>
      <c r="Z485">
        <v>27</v>
      </c>
      <c r="AA485">
        <v>2</v>
      </c>
      <c r="AB485">
        <v>4</v>
      </c>
      <c r="AC485">
        <v>53</v>
      </c>
      <c r="AD485">
        <v>4.2</v>
      </c>
      <c r="AE485">
        <v>8.3000000000000007</v>
      </c>
      <c r="AF485" s="5">
        <v>0.433</v>
      </c>
      <c r="AG485">
        <v>0.29799999999999999</v>
      </c>
      <c r="AH485">
        <v>1.48</v>
      </c>
      <c r="AI485">
        <v>5.05</v>
      </c>
      <c r="AJ485">
        <v>5.05</v>
      </c>
      <c r="AK485">
        <v>1.2</v>
      </c>
      <c r="AL485">
        <v>0.1</v>
      </c>
      <c r="AM485">
        <v>32</v>
      </c>
      <c r="AN485">
        <v>43</v>
      </c>
      <c r="AO485">
        <v>22</v>
      </c>
      <c r="AP485">
        <v>22</v>
      </c>
      <c r="AQ485" t="s">
        <v>2842</v>
      </c>
      <c r="AR485">
        <v>79</v>
      </c>
      <c r="AS485" t="s">
        <v>35</v>
      </c>
      <c r="AT485" t="s">
        <v>36</v>
      </c>
      <c r="AU485" s="4">
        <f>HYPERLINK("http://mlb.mlb.com/team/player.jsp?player_id=543144",543144)</f>
        <v>543144</v>
      </c>
      <c r="AV485">
        <v>284</v>
      </c>
      <c r="AW485">
        <v>1284</v>
      </c>
      <c r="AX485">
        <v>49.3</v>
      </c>
    </row>
    <row r="486" spans="1:50" x14ac:dyDescent="0.3">
      <c r="A486" s="4">
        <f>HYPERLINK("http://legacy.baseballprospectus.com/p/58356",58356)</f>
        <v>58356</v>
      </c>
      <c r="B486" t="s">
        <v>853</v>
      </c>
      <c r="C486" t="s">
        <v>814</v>
      </c>
      <c r="D486" s="10">
        <v>31592</v>
      </c>
      <c r="E486" t="s">
        <v>33</v>
      </c>
      <c r="F486" t="s">
        <v>33</v>
      </c>
      <c r="G486">
        <v>75</v>
      </c>
      <c r="H486">
        <v>235</v>
      </c>
      <c r="I486">
        <v>2018</v>
      </c>
      <c r="J486" s="4" t="str">
        <f>HYPERLINK("http://legacy.baseballprospectus.com/fantasy/dc/index.php?tm=LAN","LAN")</f>
        <v>LAN</v>
      </c>
      <c r="K486" t="s">
        <v>100</v>
      </c>
      <c r="L486" t="s">
        <v>34</v>
      </c>
      <c r="M486">
        <v>32</v>
      </c>
      <c r="N486">
        <v>1.6</v>
      </c>
      <c r="O486">
        <v>1.4</v>
      </c>
      <c r="P486">
        <v>1</v>
      </c>
      <c r="Q486">
        <v>0</v>
      </c>
      <c r="R486">
        <v>0</v>
      </c>
      <c r="S486">
        <v>0</v>
      </c>
      <c r="T486">
        <v>13</v>
      </c>
      <c r="U486">
        <v>3</v>
      </c>
      <c r="V486" s="9">
        <v>26.333300000000001</v>
      </c>
      <c r="W486">
        <v>114</v>
      </c>
      <c r="X486">
        <v>25</v>
      </c>
      <c r="Y486">
        <v>4</v>
      </c>
      <c r="Z486">
        <v>12</v>
      </c>
      <c r="AA486">
        <v>1</v>
      </c>
      <c r="AB486">
        <v>1</v>
      </c>
      <c r="AC486">
        <v>24</v>
      </c>
      <c r="AD486">
        <v>4</v>
      </c>
      <c r="AE486">
        <v>8.1</v>
      </c>
      <c r="AF486" s="5">
        <v>0.44400000000000001</v>
      </c>
      <c r="AG486">
        <v>0.29199999999999998</v>
      </c>
      <c r="AH486">
        <v>1.38</v>
      </c>
      <c r="AI486">
        <v>4.47</v>
      </c>
      <c r="AJ486">
        <v>4.93</v>
      </c>
      <c r="AK486">
        <v>0.6</v>
      </c>
      <c r="AL486">
        <v>0.1</v>
      </c>
      <c r="AM486">
        <v>11</v>
      </c>
      <c r="AN486">
        <v>46</v>
      </c>
      <c r="AO486">
        <v>20</v>
      </c>
      <c r="AP486">
        <v>12</v>
      </c>
      <c r="AQ486" t="s">
        <v>2991</v>
      </c>
      <c r="AR486">
        <v>84</v>
      </c>
      <c r="AS486" t="s">
        <v>35</v>
      </c>
      <c r="AT486" t="s">
        <v>36</v>
      </c>
      <c r="AU486" s="4">
        <f>HYPERLINK("http://mlb.mlb.com/team/player.jsp?player_id=543408",543408)</f>
        <v>543408</v>
      </c>
      <c r="AV486">
        <v>1069</v>
      </c>
      <c r="AW486">
        <v>69</v>
      </c>
      <c r="AX486">
        <v>72.7</v>
      </c>
    </row>
    <row r="487" spans="1:50" x14ac:dyDescent="0.3">
      <c r="A487" s="4">
        <f>HYPERLINK("http://legacy.baseballprospectus.com/p/58568",58568)</f>
        <v>58568</v>
      </c>
      <c r="B487" t="s">
        <v>588</v>
      </c>
      <c r="C487" t="s">
        <v>685</v>
      </c>
      <c r="D487" s="10">
        <v>32653</v>
      </c>
      <c r="E487" t="s">
        <v>33</v>
      </c>
      <c r="F487" t="s">
        <v>33</v>
      </c>
      <c r="G487">
        <v>76</v>
      </c>
      <c r="H487">
        <v>215</v>
      </c>
      <c r="I487">
        <v>2018</v>
      </c>
      <c r="J487" s="4" t="str">
        <f>HYPERLINK("http://legacy.baseballprospectus.com/fantasy/dc/index.php?tm=CLE","CLE")</f>
        <v>CLE</v>
      </c>
      <c r="K487" t="s">
        <v>95</v>
      </c>
      <c r="L487" t="s">
        <v>34</v>
      </c>
      <c r="M487">
        <v>29</v>
      </c>
      <c r="N487">
        <v>0.5</v>
      </c>
      <c r="O487">
        <v>0.4</v>
      </c>
      <c r="P487">
        <v>0</v>
      </c>
      <c r="Q487">
        <v>0</v>
      </c>
      <c r="R487">
        <v>0</v>
      </c>
      <c r="S487">
        <v>0</v>
      </c>
      <c r="T487">
        <v>9</v>
      </c>
      <c r="U487">
        <v>0</v>
      </c>
      <c r="V487" s="9">
        <v>9.6667000000000005</v>
      </c>
      <c r="W487">
        <v>43</v>
      </c>
      <c r="X487">
        <v>9</v>
      </c>
      <c r="Y487">
        <v>1</v>
      </c>
      <c r="Z487">
        <v>5</v>
      </c>
      <c r="AA487">
        <v>0</v>
      </c>
      <c r="AB487">
        <v>0</v>
      </c>
      <c r="AC487">
        <v>11</v>
      </c>
      <c r="AD487">
        <v>4.3</v>
      </c>
      <c r="AE487">
        <v>10.199999999999999</v>
      </c>
      <c r="AF487" s="5">
        <v>0.37</v>
      </c>
      <c r="AG487">
        <v>0.29599999999999999</v>
      </c>
      <c r="AH487">
        <v>1.41</v>
      </c>
      <c r="AI487">
        <v>4.24</v>
      </c>
      <c r="AJ487">
        <v>4.63</v>
      </c>
      <c r="AK487">
        <v>0.6</v>
      </c>
      <c r="AL487">
        <v>0.1</v>
      </c>
      <c r="AM487">
        <v>23</v>
      </c>
      <c r="AN487">
        <v>44</v>
      </c>
      <c r="AO487">
        <v>10</v>
      </c>
      <c r="AP487">
        <v>17</v>
      </c>
      <c r="AQ487" t="s">
        <v>4877</v>
      </c>
      <c r="AR487">
        <v>68</v>
      </c>
      <c r="AS487" t="s">
        <v>35</v>
      </c>
      <c r="AT487" t="s">
        <v>36</v>
      </c>
      <c r="AU487" s="4">
        <f>HYPERLINK("http://mlb.mlb.com/team/player.jsp?player_id=519166",519166)</f>
        <v>519166</v>
      </c>
      <c r="AV487">
        <v>0</v>
      </c>
      <c r="AW487">
        <v>0</v>
      </c>
      <c r="AX487">
        <v>31.3</v>
      </c>
    </row>
    <row r="488" spans="1:50" x14ac:dyDescent="0.3">
      <c r="A488" s="4">
        <f>HYPERLINK("http://legacy.baseballprospectus.com/p/58759",58759)</f>
        <v>58759</v>
      </c>
      <c r="B488" t="s">
        <v>2993</v>
      </c>
      <c r="C488" t="s">
        <v>2221</v>
      </c>
      <c r="D488" s="10">
        <v>32762</v>
      </c>
      <c r="E488" t="s">
        <v>9</v>
      </c>
      <c r="F488" t="s">
        <v>9</v>
      </c>
      <c r="G488">
        <v>76</v>
      </c>
      <c r="H488">
        <v>195</v>
      </c>
      <c r="I488">
        <v>2018</v>
      </c>
      <c r="J488" s="4" t="str">
        <f>HYPERLINK("http://legacy.baseballprospectus.com/fantasy/dc/index.php?tm=PIT","PIT")</f>
        <v>PIT</v>
      </c>
      <c r="K488" t="s">
        <v>100</v>
      </c>
      <c r="L488" t="s">
        <v>34</v>
      </c>
      <c r="M488">
        <v>28</v>
      </c>
      <c r="N488">
        <v>1.3</v>
      </c>
      <c r="O488">
        <v>1.3</v>
      </c>
      <c r="P488">
        <v>0</v>
      </c>
      <c r="Q488">
        <v>0</v>
      </c>
      <c r="R488">
        <v>0</v>
      </c>
      <c r="S488">
        <v>1</v>
      </c>
      <c r="T488">
        <v>26</v>
      </c>
      <c r="U488">
        <v>0</v>
      </c>
      <c r="V488" s="9">
        <v>27</v>
      </c>
      <c r="W488">
        <v>116</v>
      </c>
      <c r="X488">
        <v>24</v>
      </c>
      <c r="Y488">
        <v>4</v>
      </c>
      <c r="Z488">
        <v>13</v>
      </c>
      <c r="AA488">
        <v>1</v>
      </c>
      <c r="AB488">
        <v>1</v>
      </c>
      <c r="AC488">
        <v>29</v>
      </c>
      <c r="AD488">
        <v>4.3</v>
      </c>
      <c r="AE488">
        <v>9.6</v>
      </c>
      <c r="AF488" s="5">
        <v>0.40899999999999997</v>
      </c>
      <c r="AG488">
        <v>0.28899999999999998</v>
      </c>
      <c r="AH488">
        <v>1.35</v>
      </c>
      <c r="AI488">
        <v>4.62</v>
      </c>
      <c r="AJ488">
        <v>4.78</v>
      </c>
      <c r="AK488">
        <v>0.6</v>
      </c>
      <c r="AL488">
        <v>0.1</v>
      </c>
      <c r="AM488">
        <v>19</v>
      </c>
      <c r="AN488">
        <v>31</v>
      </c>
      <c r="AO488">
        <v>9</v>
      </c>
      <c r="AP488">
        <v>29</v>
      </c>
      <c r="AQ488" t="s">
        <v>2994</v>
      </c>
      <c r="AR488">
        <v>42</v>
      </c>
      <c r="AS488" t="s">
        <v>35</v>
      </c>
      <c r="AT488" t="s">
        <v>35</v>
      </c>
      <c r="AU488" s="4">
        <f>HYPERLINK("http://mlb.mlb.com/team/player.jsp?player_id=543867",543867)</f>
        <v>543867</v>
      </c>
      <c r="AV488">
        <v>1115</v>
      </c>
      <c r="AW488">
        <v>115</v>
      </c>
      <c r="AX488">
        <v>17.7</v>
      </c>
    </row>
    <row r="489" spans="1:50" x14ac:dyDescent="0.3">
      <c r="A489" s="4">
        <f>HYPERLINK("http://legacy.baseballprospectus.com/p/60509",60509)</f>
        <v>60509</v>
      </c>
      <c r="B489" t="s">
        <v>1304</v>
      </c>
      <c r="C489" t="s">
        <v>1305</v>
      </c>
      <c r="D489" s="10">
        <v>32303</v>
      </c>
      <c r="E489" t="s">
        <v>33</v>
      </c>
      <c r="F489" t="s">
        <v>9</v>
      </c>
      <c r="G489">
        <v>74</v>
      </c>
      <c r="H489">
        <v>220</v>
      </c>
      <c r="I489">
        <v>2018</v>
      </c>
      <c r="J489" s="4" t="str">
        <f>HYPERLINK("http://legacy.baseballprospectus.com/fantasy/dc/index.php?tm=COL","COL")</f>
        <v>COL</v>
      </c>
      <c r="K489" t="s">
        <v>100</v>
      </c>
      <c r="L489" t="s">
        <v>34</v>
      </c>
      <c r="M489">
        <v>30</v>
      </c>
      <c r="N489">
        <v>1.3</v>
      </c>
      <c r="O489">
        <v>1.3</v>
      </c>
      <c r="P489">
        <v>0</v>
      </c>
      <c r="Q489">
        <v>0</v>
      </c>
      <c r="R489">
        <v>0</v>
      </c>
      <c r="S489">
        <v>1</v>
      </c>
      <c r="T489">
        <v>26</v>
      </c>
      <c r="U489">
        <v>0</v>
      </c>
      <c r="V489" s="9">
        <v>27.666699999999999</v>
      </c>
      <c r="W489">
        <v>121</v>
      </c>
      <c r="X489">
        <v>26</v>
      </c>
      <c r="Y489">
        <v>5</v>
      </c>
      <c r="Z489">
        <v>12</v>
      </c>
      <c r="AA489">
        <v>1</v>
      </c>
      <c r="AB489">
        <v>1</v>
      </c>
      <c r="AC489">
        <v>33</v>
      </c>
      <c r="AD489">
        <v>4</v>
      </c>
      <c r="AE489">
        <v>10.7</v>
      </c>
      <c r="AF489" s="5">
        <v>0.39600000000000002</v>
      </c>
      <c r="AG489">
        <v>0.30499999999999999</v>
      </c>
      <c r="AH489">
        <v>1.41</v>
      </c>
      <c r="AI489">
        <v>4.5199999999999996</v>
      </c>
      <c r="AJ489">
        <v>4.57</v>
      </c>
      <c r="AK489">
        <v>1.2</v>
      </c>
      <c r="AL489">
        <v>0.1</v>
      </c>
      <c r="AM489">
        <v>14</v>
      </c>
      <c r="AN489">
        <v>26</v>
      </c>
      <c r="AO489">
        <v>20</v>
      </c>
      <c r="AP489">
        <v>17</v>
      </c>
      <c r="AQ489" t="s">
        <v>3001</v>
      </c>
      <c r="AR489">
        <v>64</v>
      </c>
      <c r="AS489" t="s">
        <v>35</v>
      </c>
      <c r="AT489" t="s">
        <v>36</v>
      </c>
      <c r="AU489" s="4">
        <f>HYPERLINK("http://mlb.mlb.com/team/player.jsp?player_id=573127",573127)</f>
        <v>573127</v>
      </c>
      <c r="AV489">
        <v>1343</v>
      </c>
      <c r="AW489">
        <v>343</v>
      </c>
      <c r="AX489">
        <v>7.7</v>
      </c>
    </row>
    <row r="490" spans="1:50" x14ac:dyDescent="0.3">
      <c r="A490" s="4">
        <f>HYPERLINK("http://legacy.baseballprospectus.com/p/60812",60812)</f>
        <v>60812</v>
      </c>
      <c r="B490" t="s">
        <v>588</v>
      </c>
      <c r="C490" t="s">
        <v>119</v>
      </c>
      <c r="D490" s="10">
        <v>32894</v>
      </c>
      <c r="E490" t="s">
        <v>33</v>
      </c>
      <c r="F490" t="s">
        <v>33</v>
      </c>
      <c r="G490">
        <v>73</v>
      </c>
      <c r="H490">
        <v>215</v>
      </c>
      <c r="I490">
        <v>2018</v>
      </c>
      <c r="J490" s="4" t="str">
        <f>HYPERLINK("http://legacy.baseballprospectus.com/fantasy/dc/index.php?tm=ATL","ATL")</f>
        <v>ATL</v>
      </c>
      <c r="K490" t="s">
        <v>100</v>
      </c>
      <c r="L490" t="s">
        <v>34</v>
      </c>
      <c r="M490">
        <v>28</v>
      </c>
      <c r="N490">
        <v>2.6</v>
      </c>
      <c r="O490">
        <v>2.6</v>
      </c>
      <c r="P490">
        <v>0</v>
      </c>
      <c r="Q490">
        <v>0</v>
      </c>
      <c r="R490">
        <v>2</v>
      </c>
      <c r="S490">
        <v>4</v>
      </c>
      <c r="T490">
        <v>52</v>
      </c>
      <c r="U490">
        <v>0</v>
      </c>
      <c r="V490" s="9">
        <v>54.666699999999999</v>
      </c>
      <c r="W490">
        <v>244</v>
      </c>
      <c r="X490">
        <v>53</v>
      </c>
      <c r="Y490">
        <v>7</v>
      </c>
      <c r="Z490">
        <v>27</v>
      </c>
      <c r="AA490">
        <v>2</v>
      </c>
      <c r="AB490">
        <v>4</v>
      </c>
      <c r="AC490">
        <v>52</v>
      </c>
      <c r="AD490">
        <v>4.4000000000000004</v>
      </c>
      <c r="AE490">
        <v>8.5</v>
      </c>
      <c r="AF490" s="5">
        <v>0.439</v>
      </c>
      <c r="AG490">
        <v>0.29499999999999998</v>
      </c>
      <c r="AH490">
        <v>1.45</v>
      </c>
      <c r="AI490">
        <v>4.63</v>
      </c>
      <c r="AJ490">
        <v>4.91</v>
      </c>
      <c r="AK490">
        <v>0.5</v>
      </c>
      <c r="AL490">
        <v>0.1</v>
      </c>
      <c r="AM490">
        <v>30</v>
      </c>
      <c r="AN490">
        <v>45</v>
      </c>
      <c r="AO490">
        <v>12</v>
      </c>
      <c r="AP490">
        <v>12</v>
      </c>
      <c r="AQ490" t="s">
        <v>3002</v>
      </c>
      <c r="AR490">
        <v>67</v>
      </c>
      <c r="AS490" t="s">
        <v>35</v>
      </c>
      <c r="AT490" t="s">
        <v>36</v>
      </c>
      <c r="AU490" s="4">
        <f>HYPERLINK("http://mlb.mlb.com/team/player.jsp?player_id=542432",542432)</f>
        <v>542432</v>
      </c>
      <c r="AV490">
        <v>1261</v>
      </c>
      <c r="AW490">
        <v>261</v>
      </c>
      <c r="AX490">
        <v>62</v>
      </c>
    </row>
    <row r="491" spans="1:50" x14ac:dyDescent="0.3">
      <c r="A491" s="4">
        <f>HYPERLINK("http://legacy.baseballprospectus.com/p/65853",65853)</f>
        <v>65853</v>
      </c>
      <c r="B491" t="s">
        <v>161</v>
      </c>
      <c r="C491" t="s">
        <v>713</v>
      </c>
      <c r="D491" s="10">
        <v>32567</v>
      </c>
      <c r="E491" t="s">
        <v>33</v>
      </c>
      <c r="F491" t="s">
        <v>9</v>
      </c>
      <c r="G491">
        <v>75</v>
      </c>
      <c r="H491">
        <v>200</v>
      </c>
      <c r="I491">
        <v>2018</v>
      </c>
      <c r="J491" s="4" t="str">
        <f>HYPERLINK("http://legacy.baseballprospectus.com/fantasy/dc/index.php?tm=DET","DET")</f>
        <v>DET</v>
      </c>
      <c r="K491" t="s">
        <v>95</v>
      </c>
      <c r="L491" t="s">
        <v>34</v>
      </c>
      <c r="M491">
        <v>29</v>
      </c>
      <c r="N491">
        <v>1.1000000000000001</v>
      </c>
      <c r="O491">
        <v>1.5</v>
      </c>
      <c r="P491">
        <v>0</v>
      </c>
      <c r="Q491">
        <v>0</v>
      </c>
      <c r="R491">
        <v>0</v>
      </c>
      <c r="S491">
        <v>0</v>
      </c>
      <c r="T491">
        <v>26</v>
      </c>
      <c r="U491">
        <v>0</v>
      </c>
      <c r="V491" s="9">
        <v>27.666699999999999</v>
      </c>
      <c r="W491">
        <v>123</v>
      </c>
      <c r="X491">
        <v>29</v>
      </c>
      <c r="Y491">
        <v>4</v>
      </c>
      <c r="Z491">
        <v>12</v>
      </c>
      <c r="AA491">
        <v>1</v>
      </c>
      <c r="AB491">
        <v>1</v>
      </c>
      <c r="AC491">
        <v>24</v>
      </c>
      <c r="AD491">
        <v>4</v>
      </c>
      <c r="AE491">
        <v>7.9</v>
      </c>
      <c r="AF491" s="5">
        <v>0.46400000000000002</v>
      </c>
      <c r="AG491">
        <v>0.30299999999999999</v>
      </c>
      <c r="AH491">
        <v>1.51</v>
      </c>
      <c r="AI491">
        <v>5.07</v>
      </c>
      <c r="AJ491">
        <v>4.96</v>
      </c>
      <c r="AK491">
        <v>0.8</v>
      </c>
      <c r="AL491">
        <v>0.1</v>
      </c>
      <c r="AM491">
        <v>15</v>
      </c>
      <c r="AN491">
        <v>24</v>
      </c>
      <c r="AO491">
        <v>11</v>
      </c>
      <c r="AP491">
        <v>24</v>
      </c>
      <c r="AQ491" t="s">
        <v>2714</v>
      </c>
      <c r="AR491">
        <v>44</v>
      </c>
      <c r="AS491" t="s">
        <v>35</v>
      </c>
      <c r="AT491" t="s">
        <v>36</v>
      </c>
      <c r="AU491" s="4">
        <f>HYPERLINK("http://mlb.mlb.com/team/player.jsp?player_id=518445",518445)</f>
        <v>518445</v>
      </c>
      <c r="AV491">
        <v>76</v>
      </c>
      <c r="AW491">
        <v>1076</v>
      </c>
      <c r="AX491">
        <v>62.3</v>
      </c>
    </row>
    <row r="492" spans="1:50" x14ac:dyDescent="0.3">
      <c r="A492" s="4">
        <f>HYPERLINK("http://legacy.baseballprospectus.com/p/65913",65913)</f>
        <v>65913</v>
      </c>
      <c r="B492" t="s">
        <v>950</v>
      </c>
      <c r="C492" t="s">
        <v>809</v>
      </c>
      <c r="D492" s="10">
        <v>32365</v>
      </c>
      <c r="E492" t="s">
        <v>33</v>
      </c>
      <c r="F492" t="s">
        <v>9</v>
      </c>
      <c r="G492">
        <v>77</v>
      </c>
      <c r="H492">
        <v>250</v>
      </c>
      <c r="I492">
        <v>2018</v>
      </c>
      <c r="J492" s="4" t="str">
        <f>HYPERLINK("http://legacy.baseballprospectus.com/fantasy/dc/index.php?tm=WAS","WAS")</f>
        <v>WAS</v>
      </c>
      <c r="K492" t="s">
        <v>100</v>
      </c>
      <c r="L492" t="s">
        <v>34</v>
      </c>
      <c r="M492">
        <v>29</v>
      </c>
      <c r="N492">
        <v>1.3</v>
      </c>
      <c r="O492">
        <v>1.2</v>
      </c>
      <c r="P492">
        <v>0</v>
      </c>
      <c r="Q492">
        <v>0</v>
      </c>
      <c r="R492">
        <v>0</v>
      </c>
      <c r="S492">
        <v>1</v>
      </c>
      <c r="T492">
        <v>25</v>
      </c>
      <c r="U492">
        <v>0</v>
      </c>
      <c r="V492" s="9">
        <v>26</v>
      </c>
      <c r="W492">
        <v>116</v>
      </c>
      <c r="X492">
        <v>26</v>
      </c>
      <c r="Y492">
        <v>3</v>
      </c>
      <c r="Z492">
        <v>12</v>
      </c>
      <c r="AA492">
        <v>1</v>
      </c>
      <c r="AB492">
        <v>1</v>
      </c>
      <c r="AC492">
        <v>25</v>
      </c>
      <c r="AD492">
        <v>4.3</v>
      </c>
      <c r="AE492">
        <v>8.5</v>
      </c>
      <c r="AF492" s="5">
        <v>0.45400000000000001</v>
      </c>
      <c r="AG492">
        <v>0.30199999999999999</v>
      </c>
      <c r="AH492">
        <v>1.49</v>
      </c>
      <c r="AI492">
        <v>4.57</v>
      </c>
      <c r="AJ492">
        <v>4.7300000000000004</v>
      </c>
      <c r="AK492">
        <v>0.7</v>
      </c>
      <c r="AL492">
        <v>0.1</v>
      </c>
      <c r="AM492">
        <v>23</v>
      </c>
      <c r="AN492">
        <v>50</v>
      </c>
      <c r="AO492">
        <v>18</v>
      </c>
      <c r="AP492">
        <v>19</v>
      </c>
      <c r="AQ492" t="s">
        <v>3004</v>
      </c>
      <c r="AR492">
        <v>80</v>
      </c>
      <c r="AS492" t="s">
        <v>35</v>
      </c>
      <c r="AT492" t="s">
        <v>36</v>
      </c>
      <c r="AU492" s="4">
        <f>HYPERLINK("http://mlb.mlb.com/team/player.jsp?player_id=519301",519301)</f>
        <v>519301</v>
      </c>
      <c r="AV492">
        <v>1320</v>
      </c>
      <c r="AW492">
        <v>320</v>
      </c>
      <c r="AX492">
        <v>26</v>
      </c>
    </row>
    <row r="493" spans="1:50" x14ac:dyDescent="0.3">
      <c r="A493" s="4">
        <f>HYPERLINK("http://legacy.baseballprospectus.com/p/66774",66774)</f>
        <v>66774</v>
      </c>
      <c r="B493" t="s">
        <v>2630</v>
      </c>
      <c r="C493" t="s">
        <v>379</v>
      </c>
      <c r="D493" s="10">
        <v>32473</v>
      </c>
      <c r="E493" t="s">
        <v>33</v>
      </c>
      <c r="F493" t="s">
        <v>33</v>
      </c>
      <c r="G493">
        <v>72</v>
      </c>
      <c r="H493">
        <v>180</v>
      </c>
      <c r="I493">
        <v>2018</v>
      </c>
      <c r="J493" s="4" t="str">
        <f>HYPERLINK("http://legacy.baseballprospectus.com/fantasy/dc/index.php?tm=BOS","BOS")</f>
        <v>BOS</v>
      </c>
      <c r="K493" t="s">
        <v>95</v>
      </c>
      <c r="L493" t="s">
        <v>34</v>
      </c>
      <c r="M493">
        <v>29</v>
      </c>
      <c r="N493">
        <v>2</v>
      </c>
      <c r="O493">
        <v>2</v>
      </c>
      <c r="P493">
        <v>3</v>
      </c>
      <c r="Q493">
        <v>0</v>
      </c>
      <c r="R493">
        <v>0</v>
      </c>
      <c r="S493">
        <v>0</v>
      </c>
      <c r="T493">
        <v>6</v>
      </c>
      <c r="U493">
        <v>6</v>
      </c>
      <c r="V493" s="9">
        <v>31.666699999999999</v>
      </c>
      <c r="W493">
        <v>137</v>
      </c>
      <c r="X493">
        <v>33</v>
      </c>
      <c r="Y493">
        <v>5</v>
      </c>
      <c r="Z493">
        <v>11</v>
      </c>
      <c r="AA493">
        <v>1</v>
      </c>
      <c r="AB493">
        <v>1</v>
      </c>
      <c r="AC493">
        <v>25</v>
      </c>
      <c r="AD493">
        <v>3.1</v>
      </c>
      <c r="AE493">
        <v>7.1</v>
      </c>
      <c r="AF493" s="5">
        <v>0.436</v>
      </c>
      <c r="AG493">
        <v>0.29499999999999998</v>
      </c>
      <c r="AH493">
        <v>1.39</v>
      </c>
      <c r="AI493">
        <v>4.51</v>
      </c>
      <c r="AJ493">
        <v>5.16</v>
      </c>
      <c r="AK493">
        <v>1.2</v>
      </c>
      <c r="AL493">
        <v>0.1</v>
      </c>
      <c r="AM493">
        <v>20</v>
      </c>
      <c r="AN493">
        <v>35</v>
      </c>
      <c r="AO493">
        <v>15</v>
      </c>
      <c r="AP493">
        <v>20</v>
      </c>
      <c r="AQ493" t="s">
        <v>2631</v>
      </c>
      <c r="AR493">
        <v>61</v>
      </c>
      <c r="AS493" t="s">
        <v>35</v>
      </c>
      <c r="AT493" t="s">
        <v>35</v>
      </c>
      <c r="AU493" s="4">
        <f>HYPERLINK("http://mlb.mlb.com/team/player.jsp?player_id=584171",584171)</f>
        <v>584171</v>
      </c>
      <c r="AV493">
        <v>0</v>
      </c>
      <c r="AW493">
        <v>0</v>
      </c>
      <c r="AX493">
        <v>24.7</v>
      </c>
    </row>
    <row r="494" spans="1:50" x14ac:dyDescent="0.3">
      <c r="A494" s="4">
        <f>HYPERLINK("http://legacy.baseballprospectus.com/p/66928",66928)</f>
        <v>66928</v>
      </c>
      <c r="B494" t="s">
        <v>709</v>
      </c>
      <c r="C494" t="s">
        <v>329</v>
      </c>
      <c r="D494" s="10">
        <v>32802</v>
      </c>
      <c r="E494" t="s">
        <v>9</v>
      </c>
      <c r="F494" t="s">
        <v>33</v>
      </c>
      <c r="G494">
        <v>73</v>
      </c>
      <c r="H494">
        <v>195</v>
      </c>
      <c r="I494">
        <v>2018</v>
      </c>
      <c r="J494" s="4" t="str">
        <f>HYPERLINK("http://legacy.baseballprospectus.com/fantasy/dc/index.php?tm=TOR","TOR")</f>
        <v>TOR</v>
      </c>
      <c r="K494" t="s">
        <v>95</v>
      </c>
      <c r="L494" t="s">
        <v>34</v>
      </c>
      <c r="M494">
        <v>28</v>
      </c>
      <c r="N494">
        <v>2.7</v>
      </c>
      <c r="O494">
        <v>3.2</v>
      </c>
      <c r="P494">
        <v>0</v>
      </c>
      <c r="Q494">
        <v>0</v>
      </c>
      <c r="R494">
        <v>0</v>
      </c>
      <c r="S494">
        <v>0</v>
      </c>
      <c r="T494">
        <v>59</v>
      </c>
      <c r="U494">
        <v>0</v>
      </c>
      <c r="V494" s="9">
        <v>62.333300000000001</v>
      </c>
      <c r="W494">
        <v>270</v>
      </c>
      <c r="X494">
        <v>60</v>
      </c>
      <c r="Y494">
        <v>12</v>
      </c>
      <c r="Z494">
        <v>25</v>
      </c>
      <c r="AA494">
        <v>2</v>
      </c>
      <c r="AB494">
        <v>2</v>
      </c>
      <c r="AC494">
        <v>64</v>
      </c>
      <c r="AD494">
        <v>3.6</v>
      </c>
      <c r="AE494">
        <v>9.3000000000000007</v>
      </c>
      <c r="AF494" s="5">
        <v>0.36199999999999999</v>
      </c>
      <c r="AG494">
        <v>0.29199999999999998</v>
      </c>
      <c r="AH494">
        <v>1.37</v>
      </c>
      <c r="AI494">
        <v>5.08</v>
      </c>
      <c r="AJ494">
        <v>5.15</v>
      </c>
      <c r="AK494">
        <v>0.6</v>
      </c>
      <c r="AL494">
        <v>0.1</v>
      </c>
      <c r="AM494">
        <v>21</v>
      </c>
      <c r="AN494">
        <v>33</v>
      </c>
      <c r="AO494">
        <v>24</v>
      </c>
      <c r="AP494">
        <v>21</v>
      </c>
      <c r="AQ494" t="s">
        <v>2632</v>
      </c>
      <c r="AR494">
        <v>73</v>
      </c>
      <c r="AS494" t="s">
        <v>35</v>
      </c>
      <c r="AT494" t="s">
        <v>36</v>
      </c>
      <c r="AU494" s="4">
        <f>HYPERLINK("http://mlb.mlb.com/team/player.jsp?player_id=592130",592130)</f>
        <v>592130</v>
      </c>
      <c r="AV494">
        <v>243</v>
      </c>
      <c r="AW494">
        <v>1243</v>
      </c>
      <c r="AX494">
        <v>66</v>
      </c>
    </row>
    <row r="495" spans="1:50" x14ac:dyDescent="0.3">
      <c r="A495" s="4">
        <f>HYPERLINK("http://legacy.baseballprospectus.com/p/639",639)</f>
        <v>639</v>
      </c>
      <c r="B495" t="s">
        <v>568</v>
      </c>
      <c r="C495" t="s">
        <v>897</v>
      </c>
      <c r="D495" s="10">
        <v>29813</v>
      </c>
      <c r="E495" t="s">
        <v>9</v>
      </c>
      <c r="F495" t="s">
        <v>9</v>
      </c>
      <c r="G495">
        <v>75</v>
      </c>
      <c r="H495">
        <v>225</v>
      </c>
      <c r="I495">
        <v>2018</v>
      </c>
      <c r="J495" s="4" t="str">
        <f>HYPERLINK("http://legacy.baseballprospectus.com/fantasy/dc/index.php?tm=CIN","CIN")</f>
        <v>CIN</v>
      </c>
      <c r="K495" t="s">
        <v>100</v>
      </c>
      <c r="L495" t="s">
        <v>34</v>
      </c>
      <c r="M495">
        <v>36</v>
      </c>
      <c r="N495">
        <v>1.7</v>
      </c>
      <c r="O495">
        <v>0.6</v>
      </c>
      <c r="P495">
        <v>0</v>
      </c>
      <c r="Q495">
        <v>0</v>
      </c>
      <c r="R495">
        <v>0.6</v>
      </c>
      <c r="S495">
        <v>0</v>
      </c>
      <c r="T495">
        <v>33.200000000000003</v>
      </c>
      <c r="U495">
        <v>0</v>
      </c>
      <c r="V495" s="9">
        <v>35</v>
      </c>
      <c r="W495">
        <v>150</v>
      </c>
      <c r="X495">
        <v>33</v>
      </c>
      <c r="Y495">
        <v>5</v>
      </c>
      <c r="Z495">
        <v>15</v>
      </c>
      <c r="AA495" t="s">
        <v>1680</v>
      </c>
      <c r="AB495">
        <v>3</v>
      </c>
      <c r="AC495">
        <v>39</v>
      </c>
      <c r="AD495">
        <v>4</v>
      </c>
      <c r="AE495">
        <v>10.1</v>
      </c>
      <c r="AF495" s="5">
        <v>0.40008583664894098</v>
      </c>
      <c r="AG495">
        <v>0.32500000000000001</v>
      </c>
      <c r="AH495">
        <v>1.38</v>
      </c>
      <c r="AI495">
        <v>4.1500000000000004</v>
      </c>
      <c r="AJ495">
        <v>4.75</v>
      </c>
      <c r="AK495">
        <v>1.1000000000000001</v>
      </c>
      <c r="AL495">
        <v>0.1</v>
      </c>
      <c r="AM495">
        <v>25</v>
      </c>
      <c r="AN495">
        <v>45</v>
      </c>
      <c r="AO495">
        <v>20</v>
      </c>
      <c r="AP495">
        <v>7</v>
      </c>
      <c r="AQ495" t="s">
        <v>2855</v>
      </c>
      <c r="AR495">
        <v>77</v>
      </c>
      <c r="AS495" t="s">
        <v>36</v>
      </c>
      <c r="AT495" t="s">
        <v>36</v>
      </c>
      <c r="AU495" s="4">
        <f>HYPERLINK("http://mlb.mlb.com/team/player.jsp?player_id=424144",424144)</f>
        <v>424144</v>
      </c>
      <c r="AV495">
        <v>0</v>
      </c>
      <c r="AW495">
        <v>0</v>
      </c>
      <c r="AX495">
        <v>33</v>
      </c>
    </row>
    <row r="496" spans="1:50" x14ac:dyDescent="0.3">
      <c r="A496" s="4">
        <f>HYPERLINK("http://legacy.baseballprospectus.com/p/17096",17096)</f>
        <v>17096</v>
      </c>
      <c r="B496" t="s">
        <v>819</v>
      </c>
      <c r="C496" t="s">
        <v>156</v>
      </c>
      <c r="D496" s="10">
        <v>28075</v>
      </c>
      <c r="E496" t="s">
        <v>33</v>
      </c>
      <c r="F496" t="s">
        <v>33</v>
      </c>
      <c r="G496">
        <v>77</v>
      </c>
      <c r="H496">
        <v>235</v>
      </c>
      <c r="I496">
        <v>2018</v>
      </c>
      <c r="J496" s="4" t="str">
        <f>HYPERLINK("http://legacy.baseballprospectus.com/fantasy/dc/index.php?tm=TEX","TEX")</f>
        <v>TEX</v>
      </c>
      <c r="K496" t="s">
        <v>95</v>
      </c>
      <c r="L496" t="s">
        <v>34</v>
      </c>
      <c r="M496">
        <v>41</v>
      </c>
      <c r="N496">
        <v>1.7</v>
      </c>
      <c r="O496">
        <v>0.6</v>
      </c>
      <c r="P496">
        <v>0</v>
      </c>
      <c r="Q496">
        <v>0</v>
      </c>
      <c r="R496">
        <v>0.9</v>
      </c>
      <c r="S496">
        <v>0</v>
      </c>
      <c r="T496">
        <v>35.9</v>
      </c>
      <c r="U496">
        <v>0</v>
      </c>
      <c r="V496" s="9">
        <v>38</v>
      </c>
      <c r="W496">
        <v>169</v>
      </c>
      <c r="X496">
        <v>37</v>
      </c>
      <c r="Y496">
        <v>6</v>
      </c>
      <c r="Z496">
        <v>18</v>
      </c>
      <c r="AA496" t="s">
        <v>1680</v>
      </c>
      <c r="AB496">
        <v>2</v>
      </c>
      <c r="AC496">
        <v>41</v>
      </c>
      <c r="AD496">
        <v>4.3</v>
      </c>
      <c r="AE496">
        <v>9.6</v>
      </c>
      <c r="AF496" s="5">
        <v>0.33781200647354098</v>
      </c>
      <c r="AG496">
        <v>0.30299999999999999</v>
      </c>
      <c r="AH496">
        <v>1.46</v>
      </c>
      <c r="AI496">
        <v>4.95</v>
      </c>
      <c r="AJ496">
        <v>4.97</v>
      </c>
      <c r="AK496">
        <v>1</v>
      </c>
      <c r="AL496">
        <v>0.1</v>
      </c>
      <c r="AM496">
        <v>10</v>
      </c>
      <c r="AN496">
        <v>35</v>
      </c>
      <c r="AO496">
        <v>18</v>
      </c>
      <c r="AP496">
        <v>9</v>
      </c>
      <c r="AQ496" t="s">
        <v>3153</v>
      </c>
      <c r="AR496">
        <v>64</v>
      </c>
      <c r="AS496" t="s">
        <v>36</v>
      </c>
      <c r="AT496" t="s">
        <v>36</v>
      </c>
      <c r="AU496" s="4">
        <f>HYPERLINK("http://mlb.mlb.com/team/player.jsp?player_id=276351",276351)</f>
        <v>276351</v>
      </c>
      <c r="AV496">
        <v>0</v>
      </c>
      <c r="AW496">
        <v>0</v>
      </c>
      <c r="AX496">
        <v>40</v>
      </c>
    </row>
    <row r="497" spans="1:50" x14ac:dyDescent="0.3">
      <c r="A497" s="4">
        <f>HYPERLINK("http://legacy.baseballprospectus.com/p/33197",33197)</f>
        <v>33197</v>
      </c>
      <c r="B497" t="s">
        <v>732</v>
      </c>
      <c r="C497" t="s">
        <v>355</v>
      </c>
      <c r="D497" s="10">
        <v>30849</v>
      </c>
      <c r="E497" t="s">
        <v>33</v>
      </c>
      <c r="F497" t="s">
        <v>33</v>
      </c>
      <c r="G497">
        <v>76</v>
      </c>
      <c r="H497">
        <v>285</v>
      </c>
      <c r="I497">
        <v>2018</v>
      </c>
      <c r="J497" s="4" t="str">
        <f>HYPERLINK("http://legacy.baseballprospectus.com/fantasy/dc/index.php?tm=SLN","SLN")</f>
        <v>SLN</v>
      </c>
      <c r="K497" t="s">
        <v>100</v>
      </c>
      <c r="L497" t="s">
        <v>34</v>
      </c>
      <c r="M497">
        <v>34</v>
      </c>
      <c r="N497">
        <v>1.7</v>
      </c>
      <c r="O497">
        <v>0.6</v>
      </c>
      <c r="P497">
        <v>0</v>
      </c>
      <c r="Q497">
        <v>0</v>
      </c>
      <c r="R497">
        <v>0.5</v>
      </c>
      <c r="S497">
        <v>0</v>
      </c>
      <c r="T497">
        <v>33.5</v>
      </c>
      <c r="U497">
        <v>0</v>
      </c>
      <c r="V497" s="9">
        <v>35.333300000000001</v>
      </c>
      <c r="W497">
        <v>150</v>
      </c>
      <c r="X497">
        <v>34</v>
      </c>
      <c r="Y497">
        <v>4</v>
      </c>
      <c r="Z497">
        <v>16</v>
      </c>
      <c r="AA497" t="s">
        <v>1680</v>
      </c>
      <c r="AB497">
        <v>1</v>
      </c>
      <c r="AC497">
        <v>33</v>
      </c>
      <c r="AD497">
        <v>4</v>
      </c>
      <c r="AE497">
        <v>8.3000000000000007</v>
      </c>
      <c r="AF497" s="5">
        <v>0.48113793134689298</v>
      </c>
      <c r="AG497">
        <v>0.307</v>
      </c>
      <c r="AH497">
        <v>1.39</v>
      </c>
      <c r="AI497">
        <v>4.33</v>
      </c>
      <c r="AJ497">
        <v>4.83</v>
      </c>
      <c r="AK497">
        <v>1.2</v>
      </c>
      <c r="AL497">
        <v>0.1</v>
      </c>
      <c r="AM497">
        <v>13</v>
      </c>
      <c r="AN497">
        <v>26</v>
      </c>
      <c r="AO497">
        <v>38</v>
      </c>
      <c r="AP497">
        <v>8</v>
      </c>
      <c r="AQ497" t="s">
        <v>2857</v>
      </c>
      <c r="AR497">
        <v>83</v>
      </c>
      <c r="AS497" t="s">
        <v>36</v>
      </c>
      <c r="AT497" t="s">
        <v>36</v>
      </c>
      <c r="AU497" s="4">
        <f>HYPERLINK("http://mlb.mlb.com/team/player.jsp?player_id=455009",455009)</f>
        <v>455009</v>
      </c>
      <c r="AV497">
        <v>0</v>
      </c>
      <c r="AW497">
        <v>0</v>
      </c>
      <c r="AX497">
        <v>15.7</v>
      </c>
    </row>
    <row r="498" spans="1:50" x14ac:dyDescent="0.3">
      <c r="A498" s="4">
        <f>HYPERLINK("http://legacy.baseballprospectus.com/p/45541",45541)</f>
        <v>45541</v>
      </c>
      <c r="B498" t="s">
        <v>839</v>
      </c>
      <c r="C498" t="s">
        <v>135</v>
      </c>
      <c r="D498" s="10">
        <v>30431</v>
      </c>
      <c r="E498" t="s">
        <v>9</v>
      </c>
      <c r="F498" t="s">
        <v>9</v>
      </c>
      <c r="G498">
        <v>72</v>
      </c>
      <c r="H498">
        <v>180</v>
      </c>
      <c r="I498">
        <v>2018</v>
      </c>
      <c r="J498" s="4" t="str">
        <f>HYPERLINK("http://legacy.baseballprospectus.com/fantasy/dc/index.php?tm=TOR","TOR")</f>
        <v>TOR</v>
      </c>
      <c r="K498" t="s">
        <v>95</v>
      </c>
      <c r="L498" t="s">
        <v>34</v>
      </c>
      <c r="M498">
        <v>35</v>
      </c>
      <c r="N498">
        <v>1.5</v>
      </c>
      <c r="O498">
        <v>0.5</v>
      </c>
      <c r="P498">
        <v>0</v>
      </c>
      <c r="Q498">
        <v>0</v>
      </c>
      <c r="R498">
        <v>0.3</v>
      </c>
      <c r="S498">
        <v>0</v>
      </c>
      <c r="T498">
        <v>31.8</v>
      </c>
      <c r="U498">
        <v>0</v>
      </c>
      <c r="V498" s="9">
        <v>33.666699999999999</v>
      </c>
      <c r="W498">
        <v>150</v>
      </c>
      <c r="X498">
        <v>35</v>
      </c>
      <c r="Y498">
        <v>4</v>
      </c>
      <c r="Z498">
        <v>15</v>
      </c>
      <c r="AA498" t="s">
        <v>1680</v>
      </c>
      <c r="AB498">
        <v>2</v>
      </c>
      <c r="AC498">
        <v>27</v>
      </c>
      <c r="AD498">
        <v>4</v>
      </c>
      <c r="AE498">
        <v>7.2</v>
      </c>
      <c r="AF498" s="5">
        <v>0.51521897315979004</v>
      </c>
      <c r="AG498">
        <v>0.30099999999999999</v>
      </c>
      <c r="AH498">
        <v>1.48</v>
      </c>
      <c r="AI498">
        <v>4.83</v>
      </c>
      <c r="AJ498">
        <v>5.04</v>
      </c>
      <c r="AK498">
        <v>0.6</v>
      </c>
      <c r="AL498">
        <v>0.1</v>
      </c>
      <c r="AM498">
        <v>33</v>
      </c>
      <c r="AN498">
        <v>48</v>
      </c>
      <c r="AO498">
        <v>17</v>
      </c>
      <c r="AP498">
        <v>7</v>
      </c>
      <c r="AQ498" t="s">
        <v>3025</v>
      </c>
      <c r="AR498">
        <v>78</v>
      </c>
      <c r="AS498" t="s">
        <v>36</v>
      </c>
      <c r="AT498" t="s">
        <v>36</v>
      </c>
      <c r="AU498" s="4">
        <f>HYPERLINK("http://mlb.mlb.com/team/player.jsp?player_id=434442",434442)</f>
        <v>434442</v>
      </c>
      <c r="AV498">
        <v>0</v>
      </c>
      <c r="AW498">
        <v>0</v>
      </c>
      <c r="AX498">
        <v>11</v>
      </c>
    </row>
    <row r="499" spans="1:50" x14ac:dyDescent="0.3">
      <c r="A499" s="4">
        <f>HYPERLINK("http://legacy.baseballprospectus.com/p/49107",49107)</f>
        <v>49107</v>
      </c>
      <c r="B499" t="s">
        <v>667</v>
      </c>
      <c r="C499" t="s">
        <v>165</v>
      </c>
      <c r="D499" s="10">
        <v>30246</v>
      </c>
      <c r="E499" t="s">
        <v>33</v>
      </c>
      <c r="F499" t="s">
        <v>33</v>
      </c>
      <c r="G499">
        <v>73</v>
      </c>
      <c r="H499">
        <v>180</v>
      </c>
      <c r="I499">
        <v>2018</v>
      </c>
      <c r="J499" s="4" t="str">
        <f>HYPERLINK("http://legacy.baseballprospectus.com/fantasy/dc/index.php?tm=MIL","MIL")</f>
        <v>MIL</v>
      </c>
      <c r="K499" t="s">
        <v>100</v>
      </c>
      <c r="L499" t="s">
        <v>34</v>
      </c>
      <c r="M499">
        <v>35</v>
      </c>
      <c r="N499">
        <v>3</v>
      </c>
      <c r="O499">
        <v>1.1000000000000001</v>
      </c>
      <c r="P499">
        <v>0</v>
      </c>
      <c r="Q499">
        <v>0</v>
      </c>
      <c r="R499">
        <v>1.3</v>
      </c>
      <c r="S499">
        <v>0</v>
      </c>
      <c r="T499">
        <v>61.6</v>
      </c>
      <c r="U499">
        <v>0</v>
      </c>
      <c r="V499" s="9">
        <v>65.333299999999994</v>
      </c>
      <c r="W499">
        <v>277</v>
      </c>
      <c r="X499">
        <v>64</v>
      </c>
      <c r="Y499">
        <v>8</v>
      </c>
      <c r="Z499">
        <v>28</v>
      </c>
      <c r="AA499" t="s">
        <v>1680</v>
      </c>
      <c r="AB499">
        <v>3</v>
      </c>
      <c r="AC499">
        <v>56</v>
      </c>
      <c r="AD499">
        <v>3.9</v>
      </c>
      <c r="AE499">
        <v>7.7</v>
      </c>
      <c r="AF499" s="5">
        <v>0.46646085381507801</v>
      </c>
      <c r="AG499">
        <v>0.307</v>
      </c>
      <c r="AH499">
        <v>1.41</v>
      </c>
      <c r="AI499">
        <v>4.54</v>
      </c>
      <c r="AJ499">
        <v>5.09</v>
      </c>
      <c r="AK499">
        <v>0.7</v>
      </c>
      <c r="AL499">
        <v>0.1</v>
      </c>
      <c r="AM499">
        <v>21</v>
      </c>
      <c r="AN499">
        <v>42</v>
      </c>
      <c r="AO499">
        <v>18</v>
      </c>
      <c r="AP499">
        <v>14</v>
      </c>
      <c r="AQ499" t="s">
        <v>2861</v>
      </c>
      <c r="AR499">
        <v>69</v>
      </c>
      <c r="AS499" t="s">
        <v>36</v>
      </c>
      <c r="AT499" t="s">
        <v>36</v>
      </c>
      <c r="AU499" s="4">
        <f>HYPERLINK("http://mlb.mlb.com/team/player.jsp?player_id=448614",448614)</f>
        <v>448614</v>
      </c>
      <c r="AV499">
        <v>0</v>
      </c>
      <c r="AW499">
        <v>0</v>
      </c>
      <c r="AX499">
        <v>72.7</v>
      </c>
    </row>
    <row r="500" spans="1:50" x14ac:dyDescent="0.3">
      <c r="A500" s="4">
        <f>HYPERLINK("http://legacy.baseballprospectus.com/p/51862",51862)</f>
        <v>51862</v>
      </c>
      <c r="B500" t="s">
        <v>378</v>
      </c>
      <c r="C500" t="s">
        <v>812</v>
      </c>
      <c r="D500" s="10">
        <v>32183</v>
      </c>
      <c r="E500" t="s">
        <v>33</v>
      </c>
      <c r="F500" t="s">
        <v>33</v>
      </c>
      <c r="G500">
        <v>75</v>
      </c>
      <c r="H500">
        <v>215</v>
      </c>
      <c r="I500">
        <v>2018</v>
      </c>
      <c r="J500" s="4" t="str">
        <f>HYPERLINK("http://legacy.baseballprospectus.com/fantasy/dc/index.php?tm=CHA","CHA")</f>
        <v>CHA</v>
      </c>
      <c r="K500" t="s">
        <v>95</v>
      </c>
      <c r="L500" t="s">
        <v>34</v>
      </c>
      <c r="M500">
        <v>30</v>
      </c>
      <c r="N500">
        <v>1.7</v>
      </c>
      <c r="O500">
        <v>0.6</v>
      </c>
      <c r="P500">
        <v>0</v>
      </c>
      <c r="Q500">
        <v>0</v>
      </c>
      <c r="R500">
        <v>12.1</v>
      </c>
      <c r="S500">
        <v>0</v>
      </c>
      <c r="T500">
        <v>33.799999999999997</v>
      </c>
      <c r="U500">
        <v>0</v>
      </c>
      <c r="V500" s="9">
        <v>35.666699999999999</v>
      </c>
      <c r="W500">
        <v>156</v>
      </c>
      <c r="X500">
        <v>35</v>
      </c>
      <c r="Y500">
        <v>4</v>
      </c>
      <c r="Z500">
        <v>15</v>
      </c>
      <c r="AA500" t="s">
        <v>1680</v>
      </c>
      <c r="AB500">
        <v>2</v>
      </c>
      <c r="AC500">
        <v>29</v>
      </c>
      <c r="AD500">
        <v>3.8</v>
      </c>
      <c r="AE500">
        <v>7.3</v>
      </c>
      <c r="AF500" s="5">
        <v>0.49707770347595198</v>
      </c>
      <c r="AG500">
        <v>0.29299999999999998</v>
      </c>
      <c r="AH500">
        <v>1.41</v>
      </c>
      <c r="AI500">
        <v>4.6500000000000004</v>
      </c>
      <c r="AJ500">
        <v>4.95</v>
      </c>
      <c r="AK500">
        <v>1.3</v>
      </c>
      <c r="AL500">
        <v>0.1</v>
      </c>
      <c r="AM500">
        <v>26</v>
      </c>
      <c r="AN500">
        <v>47</v>
      </c>
      <c r="AO500">
        <v>25</v>
      </c>
      <c r="AP500">
        <v>14</v>
      </c>
      <c r="AQ500" t="s">
        <v>3032</v>
      </c>
      <c r="AR500">
        <v>84</v>
      </c>
      <c r="AS500" t="s">
        <v>36</v>
      </c>
      <c r="AT500" t="s">
        <v>36</v>
      </c>
      <c r="AU500" s="4">
        <f>HYPERLINK("http://mlb.mlb.com/team/player.jsp?player_id=491646",491646)</f>
        <v>491646</v>
      </c>
      <c r="AV500">
        <v>0</v>
      </c>
      <c r="AW500">
        <v>0</v>
      </c>
      <c r="AX500">
        <v>22.3</v>
      </c>
    </row>
    <row r="501" spans="1:50" x14ac:dyDescent="0.3">
      <c r="A501" s="4">
        <f>HYPERLINK("http://legacy.baseballprospectus.com/p/52617",52617)</f>
        <v>52617</v>
      </c>
      <c r="B501" t="s">
        <v>695</v>
      </c>
      <c r="C501" t="s">
        <v>204</v>
      </c>
      <c r="D501" s="10">
        <v>31326</v>
      </c>
      <c r="E501" t="s">
        <v>33</v>
      </c>
      <c r="F501" t="s">
        <v>9</v>
      </c>
      <c r="G501">
        <v>73</v>
      </c>
      <c r="H501">
        <v>200</v>
      </c>
      <c r="I501">
        <v>2018</v>
      </c>
      <c r="J501" s="4" t="str">
        <f>HYPERLINK("http://legacy.baseballprospectus.com/fantasy/dc/index.php?tm=SEA","SEA")</f>
        <v>SEA</v>
      </c>
      <c r="K501" t="s">
        <v>95</v>
      </c>
      <c r="L501" t="s">
        <v>34</v>
      </c>
      <c r="M501">
        <v>32</v>
      </c>
      <c r="N501">
        <v>6.8</v>
      </c>
      <c r="O501">
        <v>7.8</v>
      </c>
      <c r="P501">
        <v>7.5</v>
      </c>
      <c r="Q501">
        <v>0</v>
      </c>
      <c r="R501">
        <v>0.2</v>
      </c>
      <c r="S501">
        <v>0</v>
      </c>
      <c r="T501">
        <v>34.700000000000003</v>
      </c>
      <c r="U501">
        <v>19.8</v>
      </c>
      <c r="V501" s="9">
        <v>125.66670000000001</v>
      </c>
      <c r="W501">
        <v>559</v>
      </c>
      <c r="X501">
        <v>142</v>
      </c>
      <c r="Y501">
        <v>21</v>
      </c>
      <c r="Z501">
        <v>47</v>
      </c>
      <c r="AA501" t="s">
        <v>1680</v>
      </c>
      <c r="AB501">
        <v>5</v>
      </c>
      <c r="AC501">
        <v>90</v>
      </c>
      <c r="AD501">
        <v>3.3</v>
      </c>
      <c r="AE501">
        <v>6.4</v>
      </c>
      <c r="AF501" s="5">
        <v>0.43460518121719299</v>
      </c>
      <c r="AG501">
        <v>0.30499999999999999</v>
      </c>
      <c r="AH501">
        <v>1.5</v>
      </c>
      <c r="AI501">
        <v>5.23</v>
      </c>
      <c r="AJ501">
        <v>5.58</v>
      </c>
      <c r="AK501">
        <v>0.5</v>
      </c>
      <c r="AL501">
        <v>0.1</v>
      </c>
      <c r="AM501">
        <v>10</v>
      </c>
      <c r="AN501">
        <v>20</v>
      </c>
      <c r="AO501">
        <v>5</v>
      </c>
      <c r="AP501">
        <v>13</v>
      </c>
      <c r="AQ501" t="s">
        <v>2641</v>
      </c>
      <c r="AR501">
        <v>32</v>
      </c>
      <c r="AS501" t="s">
        <v>36</v>
      </c>
      <c r="AT501" t="s">
        <v>36</v>
      </c>
      <c r="AU501" s="4">
        <f>HYPERLINK("http://mlb.mlb.com/team/player.jsp?player_id=452027",452027)</f>
        <v>452027</v>
      </c>
      <c r="AV501">
        <v>0</v>
      </c>
      <c r="AW501">
        <v>0</v>
      </c>
      <c r="AX501">
        <v>41</v>
      </c>
    </row>
    <row r="502" spans="1:50" x14ac:dyDescent="0.3">
      <c r="A502" s="4">
        <f>HYPERLINK("http://legacy.baseballprospectus.com/p/59624",59624)</f>
        <v>59624</v>
      </c>
      <c r="B502" t="s">
        <v>259</v>
      </c>
      <c r="C502" t="s">
        <v>452</v>
      </c>
      <c r="D502" s="10">
        <v>32922</v>
      </c>
      <c r="E502" t="s">
        <v>33</v>
      </c>
      <c r="F502" t="s">
        <v>33</v>
      </c>
      <c r="G502">
        <v>72</v>
      </c>
      <c r="H502">
        <v>180</v>
      </c>
      <c r="I502">
        <v>2018</v>
      </c>
      <c r="J502" s="4" t="str">
        <f>HYPERLINK("http://legacy.baseballprospectus.com/fantasy/dc/index.php?tm=CLE","CLE")</f>
        <v>CLE</v>
      </c>
      <c r="K502" t="s">
        <v>95</v>
      </c>
      <c r="L502" t="s">
        <v>34</v>
      </c>
      <c r="M502">
        <v>28</v>
      </c>
      <c r="N502">
        <v>1.8</v>
      </c>
      <c r="O502">
        <v>1.5</v>
      </c>
      <c r="P502">
        <v>1.5</v>
      </c>
      <c r="Q502">
        <v>0</v>
      </c>
      <c r="R502">
        <v>0.4</v>
      </c>
      <c r="S502">
        <v>0</v>
      </c>
      <c r="T502">
        <v>17.7</v>
      </c>
      <c r="U502">
        <v>3.5</v>
      </c>
      <c r="V502" s="9">
        <v>34</v>
      </c>
      <c r="W502">
        <v>150</v>
      </c>
      <c r="X502">
        <v>34</v>
      </c>
      <c r="Y502">
        <v>6</v>
      </c>
      <c r="Z502">
        <v>16</v>
      </c>
      <c r="AA502" t="s">
        <v>1680</v>
      </c>
      <c r="AB502">
        <v>1</v>
      </c>
      <c r="AC502">
        <v>34</v>
      </c>
      <c r="AD502">
        <v>4.2</v>
      </c>
      <c r="AE502">
        <v>9</v>
      </c>
      <c r="AF502" s="5">
        <v>0.411801308393478</v>
      </c>
      <c r="AG502">
        <v>0.30599999999999999</v>
      </c>
      <c r="AH502">
        <v>1.48</v>
      </c>
      <c r="AI502">
        <v>4.93</v>
      </c>
      <c r="AJ502">
        <v>5.29</v>
      </c>
      <c r="AK502">
        <v>0.8</v>
      </c>
      <c r="AL502">
        <v>0.1</v>
      </c>
      <c r="AM502">
        <v>18</v>
      </c>
      <c r="AN502">
        <v>24</v>
      </c>
      <c r="AO502">
        <v>7</v>
      </c>
      <c r="AP502">
        <v>14</v>
      </c>
      <c r="AQ502" t="s">
        <v>3035</v>
      </c>
      <c r="AR502">
        <v>31</v>
      </c>
      <c r="AS502" t="s">
        <v>36</v>
      </c>
      <c r="AT502" t="s">
        <v>35</v>
      </c>
      <c r="AU502" s="4">
        <f>HYPERLINK("http://mlb.mlb.com/team/player.jsp?player_id=571572",571572)</f>
        <v>571572</v>
      </c>
      <c r="AV502">
        <v>0</v>
      </c>
      <c r="AW502">
        <v>0</v>
      </c>
      <c r="AX502">
        <v>0</v>
      </c>
    </row>
    <row r="503" spans="1:50" x14ac:dyDescent="0.3">
      <c r="A503" s="4">
        <f>HYPERLINK("http://legacy.baseballprospectus.com/p/59986",59986)</f>
        <v>59986</v>
      </c>
      <c r="B503" t="s">
        <v>769</v>
      </c>
      <c r="C503" t="s">
        <v>770</v>
      </c>
      <c r="D503" s="10">
        <v>33018</v>
      </c>
      <c r="E503" t="s">
        <v>33</v>
      </c>
      <c r="F503" t="s">
        <v>33</v>
      </c>
      <c r="G503">
        <v>75</v>
      </c>
      <c r="H503">
        <v>206</v>
      </c>
      <c r="I503">
        <v>2018</v>
      </c>
      <c r="J503" s="4" t="str">
        <f>HYPERLINK("http://legacy.baseballprospectus.com/fantasy/dc/index.php?tm=SDN","SDN")</f>
        <v>SDN</v>
      </c>
      <c r="K503" t="s">
        <v>100</v>
      </c>
      <c r="L503" t="s">
        <v>34</v>
      </c>
      <c r="M503">
        <v>28</v>
      </c>
      <c r="N503">
        <v>2.2000000000000002</v>
      </c>
      <c r="O503">
        <v>2.9</v>
      </c>
      <c r="P503">
        <v>3.7</v>
      </c>
      <c r="Q503">
        <v>0</v>
      </c>
      <c r="R503">
        <v>0</v>
      </c>
      <c r="S503">
        <v>0</v>
      </c>
      <c r="T503">
        <v>7.9</v>
      </c>
      <c r="U503">
        <v>7.9</v>
      </c>
      <c r="V503" s="9">
        <v>40.333300000000001</v>
      </c>
      <c r="W503">
        <v>170</v>
      </c>
      <c r="X503">
        <v>38</v>
      </c>
      <c r="Y503">
        <v>5</v>
      </c>
      <c r="Z503">
        <v>19</v>
      </c>
      <c r="AA503" t="s">
        <v>1680</v>
      </c>
      <c r="AB503">
        <v>2</v>
      </c>
      <c r="AC503">
        <v>33</v>
      </c>
      <c r="AD503">
        <v>4.2</v>
      </c>
      <c r="AE503">
        <v>7.4</v>
      </c>
      <c r="AF503" s="5">
        <v>0.49842402338981601</v>
      </c>
      <c r="AG503">
        <v>0.29799999999999999</v>
      </c>
      <c r="AH503">
        <v>1.41</v>
      </c>
      <c r="AI503">
        <v>4.57</v>
      </c>
      <c r="AJ503">
        <v>5.3</v>
      </c>
      <c r="AK503">
        <v>1.3</v>
      </c>
      <c r="AL503">
        <v>0.1</v>
      </c>
      <c r="AM503">
        <v>10</v>
      </c>
      <c r="AN503">
        <v>41</v>
      </c>
      <c r="AO503">
        <v>29</v>
      </c>
      <c r="AP503">
        <v>16</v>
      </c>
      <c r="AQ503" t="s">
        <v>2872</v>
      </c>
      <c r="AR503">
        <v>90</v>
      </c>
      <c r="AS503" t="s">
        <v>36</v>
      </c>
      <c r="AT503" t="s">
        <v>36</v>
      </c>
      <c r="AU503" s="4">
        <f>HYPERLINK("http://mlb.mlb.com/team/player.jsp?player_id=543054",543054)</f>
        <v>543054</v>
      </c>
      <c r="AV503">
        <v>0</v>
      </c>
      <c r="AW503">
        <v>0</v>
      </c>
      <c r="AX503">
        <v>24</v>
      </c>
    </row>
    <row r="504" spans="1:50" x14ac:dyDescent="0.3">
      <c r="A504" s="4">
        <f>HYPERLINK("http://legacy.baseballprospectus.com/p/60488",60488)</f>
        <v>60488</v>
      </c>
      <c r="B504" t="s">
        <v>1209</v>
      </c>
      <c r="C504" t="s">
        <v>679</v>
      </c>
      <c r="D504" s="10">
        <v>31984</v>
      </c>
      <c r="E504" t="s">
        <v>9</v>
      </c>
      <c r="F504" t="s">
        <v>9</v>
      </c>
      <c r="G504">
        <v>71</v>
      </c>
      <c r="H504">
        <v>210</v>
      </c>
      <c r="I504">
        <v>2018</v>
      </c>
      <c r="J504" s="4" t="str">
        <f>HYPERLINK("http://legacy.baseballprospectus.com/fantasy/dc/index.php?tm=TBA","TBA")</f>
        <v>TBA</v>
      </c>
      <c r="K504" t="s">
        <v>95</v>
      </c>
      <c r="L504" t="s">
        <v>34</v>
      </c>
      <c r="M504">
        <v>30</v>
      </c>
      <c r="N504">
        <v>2</v>
      </c>
      <c r="O504">
        <v>2</v>
      </c>
      <c r="P504">
        <v>2</v>
      </c>
      <c r="Q504">
        <v>0</v>
      </c>
      <c r="R504">
        <v>0.1</v>
      </c>
      <c r="S504">
        <v>0</v>
      </c>
      <c r="T504">
        <v>17.8</v>
      </c>
      <c r="U504">
        <v>4.5999999999999996</v>
      </c>
      <c r="V504" s="9">
        <v>40</v>
      </c>
      <c r="W504">
        <v>173</v>
      </c>
      <c r="X504">
        <v>38</v>
      </c>
      <c r="Y504">
        <v>6</v>
      </c>
      <c r="Z504">
        <v>16</v>
      </c>
      <c r="AA504" t="s">
        <v>1680</v>
      </c>
      <c r="AB504">
        <v>2</v>
      </c>
      <c r="AC504">
        <v>36</v>
      </c>
      <c r="AD504">
        <v>3.5</v>
      </c>
      <c r="AE504">
        <v>8.1999999999999993</v>
      </c>
      <c r="AF504" s="5">
        <v>0.43668666481971702</v>
      </c>
      <c r="AG504">
        <v>0.28299999999999997</v>
      </c>
      <c r="AH504">
        <v>1.35</v>
      </c>
      <c r="AI504">
        <v>4.8600000000000003</v>
      </c>
      <c r="AJ504">
        <v>5.38</v>
      </c>
      <c r="AK504">
        <v>0.7</v>
      </c>
      <c r="AL504">
        <v>0.1</v>
      </c>
      <c r="AM504">
        <v>22</v>
      </c>
      <c r="AN504">
        <v>42</v>
      </c>
      <c r="AO504">
        <v>17</v>
      </c>
      <c r="AP504">
        <v>14</v>
      </c>
      <c r="AQ504" t="s">
        <v>2735</v>
      </c>
      <c r="AR504">
        <v>78</v>
      </c>
      <c r="AS504" t="s">
        <v>36</v>
      </c>
      <c r="AT504" t="s">
        <v>36</v>
      </c>
      <c r="AU504" s="4">
        <f>HYPERLINK("http://mlb.mlb.com/team/player.jsp?player_id=573064",573064)</f>
        <v>573064</v>
      </c>
      <c r="AV504">
        <v>0</v>
      </c>
      <c r="AW504">
        <v>0</v>
      </c>
      <c r="AX504">
        <v>14.7</v>
      </c>
    </row>
    <row r="505" spans="1:50" x14ac:dyDescent="0.3">
      <c r="A505" s="4">
        <f>HYPERLINK("http://legacy.baseballprospectus.com/p/65765",65765)</f>
        <v>65765</v>
      </c>
      <c r="B505" t="s">
        <v>964</v>
      </c>
      <c r="C505" t="s">
        <v>741</v>
      </c>
      <c r="D505" s="10">
        <v>32161</v>
      </c>
      <c r="E505" t="s">
        <v>33</v>
      </c>
      <c r="F505" t="s">
        <v>33</v>
      </c>
      <c r="G505">
        <v>73</v>
      </c>
      <c r="H505">
        <v>214</v>
      </c>
      <c r="I505">
        <v>2018</v>
      </c>
      <c r="J505" s="4" t="str">
        <f>HYPERLINK("http://legacy.baseballprospectus.com/fantasy/dc/index.php?tm=TBA","TBA")</f>
        <v>TBA</v>
      </c>
      <c r="K505" t="s">
        <v>95</v>
      </c>
      <c r="L505" t="s">
        <v>34</v>
      </c>
      <c r="M505">
        <v>30</v>
      </c>
      <c r="N505">
        <v>1.5</v>
      </c>
      <c r="O505">
        <v>0.5</v>
      </c>
      <c r="P505">
        <v>0</v>
      </c>
      <c r="Q505">
        <v>0</v>
      </c>
      <c r="R505">
        <v>7.5</v>
      </c>
      <c r="S505">
        <v>0</v>
      </c>
      <c r="T505">
        <v>32.1</v>
      </c>
      <c r="U505">
        <v>0</v>
      </c>
      <c r="V505" s="9">
        <v>34</v>
      </c>
      <c r="W505">
        <v>150</v>
      </c>
      <c r="X505">
        <v>34</v>
      </c>
      <c r="Y505">
        <v>5</v>
      </c>
      <c r="Z505">
        <v>15</v>
      </c>
      <c r="AA505" t="s">
        <v>1680</v>
      </c>
      <c r="AB505">
        <v>1</v>
      </c>
      <c r="AC505">
        <v>31</v>
      </c>
      <c r="AD505">
        <v>3.9</v>
      </c>
      <c r="AE505">
        <v>8.1999999999999993</v>
      </c>
      <c r="AF505" s="5">
        <v>0.46191069483757002</v>
      </c>
      <c r="AG505">
        <v>0.29799999999999999</v>
      </c>
      <c r="AH505">
        <v>1.44</v>
      </c>
      <c r="AI505">
        <v>4.93</v>
      </c>
      <c r="AJ505">
        <v>4.96</v>
      </c>
      <c r="AK505">
        <v>1.1000000000000001</v>
      </c>
      <c r="AL505">
        <v>0.1</v>
      </c>
      <c r="AM505">
        <v>21</v>
      </c>
      <c r="AN505">
        <v>51</v>
      </c>
      <c r="AO505">
        <v>23</v>
      </c>
      <c r="AP505">
        <v>13</v>
      </c>
      <c r="AQ505" t="s">
        <v>2876</v>
      </c>
      <c r="AR505">
        <v>90</v>
      </c>
      <c r="AS505" t="s">
        <v>36</v>
      </c>
      <c r="AT505" t="s">
        <v>36</v>
      </c>
      <c r="AU505" s="4">
        <f>HYPERLINK("http://mlb.mlb.com/team/player.jsp?player_id=474521",474521)</f>
        <v>474521</v>
      </c>
      <c r="AV505">
        <v>0</v>
      </c>
      <c r="AW505">
        <v>0</v>
      </c>
      <c r="AX505">
        <v>0</v>
      </c>
    </row>
    <row r="506" spans="1:50" x14ac:dyDescent="0.3">
      <c r="A506" s="4">
        <f>HYPERLINK("http://legacy.baseballprospectus.com/p/67034",67034)</f>
        <v>67034</v>
      </c>
      <c r="B506" t="s">
        <v>2849</v>
      </c>
      <c r="C506" t="s">
        <v>313</v>
      </c>
      <c r="D506" s="10">
        <v>32522</v>
      </c>
      <c r="E506" t="s">
        <v>9</v>
      </c>
      <c r="F506" t="s">
        <v>9</v>
      </c>
      <c r="G506">
        <v>75</v>
      </c>
      <c r="H506">
        <v>205</v>
      </c>
      <c r="I506">
        <v>2018</v>
      </c>
      <c r="J506" s="4" t="str">
        <f>HYPERLINK("http://legacy.baseballprospectus.com/fantasy/dc/index.php?tm=TBA","TBA")</f>
        <v>TBA</v>
      </c>
      <c r="K506" t="s">
        <v>95</v>
      </c>
      <c r="L506" t="s">
        <v>34</v>
      </c>
      <c r="M506">
        <v>29</v>
      </c>
      <c r="N506">
        <v>0.5</v>
      </c>
      <c r="O506">
        <v>0.6</v>
      </c>
      <c r="P506">
        <v>0</v>
      </c>
      <c r="Q506">
        <v>0</v>
      </c>
      <c r="R506">
        <v>0</v>
      </c>
      <c r="S506">
        <v>0</v>
      </c>
      <c r="T506">
        <v>11</v>
      </c>
      <c r="U506">
        <v>0</v>
      </c>
      <c r="V506" s="9">
        <v>11.333299999999999</v>
      </c>
      <c r="W506">
        <v>51</v>
      </c>
      <c r="X506">
        <v>11</v>
      </c>
      <c r="Y506">
        <v>1</v>
      </c>
      <c r="Z506">
        <v>6</v>
      </c>
      <c r="AA506">
        <v>0</v>
      </c>
      <c r="AB506">
        <v>1</v>
      </c>
      <c r="AC506">
        <v>11</v>
      </c>
      <c r="AD506">
        <v>4.5</v>
      </c>
      <c r="AE506">
        <v>8.4</v>
      </c>
      <c r="AF506" s="5">
        <v>0.57699999999999996</v>
      </c>
      <c r="AG506">
        <v>0.29499999999999998</v>
      </c>
      <c r="AH506">
        <v>1.46</v>
      </c>
      <c r="AI506">
        <v>4.42</v>
      </c>
      <c r="AJ506">
        <v>4.8600000000000003</v>
      </c>
      <c r="AK506">
        <v>0.5</v>
      </c>
      <c r="AL506">
        <v>0.1</v>
      </c>
      <c r="AM506">
        <v>15</v>
      </c>
      <c r="AN506">
        <v>19</v>
      </c>
      <c r="AO506">
        <v>11</v>
      </c>
      <c r="AP506">
        <v>18</v>
      </c>
      <c r="AQ506" t="s">
        <v>2850</v>
      </c>
      <c r="AR506">
        <v>31</v>
      </c>
      <c r="AS506" t="s">
        <v>35</v>
      </c>
      <c r="AT506" t="s">
        <v>35</v>
      </c>
      <c r="AU506" s="4">
        <f>HYPERLINK("http://mlb.mlb.com/team/player.jsp?player_id=592473",592473)</f>
        <v>592473</v>
      </c>
      <c r="AV506">
        <v>0</v>
      </c>
      <c r="AW506">
        <v>0</v>
      </c>
      <c r="AX506">
        <v>8.3000000000000007</v>
      </c>
    </row>
    <row r="507" spans="1:50" x14ac:dyDescent="0.3">
      <c r="A507" s="4">
        <f>HYPERLINK("http://legacy.baseballprospectus.com/p/67764",67764)</f>
        <v>67764</v>
      </c>
      <c r="B507" t="s">
        <v>1514</v>
      </c>
      <c r="C507" t="s">
        <v>104</v>
      </c>
      <c r="D507" s="10">
        <v>32491</v>
      </c>
      <c r="E507" t="s">
        <v>9</v>
      </c>
      <c r="F507" t="s">
        <v>9</v>
      </c>
      <c r="G507">
        <v>76</v>
      </c>
      <c r="H507">
        <v>215</v>
      </c>
      <c r="I507">
        <v>2018</v>
      </c>
      <c r="J507" s="4" t="str">
        <f>HYPERLINK("http://legacy.baseballprospectus.com/fantasy/dc/index.php?tm=WAS","WAS")</f>
        <v>WAS</v>
      </c>
      <c r="K507" t="s">
        <v>100</v>
      </c>
      <c r="L507" t="s">
        <v>34</v>
      </c>
      <c r="M507">
        <v>29</v>
      </c>
      <c r="N507">
        <v>2</v>
      </c>
      <c r="O507">
        <v>1.9</v>
      </c>
      <c r="P507">
        <v>0</v>
      </c>
      <c r="Q507">
        <v>0</v>
      </c>
      <c r="R507">
        <v>0</v>
      </c>
      <c r="S507">
        <v>1</v>
      </c>
      <c r="T507">
        <v>39</v>
      </c>
      <c r="U507">
        <v>0</v>
      </c>
      <c r="V507" s="9">
        <v>41.666699999999999</v>
      </c>
      <c r="W507">
        <v>186</v>
      </c>
      <c r="X507">
        <v>44</v>
      </c>
      <c r="Y507">
        <v>5</v>
      </c>
      <c r="Z507">
        <v>18</v>
      </c>
      <c r="AA507">
        <v>2</v>
      </c>
      <c r="AB507">
        <v>2</v>
      </c>
      <c r="AC507">
        <v>32</v>
      </c>
      <c r="AD507">
        <v>3.9</v>
      </c>
      <c r="AE507">
        <v>7</v>
      </c>
      <c r="AF507" s="5">
        <v>0.55500000000000005</v>
      </c>
      <c r="AG507">
        <v>0.30599999999999999</v>
      </c>
      <c r="AH507">
        <v>1.52</v>
      </c>
      <c r="AI507">
        <v>4.5999999999999996</v>
      </c>
      <c r="AJ507">
        <v>4.76</v>
      </c>
      <c r="AK507">
        <v>1</v>
      </c>
      <c r="AL507">
        <v>0.1</v>
      </c>
      <c r="AM507">
        <v>28</v>
      </c>
      <c r="AN507">
        <v>38</v>
      </c>
      <c r="AO507">
        <v>23</v>
      </c>
      <c r="AP507">
        <v>26</v>
      </c>
      <c r="AQ507" t="s">
        <v>2853</v>
      </c>
      <c r="AR507">
        <v>65</v>
      </c>
      <c r="AS507" t="s">
        <v>35</v>
      </c>
      <c r="AT507" t="s">
        <v>36</v>
      </c>
      <c r="AU507" s="4">
        <f>HYPERLINK("http://mlb.mlb.com/team/player.jsp?player_id=594840",594840)</f>
        <v>594840</v>
      </c>
      <c r="AV507">
        <v>1295</v>
      </c>
      <c r="AW507">
        <v>295</v>
      </c>
      <c r="AX507">
        <v>50</v>
      </c>
    </row>
    <row r="508" spans="1:50" x14ac:dyDescent="0.3">
      <c r="A508" s="4">
        <f>HYPERLINK("http://legacy.baseballprospectus.com/p/68671",68671)</f>
        <v>68671</v>
      </c>
      <c r="B508" t="s">
        <v>1655</v>
      </c>
      <c r="C508" t="s">
        <v>1656</v>
      </c>
      <c r="D508" s="10">
        <v>33512</v>
      </c>
      <c r="E508" t="s">
        <v>33</v>
      </c>
      <c r="F508" t="s">
        <v>33</v>
      </c>
      <c r="G508">
        <v>79</v>
      </c>
      <c r="H508">
        <v>240</v>
      </c>
      <c r="I508">
        <v>2018</v>
      </c>
      <c r="J508" s="4" t="str">
        <f>HYPERLINK("http://legacy.baseballprospectus.com/fantasy/dc/index.php?tm=TEX","TEX")</f>
        <v>TEX</v>
      </c>
      <c r="K508" t="s">
        <v>95</v>
      </c>
      <c r="L508" t="s">
        <v>34</v>
      </c>
      <c r="M508">
        <v>26</v>
      </c>
      <c r="N508">
        <v>0.6</v>
      </c>
      <c r="O508">
        <v>0.9</v>
      </c>
      <c r="P508">
        <v>0</v>
      </c>
      <c r="Q508">
        <v>0</v>
      </c>
      <c r="R508">
        <v>0</v>
      </c>
      <c r="S508">
        <v>0</v>
      </c>
      <c r="T508">
        <v>15</v>
      </c>
      <c r="U508">
        <v>0</v>
      </c>
      <c r="V508" s="9">
        <v>15.666700000000001</v>
      </c>
      <c r="W508">
        <v>69</v>
      </c>
      <c r="X508">
        <v>15</v>
      </c>
      <c r="Y508">
        <v>3</v>
      </c>
      <c r="Z508">
        <v>7</v>
      </c>
      <c r="AA508">
        <v>1</v>
      </c>
      <c r="AB508">
        <v>1</v>
      </c>
      <c r="AC508">
        <v>16</v>
      </c>
      <c r="AD508">
        <v>4.2</v>
      </c>
      <c r="AE508">
        <v>9</v>
      </c>
      <c r="AF508" s="5">
        <v>0.442</v>
      </c>
      <c r="AG508">
        <v>0.29399999999999998</v>
      </c>
      <c r="AH508">
        <v>1.42</v>
      </c>
      <c r="AI508">
        <v>5.21</v>
      </c>
      <c r="AJ508">
        <v>4.97</v>
      </c>
      <c r="AK508">
        <v>0.5</v>
      </c>
      <c r="AL508">
        <v>0.1</v>
      </c>
      <c r="AM508">
        <v>14</v>
      </c>
      <c r="AN508">
        <v>21</v>
      </c>
      <c r="AO508">
        <v>7</v>
      </c>
      <c r="AP508">
        <v>25</v>
      </c>
      <c r="AQ508" t="s">
        <v>3044</v>
      </c>
      <c r="AR508">
        <v>32</v>
      </c>
      <c r="AS508" t="s">
        <v>35</v>
      </c>
      <c r="AT508" t="s">
        <v>35</v>
      </c>
      <c r="AU508" s="4">
        <f>HYPERLINK("http://mlb.mlb.com/team/player.jsp?player_id=592712",592712)</f>
        <v>592712</v>
      </c>
      <c r="AV508">
        <v>202</v>
      </c>
      <c r="AW508">
        <v>1202</v>
      </c>
      <c r="AX508">
        <v>0</v>
      </c>
    </row>
    <row r="509" spans="1:50" x14ac:dyDescent="0.3">
      <c r="A509" s="4">
        <f>HYPERLINK("http://legacy.baseballprospectus.com/p/68712",68712)</f>
        <v>68712</v>
      </c>
      <c r="B509" t="s">
        <v>2880</v>
      </c>
      <c r="C509" t="s">
        <v>1108</v>
      </c>
      <c r="D509" s="10">
        <v>33771</v>
      </c>
      <c r="E509" t="s">
        <v>33</v>
      </c>
      <c r="F509" t="s">
        <v>33</v>
      </c>
      <c r="G509">
        <v>75</v>
      </c>
      <c r="H509">
        <v>210</v>
      </c>
      <c r="I509">
        <v>2018</v>
      </c>
      <c r="J509" s="4" t="str">
        <f>HYPERLINK("http://legacy.baseballprospectus.com/fantasy/dc/index.php?tm=CIN","CIN")</f>
        <v>CIN</v>
      </c>
      <c r="K509" t="s">
        <v>100</v>
      </c>
      <c r="L509" t="s">
        <v>34</v>
      </c>
      <c r="M509">
        <v>26</v>
      </c>
      <c r="N509">
        <v>0.8</v>
      </c>
      <c r="O509">
        <v>0.8</v>
      </c>
      <c r="P509">
        <v>0</v>
      </c>
      <c r="Q509">
        <v>0</v>
      </c>
      <c r="R509">
        <v>0</v>
      </c>
      <c r="S509">
        <v>0</v>
      </c>
      <c r="T509">
        <v>16</v>
      </c>
      <c r="U509">
        <v>0</v>
      </c>
      <c r="V509" s="9">
        <v>17</v>
      </c>
      <c r="W509">
        <v>73</v>
      </c>
      <c r="X509">
        <v>15</v>
      </c>
      <c r="Y509">
        <v>3</v>
      </c>
      <c r="Z509">
        <v>7</v>
      </c>
      <c r="AA509">
        <v>0</v>
      </c>
      <c r="AB509">
        <v>1</v>
      </c>
      <c r="AC509">
        <v>21</v>
      </c>
      <c r="AD509">
        <v>3.9</v>
      </c>
      <c r="AE509">
        <v>11.1</v>
      </c>
      <c r="AF509" s="5">
        <v>0.434</v>
      </c>
      <c r="AG509">
        <v>0.29899999999999999</v>
      </c>
      <c r="AH509">
        <v>1.34</v>
      </c>
      <c r="AI509">
        <v>4.51</v>
      </c>
      <c r="AJ509">
        <v>4.4800000000000004</v>
      </c>
      <c r="AK509">
        <v>0.9</v>
      </c>
      <c r="AL509">
        <v>0.1</v>
      </c>
      <c r="AM509">
        <v>15</v>
      </c>
      <c r="AN509">
        <v>24</v>
      </c>
      <c r="AO509">
        <v>9</v>
      </c>
      <c r="AP509">
        <v>25</v>
      </c>
      <c r="AQ509" t="s">
        <v>2881</v>
      </c>
      <c r="AR509">
        <v>40</v>
      </c>
      <c r="AS509" t="s">
        <v>35</v>
      </c>
      <c r="AT509" t="s">
        <v>35</v>
      </c>
      <c r="AU509" s="4">
        <f>HYPERLINK("http://mlb.mlb.com/team/player.jsp?player_id=592848",592848)</f>
        <v>592848</v>
      </c>
      <c r="AV509">
        <v>1362</v>
      </c>
      <c r="AW509">
        <v>362</v>
      </c>
      <c r="AX509">
        <v>0</v>
      </c>
    </row>
    <row r="510" spans="1:50" x14ac:dyDescent="0.3">
      <c r="A510" s="4">
        <f>HYPERLINK("http://legacy.baseballprospectus.com/p/68746",68746)</f>
        <v>68746</v>
      </c>
      <c r="B510" t="s">
        <v>1063</v>
      </c>
      <c r="C510" t="s">
        <v>277</v>
      </c>
      <c r="D510" s="10">
        <v>33750</v>
      </c>
      <c r="E510" t="s">
        <v>33</v>
      </c>
      <c r="F510" t="s">
        <v>33</v>
      </c>
      <c r="G510">
        <v>76</v>
      </c>
      <c r="H510">
        <v>250</v>
      </c>
      <c r="I510">
        <v>2018</v>
      </c>
      <c r="J510" s="4" t="str">
        <f>HYPERLINK("http://legacy.baseballprospectus.com/fantasy/dc/index.php?tm=ATL","ATL")</f>
        <v>ATL</v>
      </c>
      <c r="K510" t="s">
        <v>100</v>
      </c>
      <c r="L510" t="s">
        <v>34</v>
      </c>
      <c r="M510">
        <v>26</v>
      </c>
      <c r="N510">
        <v>1.6</v>
      </c>
      <c r="O510">
        <v>2.1</v>
      </c>
      <c r="P510">
        <v>3</v>
      </c>
      <c r="Q510">
        <v>0</v>
      </c>
      <c r="R510">
        <v>0</v>
      </c>
      <c r="S510">
        <v>0</v>
      </c>
      <c r="T510">
        <v>6</v>
      </c>
      <c r="U510">
        <v>6</v>
      </c>
      <c r="V510" s="9">
        <v>30</v>
      </c>
      <c r="W510">
        <v>131</v>
      </c>
      <c r="X510">
        <v>30</v>
      </c>
      <c r="Y510">
        <v>5</v>
      </c>
      <c r="Z510">
        <v>11</v>
      </c>
      <c r="AA510">
        <v>1</v>
      </c>
      <c r="AB510">
        <v>2</v>
      </c>
      <c r="AC510">
        <v>27</v>
      </c>
      <c r="AD510">
        <v>3.4</v>
      </c>
      <c r="AE510">
        <v>8.1999999999999993</v>
      </c>
      <c r="AF510" s="5">
        <v>0.44400000000000001</v>
      </c>
      <c r="AG510">
        <v>0.29499999999999998</v>
      </c>
      <c r="AH510">
        <v>1.38</v>
      </c>
      <c r="AI510">
        <v>4.4400000000000004</v>
      </c>
      <c r="AJ510">
        <v>4.96</v>
      </c>
      <c r="AK510">
        <v>1</v>
      </c>
      <c r="AL510">
        <v>0.1</v>
      </c>
      <c r="AM510">
        <v>22</v>
      </c>
      <c r="AN510">
        <v>38</v>
      </c>
      <c r="AO510">
        <v>16</v>
      </c>
      <c r="AP510">
        <v>36</v>
      </c>
      <c r="AQ510" t="s">
        <v>2740</v>
      </c>
      <c r="AR510">
        <v>73</v>
      </c>
      <c r="AS510" t="s">
        <v>35</v>
      </c>
      <c r="AT510" t="s">
        <v>36</v>
      </c>
      <c r="AU510" s="4">
        <f>HYPERLINK("http://mlb.mlb.com/team/player.jsp?player_id=594760",594760)</f>
        <v>594760</v>
      </c>
      <c r="AV510">
        <v>1135</v>
      </c>
      <c r="AW510">
        <v>135</v>
      </c>
      <c r="AX510">
        <v>3</v>
      </c>
    </row>
    <row r="511" spans="1:50" x14ac:dyDescent="0.3">
      <c r="A511" s="4">
        <f>HYPERLINK("http://legacy.baseballprospectus.com/p/69407",69407)</f>
        <v>69407</v>
      </c>
      <c r="B511" t="s">
        <v>607</v>
      </c>
      <c r="C511" t="s">
        <v>1410</v>
      </c>
      <c r="D511" s="10">
        <v>33847</v>
      </c>
      <c r="E511" t="s">
        <v>33</v>
      </c>
      <c r="F511" t="s">
        <v>33</v>
      </c>
      <c r="G511">
        <v>74</v>
      </c>
      <c r="H511">
        <v>220</v>
      </c>
      <c r="I511">
        <v>2018</v>
      </c>
      <c r="J511" s="4" t="str">
        <f>HYPERLINK("http://legacy.baseballprospectus.com/fantasy/dc/index.php?tm=TEX","TEX")</f>
        <v>TEX</v>
      </c>
      <c r="K511" t="s">
        <v>95</v>
      </c>
      <c r="L511" t="s">
        <v>34</v>
      </c>
      <c r="M511">
        <v>25</v>
      </c>
      <c r="N511">
        <v>1.7</v>
      </c>
      <c r="O511">
        <v>2.2999999999999998</v>
      </c>
      <c r="P511">
        <v>0</v>
      </c>
      <c r="Q511">
        <v>0</v>
      </c>
      <c r="R511">
        <v>0</v>
      </c>
      <c r="S511">
        <v>1</v>
      </c>
      <c r="T511">
        <v>40</v>
      </c>
      <c r="U511">
        <v>0</v>
      </c>
      <c r="V511" s="9">
        <v>42</v>
      </c>
      <c r="W511">
        <v>187</v>
      </c>
      <c r="X511">
        <v>42</v>
      </c>
      <c r="Y511">
        <v>7</v>
      </c>
      <c r="Z511">
        <v>20</v>
      </c>
      <c r="AA511">
        <v>1</v>
      </c>
      <c r="AB511">
        <v>2</v>
      </c>
      <c r="AC511">
        <v>39</v>
      </c>
      <c r="AD511">
        <v>4.2</v>
      </c>
      <c r="AE511">
        <v>8.4</v>
      </c>
      <c r="AF511" s="5">
        <v>0.41</v>
      </c>
      <c r="AG511">
        <v>0.30099999999999999</v>
      </c>
      <c r="AH511">
        <v>1.5</v>
      </c>
      <c r="AI511">
        <v>5.4</v>
      </c>
      <c r="AJ511">
        <v>5.09</v>
      </c>
      <c r="AK511">
        <v>0.7</v>
      </c>
      <c r="AL511">
        <v>0.1</v>
      </c>
      <c r="AM511">
        <v>26</v>
      </c>
      <c r="AN511">
        <v>32</v>
      </c>
      <c r="AO511">
        <v>15</v>
      </c>
      <c r="AP511">
        <v>32</v>
      </c>
      <c r="AQ511" t="s">
        <v>2884</v>
      </c>
      <c r="AR511">
        <v>50</v>
      </c>
      <c r="AS511" t="s">
        <v>35</v>
      </c>
      <c r="AT511" t="s">
        <v>35</v>
      </c>
      <c r="AU511" s="4">
        <f>HYPERLINK("http://mlb.mlb.com/team/player.jsp?player_id=600965",600965)</f>
        <v>600965</v>
      </c>
      <c r="AV511">
        <v>327</v>
      </c>
      <c r="AW511">
        <v>1327</v>
      </c>
      <c r="AX511">
        <v>13</v>
      </c>
    </row>
    <row r="512" spans="1:50" x14ac:dyDescent="0.3">
      <c r="A512" s="4">
        <f>HYPERLINK("http://legacy.baseballprospectus.com/p/69559",69559)</f>
        <v>69559</v>
      </c>
      <c r="B512" t="s">
        <v>885</v>
      </c>
      <c r="C512" t="s">
        <v>227</v>
      </c>
      <c r="D512" s="10">
        <v>33115</v>
      </c>
      <c r="E512" t="s">
        <v>33</v>
      </c>
      <c r="F512" t="s">
        <v>33</v>
      </c>
      <c r="G512">
        <v>72</v>
      </c>
      <c r="H512">
        <v>200</v>
      </c>
      <c r="I512">
        <v>2018</v>
      </c>
      <c r="J512" s="4" t="str">
        <f>HYPERLINK("http://legacy.baseballprospectus.com/fantasy/dc/index.php?tm=DET","DET")</f>
        <v>DET</v>
      </c>
      <c r="K512" t="s">
        <v>95</v>
      </c>
      <c r="L512" t="s">
        <v>34</v>
      </c>
      <c r="M512">
        <v>27</v>
      </c>
      <c r="N512">
        <v>0.7</v>
      </c>
      <c r="O512">
        <v>0.9</v>
      </c>
      <c r="P512">
        <v>0</v>
      </c>
      <c r="Q512">
        <v>0</v>
      </c>
      <c r="R512">
        <v>0</v>
      </c>
      <c r="S512">
        <v>0</v>
      </c>
      <c r="T512">
        <v>16</v>
      </c>
      <c r="U512">
        <v>0</v>
      </c>
      <c r="V512" s="9">
        <v>16.666699999999999</v>
      </c>
      <c r="W512">
        <v>73</v>
      </c>
      <c r="X512">
        <v>16</v>
      </c>
      <c r="Y512">
        <v>3</v>
      </c>
      <c r="Z512">
        <v>7</v>
      </c>
      <c r="AA512">
        <v>1</v>
      </c>
      <c r="AB512">
        <v>1</v>
      </c>
      <c r="AC512">
        <v>17</v>
      </c>
      <c r="AD512">
        <v>3.7</v>
      </c>
      <c r="AE512">
        <v>9.1</v>
      </c>
      <c r="AF512" s="5">
        <v>0.40500000000000003</v>
      </c>
      <c r="AG512">
        <v>0.29299999999999998</v>
      </c>
      <c r="AH512">
        <v>1.38</v>
      </c>
      <c r="AI512">
        <v>4.9800000000000004</v>
      </c>
      <c r="AJ512">
        <v>4.88</v>
      </c>
      <c r="AK512">
        <v>0.6</v>
      </c>
      <c r="AL512">
        <v>0.1</v>
      </c>
      <c r="AM512">
        <v>8</v>
      </c>
      <c r="AN512">
        <v>17</v>
      </c>
      <c r="AO512">
        <v>19</v>
      </c>
      <c r="AP512">
        <v>23</v>
      </c>
      <c r="AQ512" t="s">
        <v>2888</v>
      </c>
      <c r="AR512">
        <v>45</v>
      </c>
      <c r="AS512" t="s">
        <v>35</v>
      </c>
      <c r="AT512" t="s">
        <v>35</v>
      </c>
      <c r="AU512" s="4">
        <f>HYPERLINK("http://mlb.mlb.com/team/player.jsp?player_id=605384",605384)</f>
        <v>605384</v>
      </c>
      <c r="AV512">
        <v>0</v>
      </c>
      <c r="AW512">
        <v>0</v>
      </c>
      <c r="AX512">
        <v>0</v>
      </c>
    </row>
    <row r="513" spans="1:50" x14ac:dyDescent="0.3">
      <c r="A513" s="4">
        <f>HYPERLINK("http://legacy.baseballprospectus.com/p/70016",70016)</f>
        <v>70016</v>
      </c>
      <c r="B513" t="s">
        <v>2743</v>
      </c>
      <c r="C513" t="s">
        <v>1493</v>
      </c>
      <c r="D513" s="10">
        <v>32725</v>
      </c>
      <c r="E513" t="s">
        <v>33</v>
      </c>
      <c r="F513" t="s">
        <v>33</v>
      </c>
      <c r="G513">
        <v>73</v>
      </c>
      <c r="H513">
        <v>229</v>
      </c>
      <c r="I513">
        <v>2018</v>
      </c>
      <c r="J513" s="4" t="str">
        <f>HYPERLINK("http://legacy.baseballprospectus.com/fantasy/dc/index.php?tm=SEA","SEA")</f>
        <v>SEA</v>
      </c>
      <c r="K513" t="s">
        <v>95</v>
      </c>
      <c r="L513" t="s">
        <v>34</v>
      </c>
      <c r="M513">
        <v>28</v>
      </c>
      <c r="N513">
        <v>1.2</v>
      </c>
      <c r="O513">
        <v>1.3</v>
      </c>
      <c r="P513">
        <v>0</v>
      </c>
      <c r="Q513">
        <v>0</v>
      </c>
      <c r="R513">
        <v>0</v>
      </c>
      <c r="S513">
        <v>1</v>
      </c>
      <c r="T513">
        <v>25</v>
      </c>
      <c r="U513">
        <v>0</v>
      </c>
      <c r="V513" s="9">
        <v>26.333300000000001</v>
      </c>
      <c r="W513">
        <v>117</v>
      </c>
      <c r="X513">
        <v>28</v>
      </c>
      <c r="Y513">
        <v>4</v>
      </c>
      <c r="Z513">
        <v>10</v>
      </c>
      <c r="AA513">
        <v>1</v>
      </c>
      <c r="AB513">
        <v>1</v>
      </c>
      <c r="AC513">
        <v>20</v>
      </c>
      <c r="AD513">
        <v>3.3</v>
      </c>
      <c r="AE513">
        <v>6.9</v>
      </c>
      <c r="AF513" s="5">
        <v>0.49399999999999999</v>
      </c>
      <c r="AG513">
        <v>0.3</v>
      </c>
      <c r="AH513">
        <v>1.46</v>
      </c>
      <c r="AI513">
        <v>4.72</v>
      </c>
      <c r="AJ513">
        <v>4.9000000000000004</v>
      </c>
      <c r="AK513">
        <v>1</v>
      </c>
      <c r="AL513">
        <v>0.1</v>
      </c>
      <c r="AM513">
        <v>11</v>
      </c>
      <c r="AN513">
        <v>18</v>
      </c>
      <c r="AO513">
        <v>17</v>
      </c>
      <c r="AP513">
        <v>18</v>
      </c>
      <c r="AQ513" t="s">
        <v>2744</v>
      </c>
      <c r="AR513">
        <v>42</v>
      </c>
      <c r="AS513" t="s">
        <v>35</v>
      </c>
      <c r="AT513" t="s">
        <v>35</v>
      </c>
      <c r="AU513" s="4">
        <f>HYPERLINK("http://mlb.mlb.com/team/player.jsp?player_id=607473",607473)</f>
        <v>607473</v>
      </c>
      <c r="AV513">
        <v>306</v>
      </c>
      <c r="AW513">
        <v>1306</v>
      </c>
      <c r="AX513">
        <v>33.700000000000003</v>
      </c>
    </row>
    <row r="514" spans="1:50" x14ac:dyDescent="0.3">
      <c r="A514" s="4">
        <f>HYPERLINK("http://legacy.baseballprospectus.com/p/70304",70304)</f>
        <v>70304</v>
      </c>
      <c r="B514" t="s">
        <v>2747</v>
      </c>
      <c r="C514" t="s">
        <v>778</v>
      </c>
      <c r="D514" s="10">
        <v>33015</v>
      </c>
      <c r="E514" t="s">
        <v>33</v>
      </c>
      <c r="F514" t="s">
        <v>33</v>
      </c>
      <c r="G514">
        <v>74</v>
      </c>
      <c r="H514">
        <v>195</v>
      </c>
      <c r="I514">
        <v>2018</v>
      </c>
      <c r="J514" s="4" t="str">
        <f>HYPERLINK("http://legacy.baseballprospectus.com/fantasy/dc/index.php?tm=TOR","TOR")</f>
        <v>TOR</v>
      </c>
      <c r="K514" t="s">
        <v>95</v>
      </c>
      <c r="L514" t="s">
        <v>34</v>
      </c>
      <c r="M514">
        <v>28</v>
      </c>
      <c r="N514">
        <v>1.3</v>
      </c>
      <c r="O514">
        <v>1.6</v>
      </c>
      <c r="P514">
        <v>0</v>
      </c>
      <c r="Q514">
        <v>0</v>
      </c>
      <c r="R514">
        <v>0</v>
      </c>
      <c r="S514">
        <v>1</v>
      </c>
      <c r="T514">
        <v>29</v>
      </c>
      <c r="U514">
        <v>0</v>
      </c>
      <c r="V514" s="9">
        <v>31.333300000000001</v>
      </c>
      <c r="W514">
        <v>135</v>
      </c>
      <c r="X514">
        <v>31</v>
      </c>
      <c r="Y514">
        <v>5</v>
      </c>
      <c r="Z514">
        <v>12</v>
      </c>
      <c r="AA514">
        <v>1</v>
      </c>
      <c r="AB514">
        <v>1</v>
      </c>
      <c r="AC514">
        <v>26</v>
      </c>
      <c r="AD514">
        <v>3.4</v>
      </c>
      <c r="AE514">
        <v>7.4</v>
      </c>
      <c r="AF514" s="5">
        <v>0.47599999999999998</v>
      </c>
      <c r="AG514">
        <v>0.28999999999999998</v>
      </c>
      <c r="AH514">
        <v>1.37</v>
      </c>
      <c r="AI514">
        <v>4.99</v>
      </c>
      <c r="AJ514">
        <v>5.08</v>
      </c>
      <c r="AK514">
        <v>0.5</v>
      </c>
      <c r="AL514">
        <v>0.1</v>
      </c>
      <c r="AM514">
        <v>20</v>
      </c>
      <c r="AN514">
        <v>30</v>
      </c>
      <c r="AO514">
        <v>16</v>
      </c>
      <c r="AP514">
        <v>31</v>
      </c>
      <c r="AQ514" t="s">
        <v>2748</v>
      </c>
      <c r="AR514">
        <v>50</v>
      </c>
      <c r="AS514" t="s">
        <v>35</v>
      </c>
      <c r="AT514" t="s">
        <v>36</v>
      </c>
      <c r="AU514" s="4">
        <f>HYPERLINK("http://mlb.mlb.com/team/player.jsp?player_id=543208",543208)</f>
        <v>543208</v>
      </c>
      <c r="AV514">
        <v>68</v>
      </c>
      <c r="AW514">
        <v>1068</v>
      </c>
      <c r="AX514">
        <v>74.3</v>
      </c>
    </row>
    <row r="515" spans="1:50" x14ac:dyDescent="0.3">
      <c r="A515" s="4">
        <f>HYPERLINK("http://legacy.baseballprospectus.com/p/70359",70359)</f>
        <v>70359</v>
      </c>
      <c r="B515" t="s">
        <v>1280</v>
      </c>
      <c r="C515" t="s">
        <v>301</v>
      </c>
      <c r="D515" s="10">
        <v>33130</v>
      </c>
      <c r="E515" t="s">
        <v>33</v>
      </c>
      <c r="F515" t="s">
        <v>33</v>
      </c>
      <c r="G515">
        <v>74</v>
      </c>
      <c r="H515">
        <v>210</v>
      </c>
      <c r="I515">
        <v>2018</v>
      </c>
      <c r="J515" s="4" t="str">
        <f>HYPERLINK("http://legacy.baseballprospectus.com/fantasy/dc/index.php?tm=SFN","SFN")</f>
        <v>SFN</v>
      </c>
      <c r="K515" t="s">
        <v>100</v>
      </c>
      <c r="L515" t="s">
        <v>34</v>
      </c>
      <c r="M515">
        <v>27</v>
      </c>
      <c r="N515">
        <v>1.8</v>
      </c>
      <c r="O515">
        <v>1.7</v>
      </c>
      <c r="P515">
        <v>0</v>
      </c>
      <c r="Q515">
        <v>0</v>
      </c>
      <c r="R515">
        <v>0</v>
      </c>
      <c r="S515">
        <v>1</v>
      </c>
      <c r="T515">
        <v>34</v>
      </c>
      <c r="U515">
        <v>0</v>
      </c>
      <c r="V515" s="9">
        <v>36.666699999999999</v>
      </c>
      <c r="W515">
        <v>159</v>
      </c>
      <c r="X515">
        <v>36</v>
      </c>
      <c r="Y515">
        <v>4</v>
      </c>
      <c r="Z515">
        <v>14</v>
      </c>
      <c r="AA515">
        <v>1</v>
      </c>
      <c r="AB515">
        <v>1</v>
      </c>
      <c r="AC515">
        <v>33</v>
      </c>
      <c r="AD515">
        <v>3.6</v>
      </c>
      <c r="AE515">
        <v>8.1999999999999993</v>
      </c>
      <c r="AF515" s="5">
        <v>0.44900000000000001</v>
      </c>
      <c r="AG515">
        <v>0.30399999999999999</v>
      </c>
      <c r="AH515">
        <v>1.41</v>
      </c>
      <c r="AI515">
        <v>4.21</v>
      </c>
      <c r="AJ515">
        <v>4.8099999999999996</v>
      </c>
      <c r="AK515">
        <v>0.7</v>
      </c>
      <c r="AL515">
        <v>0.1</v>
      </c>
      <c r="AM515">
        <v>21</v>
      </c>
      <c r="AN515">
        <v>36</v>
      </c>
      <c r="AO515">
        <v>20</v>
      </c>
      <c r="AP515">
        <v>24</v>
      </c>
      <c r="AQ515" t="s">
        <v>2655</v>
      </c>
      <c r="AR515">
        <v>76</v>
      </c>
      <c r="AS515" t="s">
        <v>35</v>
      </c>
      <c r="AT515" t="s">
        <v>36</v>
      </c>
      <c r="AU515" s="4">
        <f>HYPERLINK("http://mlb.mlb.com/team/player.jsp?player_id=571882",571882)</f>
        <v>571882</v>
      </c>
      <c r="AV515">
        <v>1307</v>
      </c>
      <c r="AW515">
        <v>307</v>
      </c>
      <c r="AX515">
        <v>37.299999999999997</v>
      </c>
    </row>
    <row r="516" spans="1:50" x14ac:dyDescent="0.3">
      <c r="A516" s="4">
        <f>HYPERLINK("http://legacy.baseballprospectus.com/p/70418",70418)</f>
        <v>70418</v>
      </c>
      <c r="B516" t="s">
        <v>556</v>
      </c>
      <c r="C516" t="s">
        <v>103</v>
      </c>
      <c r="D516" s="10">
        <v>34371</v>
      </c>
      <c r="E516" t="s">
        <v>33</v>
      </c>
      <c r="F516" t="s">
        <v>33</v>
      </c>
      <c r="G516">
        <v>79</v>
      </c>
      <c r="H516">
        <v>215</v>
      </c>
      <c r="I516">
        <v>2018</v>
      </c>
      <c r="J516" s="4" t="str">
        <f>HYPERLINK("http://legacy.baseballprospectus.com/fantasy/dc/index.php?tm=HOU","HOU")</f>
        <v>HOU</v>
      </c>
      <c r="K516" t="s">
        <v>95</v>
      </c>
      <c r="L516" t="s">
        <v>34</v>
      </c>
      <c r="M516">
        <v>24</v>
      </c>
      <c r="N516">
        <v>1.9</v>
      </c>
      <c r="O516">
        <v>1.5</v>
      </c>
      <c r="P516">
        <v>1</v>
      </c>
      <c r="Q516">
        <v>0</v>
      </c>
      <c r="R516">
        <v>0</v>
      </c>
      <c r="S516">
        <v>0</v>
      </c>
      <c r="T516">
        <v>17</v>
      </c>
      <c r="U516">
        <v>3</v>
      </c>
      <c r="V516" s="9">
        <v>30.333300000000001</v>
      </c>
      <c r="W516">
        <v>130</v>
      </c>
      <c r="X516">
        <v>29</v>
      </c>
      <c r="Y516">
        <v>6</v>
      </c>
      <c r="Z516">
        <v>12</v>
      </c>
      <c r="AA516">
        <v>1</v>
      </c>
      <c r="AB516">
        <v>1</v>
      </c>
      <c r="AC516">
        <v>34</v>
      </c>
      <c r="AD516">
        <v>3.4</v>
      </c>
      <c r="AE516">
        <v>9.9</v>
      </c>
      <c r="AF516" s="5">
        <v>0.39900000000000002</v>
      </c>
      <c r="AG516">
        <v>0.29499999999999998</v>
      </c>
      <c r="AH516">
        <v>1.33</v>
      </c>
      <c r="AI516">
        <v>4.71</v>
      </c>
      <c r="AJ516">
        <v>5</v>
      </c>
      <c r="AK516">
        <v>1.3</v>
      </c>
      <c r="AL516">
        <v>0.1</v>
      </c>
      <c r="AM516">
        <v>32</v>
      </c>
      <c r="AN516">
        <v>62</v>
      </c>
      <c r="AO516">
        <v>10</v>
      </c>
      <c r="AP516">
        <v>22</v>
      </c>
      <c r="AQ516" t="s">
        <v>2892</v>
      </c>
      <c r="AR516">
        <v>86</v>
      </c>
      <c r="AS516" t="s">
        <v>35</v>
      </c>
      <c r="AT516" t="s">
        <v>35</v>
      </c>
      <c r="AU516" s="4">
        <f>HYPERLINK("http://mlb.mlb.com/team/player.jsp?player_id=600944",600944)</f>
        <v>600944</v>
      </c>
      <c r="AV516">
        <v>95</v>
      </c>
      <c r="AW516">
        <v>1095</v>
      </c>
      <c r="AX516">
        <v>29</v>
      </c>
    </row>
    <row r="517" spans="1:50" x14ac:dyDescent="0.3">
      <c r="A517" s="4">
        <f>HYPERLINK("http://legacy.baseballprospectus.com/p/70429",70429)</f>
        <v>70429</v>
      </c>
      <c r="B517" t="s">
        <v>2672</v>
      </c>
      <c r="C517" t="s">
        <v>262</v>
      </c>
      <c r="D517" s="10">
        <v>33956</v>
      </c>
      <c r="E517" t="s">
        <v>33</v>
      </c>
      <c r="F517" t="s">
        <v>33</v>
      </c>
      <c r="G517">
        <v>75</v>
      </c>
      <c r="H517">
        <v>215</v>
      </c>
      <c r="I517">
        <v>2018</v>
      </c>
      <c r="J517" s="4" t="str">
        <f>HYPERLINK("http://legacy.baseballprospectus.com/fantasy/dc/index.php?tm=KCA","KCA")</f>
        <v>KCA</v>
      </c>
      <c r="K517" t="s">
        <v>95</v>
      </c>
      <c r="L517" t="s">
        <v>34</v>
      </c>
      <c r="M517">
        <v>25</v>
      </c>
      <c r="N517">
        <v>0.6</v>
      </c>
      <c r="O517">
        <v>0.8</v>
      </c>
      <c r="P517">
        <v>0</v>
      </c>
      <c r="Q517">
        <v>0</v>
      </c>
      <c r="R517">
        <v>0</v>
      </c>
      <c r="S517">
        <v>0</v>
      </c>
      <c r="T517">
        <v>15</v>
      </c>
      <c r="U517">
        <v>0</v>
      </c>
      <c r="V517" s="9">
        <v>15.666700000000001</v>
      </c>
      <c r="W517">
        <v>68</v>
      </c>
      <c r="X517">
        <v>14</v>
      </c>
      <c r="Y517">
        <v>2</v>
      </c>
      <c r="Z517">
        <v>7</v>
      </c>
      <c r="AA517">
        <v>1</v>
      </c>
      <c r="AB517">
        <v>1</v>
      </c>
      <c r="AC517">
        <v>16</v>
      </c>
      <c r="AD517">
        <v>4.0999999999999996</v>
      </c>
      <c r="AE517">
        <v>9.1</v>
      </c>
      <c r="AF517" s="5">
        <v>0.41599999999999998</v>
      </c>
      <c r="AG517">
        <v>0.29099999999999998</v>
      </c>
      <c r="AH517">
        <v>1.38</v>
      </c>
      <c r="AI517">
        <v>4.8499999999999996</v>
      </c>
      <c r="AJ517">
        <v>4.87</v>
      </c>
      <c r="AK517">
        <v>0.6</v>
      </c>
      <c r="AL517">
        <v>0.1</v>
      </c>
      <c r="AM517">
        <v>16</v>
      </c>
      <c r="AN517">
        <v>22</v>
      </c>
      <c r="AO517">
        <v>17</v>
      </c>
      <c r="AP517">
        <v>27</v>
      </c>
      <c r="AQ517" t="s">
        <v>2673</v>
      </c>
      <c r="AR517">
        <v>43</v>
      </c>
      <c r="AS517" t="s">
        <v>35</v>
      </c>
      <c r="AT517" t="s">
        <v>35</v>
      </c>
      <c r="AU517" s="4">
        <f>HYPERLINK("http://mlb.mlb.com/team/player.jsp?player_id=605130",605130)</f>
        <v>605130</v>
      </c>
      <c r="AV517">
        <v>180</v>
      </c>
      <c r="AW517">
        <v>1180</v>
      </c>
      <c r="AX517">
        <v>0</v>
      </c>
    </row>
    <row r="518" spans="1:50" x14ac:dyDescent="0.3">
      <c r="A518" s="4">
        <f>HYPERLINK("http://legacy.baseballprospectus.com/p/70438",70438)</f>
        <v>70438</v>
      </c>
      <c r="B518" t="s">
        <v>1066</v>
      </c>
      <c r="C518" t="s">
        <v>182</v>
      </c>
      <c r="D518" s="10">
        <v>33938</v>
      </c>
      <c r="E518" t="s">
        <v>9</v>
      </c>
      <c r="F518" t="s">
        <v>33</v>
      </c>
      <c r="G518">
        <v>76</v>
      </c>
      <c r="H518">
        <v>220</v>
      </c>
      <c r="I518">
        <v>2018</v>
      </c>
      <c r="J518" s="4" t="str">
        <f>HYPERLINK("http://legacy.baseballprospectus.com/fantasy/dc/index.php?tm=PIT","PIT")</f>
        <v>PIT</v>
      </c>
      <c r="K518" t="s">
        <v>100</v>
      </c>
      <c r="L518" t="s">
        <v>34</v>
      </c>
      <c r="M518">
        <v>25</v>
      </c>
      <c r="N518">
        <v>1.5</v>
      </c>
      <c r="O518">
        <v>1.6</v>
      </c>
      <c r="P518">
        <v>0</v>
      </c>
      <c r="Q518">
        <v>0</v>
      </c>
      <c r="R518">
        <v>0</v>
      </c>
      <c r="S518">
        <v>1</v>
      </c>
      <c r="T518">
        <v>31</v>
      </c>
      <c r="U518">
        <v>0</v>
      </c>
      <c r="V518" s="9">
        <v>32.333300000000001</v>
      </c>
      <c r="W518">
        <v>144</v>
      </c>
      <c r="X518">
        <v>29</v>
      </c>
      <c r="Y518">
        <v>4</v>
      </c>
      <c r="Z518">
        <v>18</v>
      </c>
      <c r="AA518">
        <v>1</v>
      </c>
      <c r="AB518">
        <v>1</v>
      </c>
      <c r="AC518">
        <v>34</v>
      </c>
      <c r="AD518">
        <v>5</v>
      </c>
      <c r="AE518">
        <v>9.4</v>
      </c>
      <c r="AF518" s="5">
        <v>0.41299999999999998</v>
      </c>
      <c r="AG518">
        <v>0.29699999999999999</v>
      </c>
      <c r="AH518">
        <v>1.46</v>
      </c>
      <c r="AI518">
        <v>4.38</v>
      </c>
      <c r="AJ518">
        <v>4.6100000000000003</v>
      </c>
      <c r="AK518">
        <v>1.3</v>
      </c>
      <c r="AL518">
        <v>0.1</v>
      </c>
      <c r="AM518">
        <v>18</v>
      </c>
      <c r="AN518">
        <v>35</v>
      </c>
      <c r="AO518">
        <v>17</v>
      </c>
      <c r="AP518">
        <v>27</v>
      </c>
      <c r="AQ518" t="s">
        <v>3054</v>
      </c>
      <c r="AR518">
        <v>60</v>
      </c>
      <c r="AS518" t="s">
        <v>35</v>
      </c>
      <c r="AT518" t="s">
        <v>35</v>
      </c>
      <c r="AU518" s="4">
        <f>HYPERLINK("http://mlb.mlb.com/team/player.jsp?player_id=605195",605195)</f>
        <v>605195</v>
      </c>
      <c r="AV518">
        <v>1310</v>
      </c>
      <c r="AW518">
        <v>310</v>
      </c>
      <c r="AX518">
        <v>32.299999999999997</v>
      </c>
    </row>
    <row r="519" spans="1:50" x14ac:dyDescent="0.3">
      <c r="A519" s="4">
        <f>HYPERLINK("http://legacy.baseballprospectus.com/p/70464",70464)</f>
        <v>70464</v>
      </c>
      <c r="B519" t="s">
        <v>482</v>
      </c>
      <c r="C519" t="s">
        <v>111</v>
      </c>
      <c r="D519" s="10">
        <v>34010</v>
      </c>
      <c r="E519" t="s">
        <v>33</v>
      </c>
      <c r="F519" t="s">
        <v>33</v>
      </c>
      <c r="G519">
        <v>75</v>
      </c>
      <c r="H519">
        <v>195</v>
      </c>
      <c r="I519">
        <v>2018</v>
      </c>
      <c r="J519" s="4" t="str">
        <f>HYPERLINK("http://legacy.baseballprospectus.com/fantasy/dc/index.php?tm=MIL","MIL")</f>
        <v>MIL</v>
      </c>
      <c r="K519" t="s">
        <v>100</v>
      </c>
      <c r="L519" t="s">
        <v>34</v>
      </c>
      <c r="M519">
        <v>25</v>
      </c>
      <c r="N519">
        <v>0.9</v>
      </c>
      <c r="O519">
        <v>0.9</v>
      </c>
      <c r="P519">
        <v>1</v>
      </c>
      <c r="Q519">
        <v>0</v>
      </c>
      <c r="R519">
        <v>0</v>
      </c>
      <c r="S519">
        <v>0</v>
      </c>
      <c r="T519">
        <v>7</v>
      </c>
      <c r="U519">
        <v>2</v>
      </c>
      <c r="V519" s="9">
        <v>15.333299999999999</v>
      </c>
      <c r="W519">
        <v>66</v>
      </c>
      <c r="X519">
        <v>15</v>
      </c>
      <c r="Y519">
        <v>2</v>
      </c>
      <c r="Z519">
        <v>7</v>
      </c>
      <c r="AA519">
        <v>0</v>
      </c>
      <c r="AB519">
        <v>1</v>
      </c>
      <c r="AC519">
        <v>15</v>
      </c>
      <c r="AD519">
        <v>3.9</v>
      </c>
      <c r="AE519">
        <v>9.1999999999999993</v>
      </c>
      <c r="AF519" s="5">
        <v>0.48099999999999998</v>
      </c>
      <c r="AG519">
        <v>0.29899999999999999</v>
      </c>
      <c r="AH519">
        <v>1.43</v>
      </c>
      <c r="AI519">
        <v>4.6399999999999997</v>
      </c>
      <c r="AJ519">
        <v>4.8600000000000003</v>
      </c>
      <c r="AK519">
        <v>0.5</v>
      </c>
      <c r="AL519">
        <v>0.1</v>
      </c>
      <c r="AM519">
        <v>14</v>
      </c>
      <c r="AN519">
        <v>20</v>
      </c>
      <c r="AO519">
        <v>18</v>
      </c>
      <c r="AP519">
        <v>40</v>
      </c>
      <c r="AQ519" t="s">
        <v>3056</v>
      </c>
      <c r="AR519">
        <v>49</v>
      </c>
      <c r="AS519" t="s">
        <v>35</v>
      </c>
      <c r="AT519" t="s">
        <v>35</v>
      </c>
      <c r="AU519" s="4">
        <f>HYPERLINK("http://mlb.mlb.com/team/player.jsp?player_id=605347",605347)</f>
        <v>605347</v>
      </c>
      <c r="AV519">
        <v>1137</v>
      </c>
      <c r="AW519">
        <v>137</v>
      </c>
      <c r="AX519">
        <v>2</v>
      </c>
    </row>
    <row r="520" spans="1:50" x14ac:dyDescent="0.3">
      <c r="A520" s="4">
        <f>HYPERLINK("http://legacy.baseballprospectus.com/p/70485",70485)</f>
        <v>70485</v>
      </c>
      <c r="B520" t="s">
        <v>373</v>
      </c>
      <c r="C520" t="s">
        <v>169</v>
      </c>
      <c r="D520" s="10">
        <v>34110</v>
      </c>
      <c r="E520" t="s">
        <v>33</v>
      </c>
      <c r="F520" t="s">
        <v>33</v>
      </c>
      <c r="G520">
        <v>76</v>
      </c>
      <c r="H520">
        <v>225</v>
      </c>
      <c r="I520">
        <v>2018</v>
      </c>
      <c r="J520" s="4" t="str">
        <f>HYPERLINK("http://legacy.baseballprospectus.com/fantasy/dc/index.php?tm=WAS","WAS")</f>
        <v>WAS</v>
      </c>
      <c r="K520" t="s">
        <v>100</v>
      </c>
      <c r="L520" t="s">
        <v>34</v>
      </c>
      <c r="M520">
        <v>25</v>
      </c>
      <c r="N520">
        <v>0.6</v>
      </c>
      <c r="O520">
        <v>0.6</v>
      </c>
      <c r="P520">
        <v>1</v>
      </c>
      <c r="Q520">
        <v>0</v>
      </c>
      <c r="R520">
        <v>0</v>
      </c>
      <c r="S520">
        <v>0</v>
      </c>
      <c r="T520">
        <v>2</v>
      </c>
      <c r="U520">
        <v>2</v>
      </c>
      <c r="V520" s="9">
        <v>10</v>
      </c>
      <c r="W520">
        <v>43</v>
      </c>
      <c r="X520">
        <v>10</v>
      </c>
      <c r="Y520">
        <v>1</v>
      </c>
      <c r="Z520">
        <v>3</v>
      </c>
      <c r="AA520">
        <v>0</v>
      </c>
      <c r="AB520">
        <v>0</v>
      </c>
      <c r="AC520">
        <v>10</v>
      </c>
      <c r="AD520">
        <v>3.1</v>
      </c>
      <c r="AE520">
        <v>8.9</v>
      </c>
      <c r="AF520" s="5">
        <v>0.439</v>
      </c>
      <c r="AG520">
        <v>0.29699999999999999</v>
      </c>
      <c r="AH520">
        <v>1.34</v>
      </c>
      <c r="AI520">
        <v>4.0999999999999996</v>
      </c>
      <c r="AJ520">
        <v>4.43</v>
      </c>
      <c r="AK520">
        <v>0.9</v>
      </c>
      <c r="AL520">
        <v>0.1</v>
      </c>
      <c r="AM520">
        <v>26</v>
      </c>
      <c r="AN520">
        <v>53</v>
      </c>
      <c r="AO520">
        <v>20</v>
      </c>
      <c r="AP520">
        <v>20</v>
      </c>
      <c r="AQ520" t="s">
        <v>2656</v>
      </c>
      <c r="AR520">
        <v>95</v>
      </c>
      <c r="AS520" t="s">
        <v>35</v>
      </c>
      <c r="AT520" t="s">
        <v>36</v>
      </c>
      <c r="AU520" s="4">
        <f>HYPERLINK("http://mlb.mlb.com/team/player.jsp?player_id=605452",605452)</f>
        <v>605452</v>
      </c>
      <c r="AV520">
        <v>1696</v>
      </c>
      <c r="AW520">
        <v>696</v>
      </c>
      <c r="AX520">
        <v>73.7</v>
      </c>
    </row>
    <row r="521" spans="1:50" x14ac:dyDescent="0.3">
      <c r="A521" s="4">
        <f>HYPERLINK("http://legacy.baseballprospectus.com/p/70610",70610)</f>
        <v>70610</v>
      </c>
      <c r="B521" t="s">
        <v>1200</v>
      </c>
      <c r="C521" t="s">
        <v>458</v>
      </c>
      <c r="D521" s="10">
        <v>34352</v>
      </c>
      <c r="E521" t="s">
        <v>9</v>
      </c>
      <c r="F521" t="s">
        <v>9</v>
      </c>
      <c r="G521">
        <v>76</v>
      </c>
      <c r="H521">
        <v>200</v>
      </c>
      <c r="I521">
        <v>2018</v>
      </c>
      <c r="J521" s="4" t="str">
        <f>HYPERLINK("http://legacy.baseballprospectus.com/fantasy/dc/index.php?tm=ATL","ATL")</f>
        <v>ATL</v>
      </c>
      <c r="K521" t="s">
        <v>100</v>
      </c>
      <c r="L521" t="s">
        <v>34</v>
      </c>
      <c r="M521">
        <v>24</v>
      </c>
      <c r="N521">
        <v>5.0999999999999996</v>
      </c>
      <c r="O521">
        <v>6.8</v>
      </c>
      <c r="P521">
        <v>8</v>
      </c>
      <c r="Q521">
        <v>0</v>
      </c>
      <c r="R521">
        <v>0</v>
      </c>
      <c r="S521">
        <v>0</v>
      </c>
      <c r="T521">
        <v>18</v>
      </c>
      <c r="U521">
        <v>18</v>
      </c>
      <c r="V521" s="9">
        <v>95.333299999999994</v>
      </c>
      <c r="W521">
        <v>423</v>
      </c>
      <c r="X521">
        <v>94</v>
      </c>
      <c r="Y521">
        <v>16</v>
      </c>
      <c r="Z521">
        <v>43</v>
      </c>
      <c r="AA521">
        <v>2</v>
      </c>
      <c r="AB521">
        <v>5</v>
      </c>
      <c r="AC521">
        <v>97</v>
      </c>
      <c r="AD521">
        <v>4.0999999999999996</v>
      </c>
      <c r="AE521">
        <v>9.1</v>
      </c>
      <c r="AF521" s="5">
        <v>0.48099999999999998</v>
      </c>
      <c r="AG521">
        <v>0.30199999999999999</v>
      </c>
      <c r="AH521">
        <v>1.46</v>
      </c>
      <c r="AI521">
        <v>4.63</v>
      </c>
      <c r="AJ521">
        <v>5.16</v>
      </c>
      <c r="AK521">
        <v>1</v>
      </c>
      <c r="AL521">
        <v>0.1</v>
      </c>
      <c r="AM521">
        <v>17</v>
      </c>
      <c r="AN521">
        <v>29</v>
      </c>
      <c r="AO521">
        <v>6</v>
      </c>
      <c r="AP521">
        <v>21</v>
      </c>
      <c r="AQ521" t="s">
        <v>2893</v>
      </c>
      <c r="AR521">
        <v>37</v>
      </c>
      <c r="AS521" t="s">
        <v>35</v>
      </c>
      <c r="AT521" t="s">
        <v>35</v>
      </c>
      <c r="AU521" s="4">
        <f>HYPERLINK("http://mlb.mlb.com/team/player.jsp?player_id=608331",608331)</f>
        <v>608331</v>
      </c>
      <c r="AV521">
        <v>1104</v>
      </c>
      <c r="AW521">
        <v>104</v>
      </c>
      <c r="AX521">
        <v>26</v>
      </c>
    </row>
    <row r="522" spans="1:50" x14ac:dyDescent="0.3">
      <c r="A522" s="4">
        <f>HYPERLINK("http://legacy.baseballprospectus.com/p/70636",70636)</f>
        <v>70636</v>
      </c>
      <c r="B522" t="s">
        <v>1184</v>
      </c>
      <c r="C522" t="s">
        <v>311</v>
      </c>
      <c r="D522" s="10">
        <v>34464</v>
      </c>
      <c r="E522" t="s">
        <v>33</v>
      </c>
      <c r="F522" t="s">
        <v>33</v>
      </c>
      <c r="G522">
        <v>74</v>
      </c>
      <c r="H522">
        <v>220</v>
      </c>
      <c r="I522">
        <v>2018</v>
      </c>
      <c r="J522" s="4" t="str">
        <f>HYPERLINK("http://legacy.baseballprospectus.com/fantasy/dc/index.php?tm=ATL","ATL")</f>
        <v>ATL</v>
      </c>
      <c r="K522" t="s">
        <v>100</v>
      </c>
      <c r="L522" t="s">
        <v>34</v>
      </c>
      <c r="M522">
        <v>24</v>
      </c>
      <c r="N522">
        <v>2.4</v>
      </c>
      <c r="O522">
        <v>3</v>
      </c>
      <c r="P522">
        <v>4</v>
      </c>
      <c r="Q522">
        <v>0</v>
      </c>
      <c r="R522">
        <v>0</v>
      </c>
      <c r="S522">
        <v>0</v>
      </c>
      <c r="T522">
        <v>8</v>
      </c>
      <c r="U522">
        <v>8</v>
      </c>
      <c r="V522" s="9">
        <v>42.333300000000001</v>
      </c>
      <c r="W522">
        <v>184</v>
      </c>
      <c r="X522">
        <v>39</v>
      </c>
      <c r="Y522">
        <v>7</v>
      </c>
      <c r="Z522">
        <v>19</v>
      </c>
      <c r="AA522">
        <v>1</v>
      </c>
      <c r="AB522">
        <v>2</v>
      </c>
      <c r="AC522">
        <v>46</v>
      </c>
      <c r="AD522">
        <v>4</v>
      </c>
      <c r="AE522">
        <v>9.8000000000000007</v>
      </c>
      <c r="AF522" s="5">
        <v>0.40699999999999997</v>
      </c>
      <c r="AG522">
        <v>0.29399999999999998</v>
      </c>
      <c r="AH522">
        <v>1.36</v>
      </c>
      <c r="AI522">
        <v>4.47</v>
      </c>
      <c r="AJ522">
        <v>4.9800000000000004</v>
      </c>
      <c r="AK522">
        <v>1.3</v>
      </c>
      <c r="AL522">
        <v>0.1</v>
      </c>
      <c r="AM522">
        <v>22</v>
      </c>
      <c r="AN522">
        <v>45</v>
      </c>
      <c r="AO522">
        <v>13</v>
      </c>
      <c r="AP522">
        <v>28</v>
      </c>
      <c r="AQ522" t="s">
        <v>2895</v>
      </c>
      <c r="AR522">
        <v>60</v>
      </c>
      <c r="AS522" t="s">
        <v>35</v>
      </c>
      <c r="AT522" t="s">
        <v>36</v>
      </c>
      <c r="AU522" s="4">
        <f>HYPERLINK("http://mlb.mlb.com/team/player.jsp?player_id=608371",608371)</f>
        <v>608371</v>
      </c>
      <c r="AV522">
        <v>1081</v>
      </c>
      <c r="AW522">
        <v>81</v>
      </c>
      <c r="AX522">
        <v>57.7</v>
      </c>
    </row>
    <row r="523" spans="1:50" x14ac:dyDescent="0.3">
      <c r="A523" s="4">
        <f>HYPERLINK("http://legacy.baseballprospectus.com/p/70881",70881)</f>
        <v>70881</v>
      </c>
      <c r="B523" t="s">
        <v>1509</v>
      </c>
      <c r="C523" t="s">
        <v>247</v>
      </c>
      <c r="D523" s="10">
        <v>33903</v>
      </c>
      <c r="E523" t="s">
        <v>9</v>
      </c>
      <c r="F523" t="s">
        <v>9</v>
      </c>
      <c r="G523">
        <v>79</v>
      </c>
      <c r="H523">
        <v>200</v>
      </c>
      <c r="I523">
        <v>2018</v>
      </c>
      <c r="J523" s="4" t="str">
        <f>HYPERLINK("http://legacy.baseballprospectus.com/fantasy/dc/index.php?tm=KCA","KCA")</f>
        <v>KCA</v>
      </c>
      <c r="K523" t="s">
        <v>95</v>
      </c>
      <c r="L523" t="s">
        <v>34</v>
      </c>
      <c r="M523">
        <v>25</v>
      </c>
      <c r="N523">
        <v>3.4</v>
      </c>
      <c r="O523">
        <v>5.7</v>
      </c>
      <c r="P523">
        <v>5</v>
      </c>
      <c r="Q523">
        <v>0</v>
      </c>
      <c r="R523">
        <v>0</v>
      </c>
      <c r="S523">
        <v>0</v>
      </c>
      <c r="T523">
        <v>13</v>
      </c>
      <c r="U523">
        <v>13</v>
      </c>
      <c r="V523" s="9">
        <v>74</v>
      </c>
      <c r="W523">
        <v>327</v>
      </c>
      <c r="X523">
        <v>81</v>
      </c>
      <c r="Y523">
        <v>14</v>
      </c>
      <c r="Z523">
        <v>26</v>
      </c>
      <c r="AA523">
        <v>2</v>
      </c>
      <c r="AB523">
        <v>2</v>
      </c>
      <c r="AC523">
        <v>60</v>
      </c>
      <c r="AD523">
        <v>3.1</v>
      </c>
      <c r="AE523">
        <v>7.3</v>
      </c>
      <c r="AF523" s="5">
        <v>0.42799999999999999</v>
      </c>
      <c r="AG523">
        <v>0.29799999999999999</v>
      </c>
      <c r="AH523">
        <v>1.46</v>
      </c>
      <c r="AI523">
        <v>5.13</v>
      </c>
      <c r="AJ523">
        <v>5.44</v>
      </c>
      <c r="AK523">
        <v>0.7</v>
      </c>
      <c r="AL523">
        <v>0.1</v>
      </c>
      <c r="AM523">
        <v>16</v>
      </c>
      <c r="AN523">
        <v>28</v>
      </c>
      <c r="AO523">
        <v>18</v>
      </c>
      <c r="AP523">
        <v>40</v>
      </c>
      <c r="AQ523" t="s">
        <v>2756</v>
      </c>
      <c r="AR523">
        <v>58</v>
      </c>
      <c r="AS523" t="s">
        <v>35</v>
      </c>
      <c r="AT523" t="s">
        <v>35</v>
      </c>
      <c r="AU523" s="4">
        <f>HYPERLINK("http://mlb.mlb.com/team/player.jsp?player_id=607215",607215)</f>
        <v>607215</v>
      </c>
      <c r="AV523">
        <v>107</v>
      </c>
      <c r="AW523">
        <v>1107</v>
      </c>
      <c r="AX523">
        <v>18</v>
      </c>
    </row>
    <row r="524" spans="1:50" x14ac:dyDescent="0.3">
      <c r="A524" s="4">
        <f>HYPERLINK("http://legacy.baseballprospectus.com/p/71017",71017)</f>
        <v>71017</v>
      </c>
      <c r="B524" t="s">
        <v>2054</v>
      </c>
      <c r="C524" t="s">
        <v>344</v>
      </c>
      <c r="D524" s="10">
        <v>33863</v>
      </c>
      <c r="E524" t="s">
        <v>33</v>
      </c>
      <c r="F524" t="s">
        <v>33</v>
      </c>
      <c r="G524">
        <v>74</v>
      </c>
      <c r="H524">
        <v>225</v>
      </c>
      <c r="I524">
        <v>2018</v>
      </c>
      <c r="J524" s="4" t="str">
        <f>HYPERLINK("http://legacy.baseballprospectus.com/fantasy/dc/index.php?tm=KCA","KCA")</f>
        <v>KCA</v>
      </c>
      <c r="K524" t="s">
        <v>95</v>
      </c>
      <c r="L524" t="s">
        <v>34</v>
      </c>
      <c r="M524">
        <v>25</v>
      </c>
      <c r="N524">
        <v>6.1</v>
      </c>
      <c r="O524">
        <v>10.1</v>
      </c>
      <c r="P524">
        <v>9</v>
      </c>
      <c r="Q524">
        <v>0</v>
      </c>
      <c r="R524">
        <v>0</v>
      </c>
      <c r="S524">
        <v>0</v>
      </c>
      <c r="T524">
        <v>23</v>
      </c>
      <c r="U524">
        <v>23</v>
      </c>
      <c r="V524" s="9">
        <v>131</v>
      </c>
      <c r="W524">
        <v>576</v>
      </c>
      <c r="X524">
        <v>142</v>
      </c>
      <c r="Y524">
        <v>26</v>
      </c>
      <c r="Z524">
        <v>43</v>
      </c>
      <c r="AA524">
        <v>2</v>
      </c>
      <c r="AB524">
        <v>7</v>
      </c>
      <c r="AC524">
        <v>114</v>
      </c>
      <c r="AD524">
        <v>2.9</v>
      </c>
      <c r="AE524">
        <v>7.8</v>
      </c>
      <c r="AF524" s="5">
        <v>0.40100000000000002</v>
      </c>
      <c r="AG524">
        <v>0.3</v>
      </c>
      <c r="AH524">
        <v>1.42</v>
      </c>
      <c r="AI524">
        <v>5.14</v>
      </c>
      <c r="AJ524">
        <v>5.44</v>
      </c>
      <c r="AK524">
        <v>1.3</v>
      </c>
      <c r="AL524">
        <v>0.1</v>
      </c>
      <c r="AM524">
        <v>21</v>
      </c>
      <c r="AN524">
        <v>43</v>
      </c>
      <c r="AO524">
        <v>21</v>
      </c>
      <c r="AP524">
        <v>43</v>
      </c>
      <c r="AQ524" t="s">
        <v>2480</v>
      </c>
      <c r="AR524">
        <v>81</v>
      </c>
      <c r="AS524" t="s">
        <v>35</v>
      </c>
      <c r="AT524" t="s">
        <v>36</v>
      </c>
      <c r="AU524" s="4">
        <f>HYPERLINK("http://mlb.mlb.com/team/player.jsp?player_id=596001",596001)</f>
        <v>596001</v>
      </c>
      <c r="AV524">
        <v>55</v>
      </c>
      <c r="AW524">
        <v>1055</v>
      </c>
      <c r="AX524">
        <v>98.3</v>
      </c>
    </row>
    <row r="525" spans="1:50" x14ac:dyDescent="0.3">
      <c r="A525" s="4">
        <f>HYPERLINK("http://legacy.baseballprospectus.com/p/71042",71042)</f>
        <v>71042</v>
      </c>
      <c r="B525" t="s">
        <v>2658</v>
      </c>
      <c r="C525" t="s">
        <v>148</v>
      </c>
      <c r="D525" s="10">
        <v>34064</v>
      </c>
      <c r="E525" t="s">
        <v>33</v>
      </c>
      <c r="F525" t="s">
        <v>33</v>
      </c>
      <c r="G525">
        <v>76</v>
      </c>
      <c r="H525">
        <v>200</v>
      </c>
      <c r="I525">
        <v>2018</v>
      </c>
      <c r="J525" s="4" t="str">
        <f>HYPERLINK("http://legacy.baseballprospectus.com/fantasy/dc/index.php?tm=MIN","MIN")</f>
        <v>MIN</v>
      </c>
      <c r="K525" t="s">
        <v>95</v>
      </c>
      <c r="L525" t="s">
        <v>34</v>
      </c>
      <c r="M525">
        <v>25</v>
      </c>
      <c r="N525">
        <v>1.9</v>
      </c>
      <c r="O525">
        <v>2.1</v>
      </c>
      <c r="P525">
        <v>0</v>
      </c>
      <c r="Q525">
        <v>0</v>
      </c>
      <c r="R525">
        <v>0</v>
      </c>
      <c r="S525">
        <v>1</v>
      </c>
      <c r="T525">
        <v>40</v>
      </c>
      <c r="U525">
        <v>0</v>
      </c>
      <c r="V525" s="9">
        <v>42.333300000000001</v>
      </c>
      <c r="W525">
        <v>189</v>
      </c>
      <c r="X525">
        <v>42</v>
      </c>
      <c r="Y525">
        <v>8</v>
      </c>
      <c r="Z525">
        <v>20</v>
      </c>
      <c r="AA525">
        <v>1</v>
      </c>
      <c r="AB525">
        <v>2</v>
      </c>
      <c r="AC525">
        <v>48</v>
      </c>
      <c r="AD525">
        <v>4.3</v>
      </c>
      <c r="AE525">
        <v>10.1</v>
      </c>
      <c r="AF525" s="5">
        <v>0.40699999999999997</v>
      </c>
      <c r="AG525">
        <v>0.30299999999999999</v>
      </c>
      <c r="AH525">
        <v>1.48</v>
      </c>
      <c r="AI525">
        <v>5.12</v>
      </c>
      <c r="AJ525">
        <v>5.08</v>
      </c>
      <c r="AK525">
        <v>0.7</v>
      </c>
      <c r="AL525">
        <v>0.1</v>
      </c>
      <c r="AM525">
        <v>19</v>
      </c>
      <c r="AN525">
        <v>25</v>
      </c>
      <c r="AO525">
        <v>15</v>
      </c>
      <c r="AP525">
        <v>36</v>
      </c>
      <c r="AQ525" t="s">
        <v>2659</v>
      </c>
      <c r="AR525">
        <v>46</v>
      </c>
      <c r="AS525" t="s">
        <v>35</v>
      </c>
      <c r="AT525" t="s">
        <v>35</v>
      </c>
      <c r="AU525" s="4">
        <f>HYPERLINK("http://mlb.mlb.com/team/player.jsp?player_id=595928",595928)</f>
        <v>595928</v>
      </c>
      <c r="AV525">
        <v>334</v>
      </c>
      <c r="AW525">
        <v>1334</v>
      </c>
      <c r="AX525">
        <v>8.6999999999999993</v>
      </c>
    </row>
    <row r="526" spans="1:50" x14ac:dyDescent="0.3">
      <c r="A526" s="4">
        <f>HYPERLINK("http://legacy.baseballprospectus.com/p/71098",71098)</f>
        <v>71098</v>
      </c>
      <c r="B526" t="s">
        <v>1449</v>
      </c>
      <c r="C526" t="s">
        <v>182</v>
      </c>
      <c r="D526" s="10">
        <v>34103</v>
      </c>
      <c r="E526" t="s">
        <v>9</v>
      </c>
      <c r="F526" t="s">
        <v>9</v>
      </c>
      <c r="G526">
        <v>75</v>
      </c>
      <c r="H526">
        <v>170</v>
      </c>
      <c r="I526">
        <v>2018</v>
      </c>
      <c r="J526" s="4" t="str">
        <f>HYPERLINK("http://legacy.baseballprospectus.com/fantasy/dc/index.php?tm=COL","COL")</f>
        <v>COL</v>
      </c>
      <c r="K526" t="s">
        <v>100</v>
      </c>
      <c r="L526" t="s">
        <v>34</v>
      </c>
      <c r="M526">
        <v>25</v>
      </c>
      <c r="N526">
        <v>7.2</v>
      </c>
      <c r="O526">
        <v>9</v>
      </c>
      <c r="P526">
        <v>10</v>
      </c>
      <c r="Q526">
        <v>0</v>
      </c>
      <c r="R526">
        <v>0</v>
      </c>
      <c r="S526">
        <v>0</v>
      </c>
      <c r="T526">
        <v>23</v>
      </c>
      <c r="U526">
        <v>23</v>
      </c>
      <c r="V526" s="9">
        <v>131</v>
      </c>
      <c r="W526">
        <v>575</v>
      </c>
      <c r="X526">
        <v>141</v>
      </c>
      <c r="Y526">
        <v>22</v>
      </c>
      <c r="Z526">
        <v>50</v>
      </c>
      <c r="AA526">
        <v>3</v>
      </c>
      <c r="AB526">
        <v>4</v>
      </c>
      <c r="AC526">
        <v>101</v>
      </c>
      <c r="AD526">
        <v>3.4</v>
      </c>
      <c r="AE526">
        <v>6.9</v>
      </c>
      <c r="AF526" s="5">
        <v>0.501</v>
      </c>
      <c r="AG526">
        <v>0.29799999999999999</v>
      </c>
      <c r="AH526">
        <v>1.46</v>
      </c>
      <c r="AI526">
        <v>4.97</v>
      </c>
      <c r="AJ526">
        <v>5.16</v>
      </c>
      <c r="AK526">
        <v>1.4</v>
      </c>
      <c r="AL526">
        <v>0.1</v>
      </c>
      <c r="AM526">
        <v>22</v>
      </c>
      <c r="AN526">
        <v>57</v>
      </c>
      <c r="AO526">
        <v>16</v>
      </c>
      <c r="AP526">
        <v>22</v>
      </c>
      <c r="AQ526" t="s">
        <v>2334</v>
      </c>
      <c r="AR526">
        <v>92</v>
      </c>
      <c r="AS526" t="s">
        <v>35</v>
      </c>
      <c r="AT526" t="s">
        <v>36</v>
      </c>
      <c r="AU526" s="4">
        <f>HYPERLINK("http://mlb.mlb.com/team/player.jsp?player_id=607536",607536)</f>
        <v>607536</v>
      </c>
      <c r="AV526">
        <v>1028</v>
      </c>
      <c r="AW526">
        <v>28</v>
      </c>
      <c r="AX526">
        <v>156</v>
      </c>
    </row>
    <row r="527" spans="1:50" x14ac:dyDescent="0.3">
      <c r="A527" s="4">
        <f>HYPERLINK("http://legacy.baseballprospectus.com/p/71204",71204)</f>
        <v>71204</v>
      </c>
      <c r="B527" t="s">
        <v>2757</v>
      </c>
      <c r="C527" t="s">
        <v>458</v>
      </c>
      <c r="D527" s="10">
        <v>34204</v>
      </c>
      <c r="E527" t="s">
        <v>33</v>
      </c>
      <c r="F527" t="s">
        <v>33</v>
      </c>
      <c r="G527">
        <v>80</v>
      </c>
      <c r="H527">
        <v>185</v>
      </c>
      <c r="I527">
        <v>2018</v>
      </c>
      <c r="J527" s="4" t="str">
        <f>HYPERLINK("http://legacy.baseballprospectus.com/fantasy/dc/index.php?tm=SEA","SEA")</f>
        <v>SEA</v>
      </c>
      <c r="K527" t="s">
        <v>95</v>
      </c>
      <c r="L527" t="s">
        <v>34</v>
      </c>
      <c r="M527">
        <v>24</v>
      </c>
      <c r="N527">
        <v>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20</v>
      </c>
      <c r="U527">
        <v>0</v>
      </c>
      <c r="V527" s="9">
        <v>21</v>
      </c>
      <c r="W527">
        <v>91</v>
      </c>
      <c r="X527">
        <v>21</v>
      </c>
      <c r="Y527">
        <v>3</v>
      </c>
      <c r="Z527">
        <v>8</v>
      </c>
      <c r="AA527">
        <v>1</v>
      </c>
      <c r="AB527">
        <v>1</v>
      </c>
      <c r="AC527">
        <v>19</v>
      </c>
      <c r="AD527">
        <v>3.4</v>
      </c>
      <c r="AE527">
        <v>8.3000000000000007</v>
      </c>
      <c r="AF527" s="5">
        <v>0.44600000000000001</v>
      </c>
      <c r="AG527">
        <v>0.29399999999999998</v>
      </c>
      <c r="AH527">
        <v>1.36</v>
      </c>
      <c r="AI527">
        <v>4.74</v>
      </c>
      <c r="AJ527">
        <v>4.92</v>
      </c>
      <c r="AK527">
        <v>0.7</v>
      </c>
      <c r="AL527">
        <v>0.1</v>
      </c>
      <c r="AM527">
        <v>18</v>
      </c>
      <c r="AN527">
        <v>26</v>
      </c>
      <c r="AO527">
        <v>11</v>
      </c>
      <c r="AP527">
        <v>28</v>
      </c>
      <c r="AQ527" t="s">
        <v>2758</v>
      </c>
      <c r="AR527">
        <v>45</v>
      </c>
      <c r="AS527" t="s">
        <v>35</v>
      </c>
      <c r="AT527" t="s">
        <v>35</v>
      </c>
      <c r="AU527" s="4">
        <f>HYPERLINK("http://mlb.mlb.com/team/player.jsp?player_id=605428",605428)</f>
        <v>605428</v>
      </c>
      <c r="AV527">
        <v>123</v>
      </c>
      <c r="AW527">
        <v>1123</v>
      </c>
      <c r="AX527">
        <v>3.7</v>
      </c>
    </row>
    <row r="528" spans="1:50" x14ac:dyDescent="0.3">
      <c r="A528" s="4">
        <f>HYPERLINK("http://legacy.baseballprospectus.com/p/71344",71344)</f>
        <v>71344</v>
      </c>
      <c r="B528" t="s">
        <v>981</v>
      </c>
      <c r="C528" t="s">
        <v>258</v>
      </c>
      <c r="D528" s="10">
        <v>33074</v>
      </c>
      <c r="E528" t="s">
        <v>33</v>
      </c>
      <c r="F528" t="s">
        <v>9</v>
      </c>
      <c r="G528">
        <v>77</v>
      </c>
      <c r="H528">
        <v>230</v>
      </c>
      <c r="I528">
        <v>2018</v>
      </c>
      <c r="J528" s="4" t="str">
        <f>HYPERLINK("http://legacy.baseballprospectus.com/fantasy/dc/index.php?tm=MIL","MIL")</f>
        <v>MIL</v>
      </c>
      <c r="K528" t="s">
        <v>100</v>
      </c>
      <c r="L528" t="s">
        <v>34</v>
      </c>
      <c r="M528">
        <v>27</v>
      </c>
      <c r="N528">
        <v>1.1000000000000001</v>
      </c>
      <c r="O528">
        <v>0.9</v>
      </c>
      <c r="P528">
        <v>0</v>
      </c>
      <c r="Q528">
        <v>0</v>
      </c>
      <c r="R528">
        <v>0</v>
      </c>
      <c r="S528">
        <v>0</v>
      </c>
      <c r="T528">
        <v>20</v>
      </c>
      <c r="U528">
        <v>0</v>
      </c>
      <c r="V528" s="9">
        <v>20.666699999999999</v>
      </c>
      <c r="W528">
        <v>91</v>
      </c>
      <c r="X528">
        <v>20</v>
      </c>
      <c r="Y528">
        <v>3</v>
      </c>
      <c r="Z528">
        <v>8</v>
      </c>
      <c r="AA528">
        <v>1</v>
      </c>
      <c r="AB528">
        <v>1</v>
      </c>
      <c r="AC528">
        <v>23</v>
      </c>
      <c r="AD528">
        <v>3.5</v>
      </c>
      <c r="AE528">
        <v>9.8000000000000007</v>
      </c>
      <c r="AF528" s="5">
        <v>0.45</v>
      </c>
      <c r="AG528">
        <v>0.30399999999999999</v>
      </c>
      <c r="AH528">
        <v>1.38</v>
      </c>
      <c r="AI528">
        <v>4.12</v>
      </c>
      <c r="AJ528">
        <v>4.37</v>
      </c>
      <c r="AK528">
        <v>1.3</v>
      </c>
      <c r="AL528">
        <v>0.1</v>
      </c>
      <c r="AM528">
        <v>14</v>
      </c>
      <c r="AN528">
        <v>19</v>
      </c>
      <c r="AO528">
        <v>21</v>
      </c>
      <c r="AP528">
        <v>26</v>
      </c>
      <c r="AQ528" t="s">
        <v>2759</v>
      </c>
      <c r="AR528">
        <v>45</v>
      </c>
      <c r="AS528" t="s">
        <v>35</v>
      </c>
      <c r="AT528" t="s">
        <v>35</v>
      </c>
      <c r="AU528" s="4">
        <f>HYPERLINK("http://mlb.mlb.com/team/player.jsp?player_id=643778",643778)</f>
        <v>643778</v>
      </c>
      <c r="AV528">
        <v>1342</v>
      </c>
      <c r="AW528">
        <v>342</v>
      </c>
      <c r="AX528">
        <v>8</v>
      </c>
    </row>
    <row r="529" spans="1:50" x14ac:dyDescent="0.3">
      <c r="A529" s="4">
        <f>HYPERLINK("http://legacy.baseballprospectus.com/p/99839",99839)</f>
        <v>99839</v>
      </c>
      <c r="B529" t="s">
        <v>445</v>
      </c>
      <c r="C529" t="s">
        <v>1180</v>
      </c>
      <c r="D529" s="10">
        <v>33368</v>
      </c>
      <c r="E529" t="s">
        <v>33</v>
      </c>
      <c r="F529" t="s">
        <v>33</v>
      </c>
      <c r="G529">
        <v>75</v>
      </c>
      <c r="H529">
        <v>200</v>
      </c>
      <c r="I529">
        <v>2018</v>
      </c>
      <c r="J529" s="4" t="str">
        <f>HYPERLINK("http://legacy.baseballprospectus.com/fantasy/dc/index.php?tm=SFN","SFN")</f>
        <v>SFN</v>
      </c>
      <c r="K529" t="s">
        <v>100</v>
      </c>
      <c r="L529" t="s">
        <v>34</v>
      </c>
      <c r="M529">
        <v>27</v>
      </c>
      <c r="N529">
        <v>0.8</v>
      </c>
      <c r="O529">
        <v>0.6</v>
      </c>
      <c r="P529">
        <v>0</v>
      </c>
      <c r="Q529">
        <v>0</v>
      </c>
      <c r="R529">
        <v>0</v>
      </c>
      <c r="S529">
        <v>0</v>
      </c>
      <c r="T529">
        <v>15</v>
      </c>
      <c r="U529">
        <v>0</v>
      </c>
      <c r="V529" s="9">
        <v>15.666700000000001</v>
      </c>
      <c r="W529">
        <v>67</v>
      </c>
      <c r="X529">
        <v>13</v>
      </c>
      <c r="Y529">
        <v>1</v>
      </c>
      <c r="Z529">
        <v>7</v>
      </c>
      <c r="AA529">
        <v>1</v>
      </c>
      <c r="AB529">
        <v>1</v>
      </c>
      <c r="AC529">
        <v>17</v>
      </c>
      <c r="AD529">
        <v>4.3</v>
      </c>
      <c r="AE529">
        <v>9.9</v>
      </c>
      <c r="AF529" s="5">
        <v>0.436</v>
      </c>
      <c r="AG529">
        <v>0.29599999999999999</v>
      </c>
      <c r="AH529">
        <v>1.32</v>
      </c>
      <c r="AI529">
        <v>3.6</v>
      </c>
      <c r="AJ529">
        <v>4.28</v>
      </c>
      <c r="AK529">
        <v>1.2</v>
      </c>
      <c r="AL529">
        <v>0.1</v>
      </c>
      <c r="AM529">
        <v>21</v>
      </c>
      <c r="AN529">
        <v>33</v>
      </c>
      <c r="AO529">
        <v>18</v>
      </c>
      <c r="AP529">
        <v>30</v>
      </c>
      <c r="AQ529" t="s">
        <v>2899</v>
      </c>
      <c r="AR529">
        <v>58</v>
      </c>
      <c r="AS529" t="s">
        <v>35</v>
      </c>
      <c r="AT529" t="s">
        <v>35</v>
      </c>
      <c r="AU529" s="4">
        <f>HYPERLINK("http://mlb.mlb.com/team/player.jsp?player_id=572955",572955)</f>
        <v>572955</v>
      </c>
      <c r="AV529">
        <v>1138</v>
      </c>
      <c r="AW529">
        <v>138</v>
      </c>
      <c r="AX529">
        <v>1</v>
      </c>
    </row>
    <row r="530" spans="1:50" x14ac:dyDescent="0.3">
      <c r="A530" s="4">
        <f>HYPERLINK("http://legacy.baseballprospectus.com/p/99984",99984)</f>
        <v>99984</v>
      </c>
      <c r="B530" t="s">
        <v>1625</v>
      </c>
      <c r="C530" t="s">
        <v>1626</v>
      </c>
      <c r="D530" s="10">
        <v>33133</v>
      </c>
      <c r="E530" t="s">
        <v>33</v>
      </c>
      <c r="F530" t="s">
        <v>33</v>
      </c>
      <c r="G530">
        <v>74</v>
      </c>
      <c r="H530">
        <v>210</v>
      </c>
      <c r="I530">
        <v>2018</v>
      </c>
      <c r="J530" s="4" t="str">
        <f>HYPERLINK("http://legacy.baseballprospectus.com/fantasy/dc/index.php?tm=HOU","HOU")</f>
        <v>HOU</v>
      </c>
      <c r="K530" t="s">
        <v>95</v>
      </c>
      <c r="L530" t="s">
        <v>34</v>
      </c>
      <c r="M530">
        <v>27</v>
      </c>
      <c r="N530">
        <v>1.1000000000000001</v>
      </c>
      <c r="O530">
        <v>0.8</v>
      </c>
      <c r="P530">
        <v>1</v>
      </c>
      <c r="Q530">
        <v>0</v>
      </c>
      <c r="R530">
        <v>0</v>
      </c>
      <c r="S530">
        <v>0</v>
      </c>
      <c r="T530">
        <v>7</v>
      </c>
      <c r="U530">
        <v>2</v>
      </c>
      <c r="V530" s="9">
        <v>15.333299999999999</v>
      </c>
      <c r="W530">
        <v>67</v>
      </c>
      <c r="X530">
        <v>17</v>
      </c>
      <c r="Y530">
        <v>2</v>
      </c>
      <c r="Z530">
        <v>5</v>
      </c>
      <c r="AA530">
        <v>0</v>
      </c>
      <c r="AB530">
        <v>1</v>
      </c>
      <c r="AC530">
        <v>12</v>
      </c>
      <c r="AD530">
        <v>2.9</v>
      </c>
      <c r="AE530">
        <v>7.1</v>
      </c>
      <c r="AF530" s="5">
        <v>0.47799999999999998</v>
      </c>
      <c r="AG530">
        <v>0.29599999999999999</v>
      </c>
      <c r="AH530">
        <v>1.4</v>
      </c>
      <c r="AI530">
        <v>4.6399999999999997</v>
      </c>
      <c r="AJ530">
        <v>4.95</v>
      </c>
      <c r="AK530">
        <v>0.8</v>
      </c>
      <c r="AL530">
        <v>0.1</v>
      </c>
      <c r="AM530">
        <v>17</v>
      </c>
      <c r="AN530">
        <v>34</v>
      </c>
      <c r="AO530">
        <v>15</v>
      </c>
      <c r="AP530">
        <v>27</v>
      </c>
      <c r="AQ530" t="s">
        <v>2760</v>
      </c>
      <c r="AR530">
        <v>58</v>
      </c>
      <c r="AS530" t="s">
        <v>35</v>
      </c>
      <c r="AT530" t="s">
        <v>35</v>
      </c>
      <c r="AU530" s="4">
        <f>HYPERLINK("http://mlb.mlb.com/team/player.jsp?player_id=572086",572086)</f>
        <v>572086</v>
      </c>
      <c r="AV530">
        <v>138</v>
      </c>
      <c r="AW530">
        <v>1138</v>
      </c>
      <c r="AX530">
        <v>0</v>
      </c>
    </row>
    <row r="531" spans="1:50" x14ac:dyDescent="0.3">
      <c r="A531" s="4">
        <f>HYPERLINK("http://legacy.baseballprospectus.com/p/100324",100324)</f>
        <v>100324</v>
      </c>
      <c r="B531" t="s">
        <v>2041</v>
      </c>
      <c r="C531" t="s">
        <v>473</v>
      </c>
      <c r="D531" s="10">
        <v>32749</v>
      </c>
      <c r="E531" t="s">
        <v>9</v>
      </c>
      <c r="F531" t="s">
        <v>9</v>
      </c>
      <c r="G531">
        <v>77</v>
      </c>
      <c r="H531">
        <v>195</v>
      </c>
      <c r="I531">
        <v>2018</v>
      </c>
      <c r="J531" s="4" t="str">
        <f>HYPERLINK("http://legacy.baseballprospectus.com/fantasy/dc/index.php?tm=MIL","MIL")</f>
        <v>MIL</v>
      </c>
      <c r="K531" t="s">
        <v>100</v>
      </c>
      <c r="L531" t="s">
        <v>34</v>
      </c>
      <c r="M531">
        <v>28</v>
      </c>
      <c r="N531">
        <v>4.7</v>
      </c>
      <c r="O531">
        <v>4.8</v>
      </c>
      <c r="P531">
        <v>4</v>
      </c>
      <c r="Q531">
        <v>0</v>
      </c>
      <c r="R531">
        <v>0</v>
      </c>
      <c r="S531">
        <v>0</v>
      </c>
      <c r="T531">
        <v>35</v>
      </c>
      <c r="U531">
        <v>10</v>
      </c>
      <c r="V531" s="9">
        <v>83</v>
      </c>
      <c r="W531">
        <v>362</v>
      </c>
      <c r="X531">
        <v>88</v>
      </c>
      <c r="Y531">
        <v>13</v>
      </c>
      <c r="Z531">
        <v>30</v>
      </c>
      <c r="AA531">
        <v>2</v>
      </c>
      <c r="AB531">
        <v>3</v>
      </c>
      <c r="AC531">
        <v>67</v>
      </c>
      <c r="AD531">
        <v>3.3</v>
      </c>
      <c r="AE531">
        <v>7.3</v>
      </c>
      <c r="AF531" s="5">
        <v>0.438</v>
      </c>
      <c r="AG531">
        <v>0.30099999999999999</v>
      </c>
      <c r="AH531">
        <v>1.43</v>
      </c>
      <c r="AI531">
        <v>4.8499999999999996</v>
      </c>
      <c r="AJ531">
        <v>5.04</v>
      </c>
      <c r="AK531">
        <v>1.2</v>
      </c>
      <c r="AL531">
        <v>0.1</v>
      </c>
      <c r="AM531">
        <v>19</v>
      </c>
      <c r="AN531">
        <v>36</v>
      </c>
      <c r="AO531">
        <v>17</v>
      </c>
      <c r="AP531">
        <v>26</v>
      </c>
      <c r="AQ531" t="s">
        <v>2522</v>
      </c>
      <c r="AR531">
        <v>59</v>
      </c>
      <c r="AS531" t="s">
        <v>35</v>
      </c>
      <c r="AT531" t="s">
        <v>36</v>
      </c>
      <c r="AU531" s="4">
        <f>HYPERLINK("http://mlb.mlb.com/team/player.jsp?player_id=608718",608718)</f>
        <v>608718</v>
      </c>
      <c r="AV531">
        <v>1067</v>
      </c>
      <c r="AW531">
        <v>67</v>
      </c>
      <c r="AX531">
        <v>81.7</v>
      </c>
    </row>
    <row r="532" spans="1:50" x14ac:dyDescent="0.3">
      <c r="A532" s="4">
        <f>HYPERLINK("http://legacy.baseballprospectus.com/p/100519",100519)</f>
        <v>100519</v>
      </c>
      <c r="B532" t="s">
        <v>725</v>
      </c>
      <c r="C532" t="s">
        <v>376</v>
      </c>
      <c r="D532" s="10">
        <v>34307</v>
      </c>
      <c r="E532" t="s">
        <v>33</v>
      </c>
      <c r="F532" t="s">
        <v>33</v>
      </c>
      <c r="G532">
        <v>73</v>
      </c>
      <c r="H532">
        <v>195</v>
      </c>
      <c r="I532">
        <v>2018</v>
      </c>
      <c r="J532" s="4" t="str">
        <f>HYPERLINK("http://legacy.baseballprospectus.com/fantasy/dc/index.php?tm=OAK","OAK")</f>
        <v>OAK</v>
      </c>
      <c r="K532" t="s">
        <v>95</v>
      </c>
      <c r="L532" t="s">
        <v>34</v>
      </c>
      <c r="M532">
        <v>24</v>
      </c>
      <c r="N532">
        <v>2.4</v>
      </c>
      <c r="O532">
        <v>2.9</v>
      </c>
      <c r="P532">
        <v>3</v>
      </c>
      <c r="Q532">
        <v>0</v>
      </c>
      <c r="R532">
        <v>0</v>
      </c>
      <c r="S532">
        <v>0</v>
      </c>
      <c r="T532">
        <v>8</v>
      </c>
      <c r="U532">
        <v>8</v>
      </c>
      <c r="V532" s="9">
        <v>42.333300000000001</v>
      </c>
      <c r="W532">
        <v>185</v>
      </c>
      <c r="X532">
        <v>45</v>
      </c>
      <c r="Y532">
        <v>7</v>
      </c>
      <c r="Z532">
        <v>15</v>
      </c>
      <c r="AA532">
        <v>1</v>
      </c>
      <c r="AB532">
        <v>1</v>
      </c>
      <c r="AC532">
        <v>30</v>
      </c>
      <c r="AD532">
        <v>3.2</v>
      </c>
      <c r="AE532">
        <v>6.3</v>
      </c>
      <c r="AF532" s="5">
        <v>0.51500000000000001</v>
      </c>
      <c r="AG532">
        <v>0.29299999999999998</v>
      </c>
      <c r="AH532">
        <v>1.43</v>
      </c>
      <c r="AI532">
        <v>4.9800000000000004</v>
      </c>
      <c r="AJ532">
        <v>5.26</v>
      </c>
      <c r="AK532">
        <v>1.2</v>
      </c>
      <c r="AL532">
        <v>0.1</v>
      </c>
      <c r="AM532">
        <v>19</v>
      </c>
      <c r="AN532">
        <v>47</v>
      </c>
      <c r="AO532">
        <v>20</v>
      </c>
      <c r="AP532">
        <v>27</v>
      </c>
      <c r="AQ532" t="s">
        <v>2523</v>
      </c>
      <c r="AR532">
        <v>75</v>
      </c>
      <c r="AS532" t="s">
        <v>35</v>
      </c>
      <c r="AT532" t="s">
        <v>36</v>
      </c>
      <c r="AU532" s="4">
        <f>HYPERLINK("http://mlb.mlb.com/team/player.jsp?player_id=621112",621112)</f>
        <v>621112</v>
      </c>
      <c r="AV532">
        <v>79</v>
      </c>
      <c r="AW532">
        <v>1079</v>
      </c>
      <c r="AX532">
        <v>58.7</v>
      </c>
    </row>
    <row r="533" spans="1:50" x14ac:dyDescent="0.3">
      <c r="A533" s="4">
        <f>HYPERLINK("http://legacy.baseballprospectus.com/p/100526",100526)</f>
        <v>100526</v>
      </c>
      <c r="B533" t="s">
        <v>2788</v>
      </c>
      <c r="C533" t="s">
        <v>689</v>
      </c>
      <c r="D533" s="10">
        <v>34059</v>
      </c>
      <c r="E533" t="s">
        <v>9</v>
      </c>
      <c r="F533" t="s">
        <v>33</v>
      </c>
      <c r="G533">
        <v>78</v>
      </c>
      <c r="H533">
        <v>230</v>
      </c>
      <c r="I533">
        <v>2018</v>
      </c>
      <c r="J533" s="4" t="str">
        <f>HYPERLINK("http://legacy.baseballprospectus.com/fantasy/dc/index.php?tm=BOS","BOS")</f>
        <v>BOS</v>
      </c>
      <c r="K533" t="s">
        <v>95</v>
      </c>
      <c r="L533" t="s">
        <v>34</v>
      </c>
      <c r="M533">
        <v>25</v>
      </c>
      <c r="N533">
        <v>0.6</v>
      </c>
      <c r="O533">
        <v>0.7</v>
      </c>
      <c r="P533">
        <v>0</v>
      </c>
      <c r="Q533">
        <v>0</v>
      </c>
      <c r="R533">
        <v>0</v>
      </c>
      <c r="S533">
        <v>0</v>
      </c>
      <c r="T533">
        <v>13</v>
      </c>
      <c r="U533">
        <v>0</v>
      </c>
      <c r="V533" s="9">
        <v>14</v>
      </c>
      <c r="W533">
        <v>62</v>
      </c>
      <c r="X533">
        <v>14</v>
      </c>
      <c r="Y533">
        <v>2</v>
      </c>
      <c r="Z533">
        <v>7</v>
      </c>
      <c r="AA533">
        <v>1</v>
      </c>
      <c r="AB533">
        <v>1</v>
      </c>
      <c r="AC533">
        <v>14</v>
      </c>
      <c r="AD533">
        <v>4.4000000000000004</v>
      </c>
      <c r="AE533">
        <v>8.8000000000000007</v>
      </c>
      <c r="AF533" s="5">
        <v>0.46800000000000003</v>
      </c>
      <c r="AG533">
        <v>0.29899999999999999</v>
      </c>
      <c r="AH533">
        <v>1.48</v>
      </c>
      <c r="AI533">
        <v>4.4000000000000004</v>
      </c>
      <c r="AJ533">
        <v>4.82</v>
      </c>
      <c r="AK533">
        <v>0.6</v>
      </c>
      <c r="AL533">
        <v>0.1</v>
      </c>
      <c r="AM533">
        <v>12</v>
      </c>
      <c r="AN533">
        <v>19</v>
      </c>
      <c r="AO533">
        <v>1</v>
      </c>
      <c r="AP533">
        <v>15</v>
      </c>
      <c r="AQ533" t="s">
        <v>2789</v>
      </c>
      <c r="AR533">
        <v>21</v>
      </c>
      <c r="AS533" t="s">
        <v>35</v>
      </c>
      <c r="AT533" t="s">
        <v>35</v>
      </c>
      <c r="AU533" s="4">
        <f>HYPERLINK("http://mlb.mlb.com/team/player.jsp?player_id=621142",621142)</f>
        <v>621142</v>
      </c>
      <c r="AV533">
        <v>346</v>
      </c>
      <c r="AW533">
        <v>1346</v>
      </c>
      <c r="AX533">
        <v>0</v>
      </c>
    </row>
    <row r="534" spans="1:50" x14ac:dyDescent="0.3">
      <c r="A534" s="4">
        <f>HYPERLINK("http://legacy.baseballprospectus.com/p/100591",100591)</f>
        <v>100591</v>
      </c>
      <c r="B534" t="s">
        <v>1460</v>
      </c>
      <c r="C534" t="s">
        <v>108</v>
      </c>
      <c r="D534" s="10">
        <v>33387</v>
      </c>
      <c r="E534" t="s">
        <v>33</v>
      </c>
      <c r="F534" t="s">
        <v>33</v>
      </c>
      <c r="G534">
        <v>74</v>
      </c>
      <c r="H534">
        <v>210</v>
      </c>
      <c r="I534">
        <v>2018</v>
      </c>
      <c r="J534" s="4" t="str">
        <f>HYPERLINK("http://legacy.baseballprospectus.com/fantasy/dc/index.php?tm=MIA","MIA")</f>
        <v>MIA</v>
      </c>
      <c r="K534" t="s">
        <v>100</v>
      </c>
      <c r="L534" t="s">
        <v>34</v>
      </c>
      <c r="M534">
        <v>27</v>
      </c>
      <c r="N534">
        <v>1.8</v>
      </c>
      <c r="O534">
        <v>2.2000000000000002</v>
      </c>
      <c r="P534">
        <v>0</v>
      </c>
      <c r="Q534">
        <v>0</v>
      </c>
      <c r="R534">
        <v>0</v>
      </c>
      <c r="S534">
        <v>1</v>
      </c>
      <c r="T534">
        <v>41</v>
      </c>
      <c r="U534">
        <v>0</v>
      </c>
      <c r="V534" s="9">
        <v>43.333300000000001</v>
      </c>
      <c r="W534">
        <v>188</v>
      </c>
      <c r="X534">
        <v>44</v>
      </c>
      <c r="Y534">
        <v>7</v>
      </c>
      <c r="Z534">
        <v>16</v>
      </c>
      <c r="AA534">
        <v>1</v>
      </c>
      <c r="AB534">
        <v>1</v>
      </c>
      <c r="AC534">
        <v>44</v>
      </c>
      <c r="AD534">
        <v>3.4</v>
      </c>
      <c r="AE534">
        <v>9.1</v>
      </c>
      <c r="AF534" s="5">
        <v>0.38600000000000001</v>
      </c>
      <c r="AG534">
        <v>0.3</v>
      </c>
      <c r="AH534">
        <v>1.38</v>
      </c>
      <c r="AI534">
        <v>4.6500000000000004</v>
      </c>
      <c r="AJ534">
        <v>4.7699999999999996</v>
      </c>
      <c r="AK534">
        <v>1</v>
      </c>
      <c r="AL534">
        <v>0.1</v>
      </c>
      <c r="AM534">
        <v>17</v>
      </c>
      <c r="AN534">
        <v>37</v>
      </c>
      <c r="AO534">
        <v>20</v>
      </c>
      <c r="AP534">
        <v>26</v>
      </c>
      <c r="AQ534" t="s">
        <v>2665</v>
      </c>
      <c r="AR534">
        <v>76</v>
      </c>
      <c r="AS534" t="s">
        <v>35</v>
      </c>
      <c r="AT534" t="s">
        <v>36</v>
      </c>
      <c r="AU534" s="4">
        <f>HYPERLINK("http://mlb.mlb.com/team/player.jsp?player_id=621295",621295)</f>
        <v>621295</v>
      </c>
      <c r="AV534">
        <v>1305</v>
      </c>
      <c r="AW534">
        <v>305</v>
      </c>
      <c r="AX534">
        <v>42.3</v>
      </c>
    </row>
    <row r="535" spans="1:50" x14ac:dyDescent="0.3">
      <c r="A535" s="4">
        <f>HYPERLINK("http://legacy.baseballprospectus.com/p/100612",100612)</f>
        <v>100612</v>
      </c>
      <c r="B535" t="s">
        <v>1629</v>
      </c>
      <c r="C535" t="s">
        <v>104</v>
      </c>
      <c r="D535" s="10">
        <v>33554</v>
      </c>
      <c r="E535" t="s">
        <v>33</v>
      </c>
      <c r="F535" t="s">
        <v>9</v>
      </c>
      <c r="G535">
        <v>75</v>
      </c>
      <c r="H535">
        <v>185</v>
      </c>
      <c r="I535">
        <v>2018</v>
      </c>
      <c r="J535" s="4" t="str">
        <f>HYPERLINK("http://legacy.baseballprospectus.com/fantasy/dc/index.php?tm=SDN","SDN")</f>
        <v>SDN</v>
      </c>
      <c r="K535" t="s">
        <v>100</v>
      </c>
      <c r="L535" t="s">
        <v>34</v>
      </c>
      <c r="M535">
        <v>26</v>
      </c>
      <c r="N535">
        <v>2.7</v>
      </c>
      <c r="O535">
        <v>3.2</v>
      </c>
      <c r="P535">
        <v>2</v>
      </c>
      <c r="Q535">
        <v>0</v>
      </c>
      <c r="R535">
        <v>0</v>
      </c>
      <c r="S535">
        <v>0</v>
      </c>
      <c r="T535">
        <v>32</v>
      </c>
      <c r="U535">
        <v>5</v>
      </c>
      <c r="V535" s="9">
        <v>55</v>
      </c>
      <c r="W535">
        <v>236</v>
      </c>
      <c r="X535">
        <v>50</v>
      </c>
      <c r="Y535">
        <v>9</v>
      </c>
      <c r="Z535">
        <v>23</v>
      </c>
      <c r="AA535">
        <v>1</v>
      </c>
      <c r="AB535">
        <v>3</v>
      </c>
      <c r="AC535">
        <v>62</v>
      </c>
      <c r="AD535">
        <v>3.8</v>
      </c>
      <c r="AE535">
        <v>10.199999999999999</v>
      </c>
      <c r="AF535" s="5">
        <v>0.41</v>
      </c>
      <c r="AG535">
        <v>0.29499999999999998</v>
      </c>
      <c r="AH535">
        <v>1.33</v>
      </c>
      <c r="AI535">
        <v>4.58</v>
      </c>
      <c r="AJ535">
        <v>4.95</v>
      </c>
      <c r="AK535">
        <v>1</v>
      </c>
      <c r="AL535">
        <v>0.1</v>
      </c>
      <c r="AM535">
        <v>24</v>
      </c>
      <c r="AN535">
        <v>43</v>
      </c>
      <c r="AO535">
        <v>16</v>
      </c>
      <c r="AP535">
        <v>29</v>
      </c>
      <c r="AQ535" t="s">
        <v>2769</v>
      </c>
      <c r="AR535">
        <v>79</v>
      </c>
      <c r="AS535" t="s">
        <v>35</v>
      </c>
      <c r="AT535" t="s">
        <v>36</v>
      </c>
      <c r="AU535" s="4">
        <f>HYPERLINK("http://mlb.mlb.com/team/player.jsp?player_id=621381",621381)</f>
        <v>621381</v>
      </c>
      <c r="AV535">
        <v>1093</v>
      </c>
      <c r="AW535">
        <v>93</v>
      </c>
      <c r="AX535">
        <v>34.700000000000003</v>
      </c>
    </row>
    <row r="536" spans="1:50" x14ac:dyDescent="0.3">
      <c r="A536" s="4">
        <f>HYPERLINK("http://legacy.baseballprospectus.com/p/100742",100742)</f>
        <v>100742</v>
      </c>
      <c r="B536" t="s">
        <v>551</v>
      </c>
      <c r="C536" t="s">
        <v>327</v>
      </c>
      <c r="D536" s="10">
        <v>34764</v>
      </c>
      <c r="E536" t="s">
        <v>33</v>
      </c>
      <c r="F536" t="s">
        <v>33</v>
      </c>
      <c r="G536">
        <v>73</v>
      </c>
      <c r="H536">
        <v>170</v>
      </c>
      <c r="I536">
        <v>2018</v>
      </c>
      <c r="J536" s="4" t="str">
        <f>HYPERLINK("http://legacy.baseballprospectus.com/fantasy/dc/index.php?tm=ANA","ANA")</f>
        <v>ANA</v>
      </c>
      <c r="K536" t="s">
        <v>95</v>
      </c>
      <c r="L536" t="s">
        <v>34</v>
      </c>
      <c r="M536">
        <v>23</v>
      </c>
      <c r="N536">
        <v>1.8</v>
      </c>
      <c r="O536">
        <v>2</v>
      </c>
      <c r="P536">
        <v>0</v>
      </c>
      <c r="Q536">
        <v>0</v>
      </c>
      <c r="R536">
        <v>0</v>
      </c>
      <c r="S536">
        <v>1</v>
      </c>
      <c r="T536">
        <v>38</v>
      </c>
      <c r="U536">
        <v>0</v>
      </c>
      <c r="V536" s="9">
        <v>40.333300000000001</v>
      </c>
      <c r="W536">
        <v>174</v>
      </c>
      <c r="X536">
        <v>38</v>
      </c>
      <c r="Y536">
        <v>8</v>
      </c>
      <c r="Z536">
        <v>17</v>
      </c>
      <c r="AA536">
        <v>1</v>
      </c>
      <c r="AB536">
        <v>2</v>
      </c>
      <c r="AC536">
        <v>43</v>
      </c>
      <c r="AD536">
        <v>3.7</v>
      </c>
      <c r="AE536">
        <v>9.6</v>
      </c>
      <c r="AF536" s="5">
        <v>0.39500000000000002</v>
      </c>
      <c r="AG536">
        <v>0.29299999999999998</v>
      </c>
      <c r="AH536">
        <v>1.36</v>
      </c>
      <c r="AI536">
        <v>5.04</v>
      </c>
      <c r="AJ536">
        <v>5.0999999999999996</v>
      </c>
      <c r="AK536">
        <v>0.6</v>
      </c>
      <c r="AL536">
        <v>0.1</v>
      </c>
      <c r="AM536">
        <v>10</v>
      </c>
      <c r="AN536">
        <v>12</v>
      </c>
      <c r="AO536">
        <v>14</v>
      </c>
      <c r="AP536">
        <v>19</v>
      </c>
      <c r="AQ536" t="s">
        <v>2904</v>
      </c>
      <c r="AR536">
        <v>29</v>
      </c>
      <c r="AS536" t="s">
        <v>35</v>
      </c>
      <c r="AT536" t="s">
        <v>35</v>
      </c>
      <c r="AU536" s="4">
        <f>HYPERLINK("http://mlb.mlb.com/team/player.jsp?player_id=622161",622161)</f>
        <v>622161</v>
      </c>
      <c r="AV536">
        <v>314</v>
      </c>
      <c r="AW536">
        <v>1314</v>
      </c>
      <c r="AX536">
        <v>22.3</v>
      </c>
    </row>
    <row r="537" spans="1:50" x14ac:dyDescent="0.3">
      <c r="A537" s="4">
        <f>HYPERLINK("http://legacy.baseballprospectus.com/p/67724",67724)</f>
        <v>67724</v>
      </c>
      <c r="B537" t="s">
        <v>1281</v>
      </c>
      <c r="C537" t="s">
        <v>344</v>
      </c>
      <c r="D537" s="10">
        <v>32775</v>
      </c>
      <c r="E537" t="s">
        <v>33</v>
      </c>
      <c r="F537" t="s">
        <v>33</v>
      </c>
      <c r="G537">
        <v>72</v>
      </c>
      <c r="H537">
        <v>235</v>
      </c>
      <c r="I537">
        <v>2018</v>
      </c>
      <c r="J537" s="4" t="str">
        <f>HYPERLINK("http://legacy.baseballprospectus.com/fantasy/dc/index.php?tm=ARI","ARI")</f>
        <v>ARI</v>
      </c>
      <c r="K537" t="s">
        <v>100</v>
      </c>
      <c r="L537" t="s">
        <v>34</v>
      </c>
      <c r="M537">
        <v>28</v>
      </c>
      <c r="N537">
        <v>6.4</v>
      </c>
      <c r="O537">
        <v>5.2</v>
      </c>
      <c r="P537">
        <v>6.2</v>
      </c>
      <c r="Q537">
        <v>0</v>
      </c>
      <c r="R537">
        <v>0.3</v>
      </c>
      <c r="S537">
        <v>0</v>
      </c>
      <c r="T537">
        <v>37.200000000000003</v>
      </c>
      <c r="U537">
        <v>14.6</v>
      </c>
      <c r="V537" s="9">
        <v>105.66670000000001</v>
      </c>
      <c r="W537">
        <v>451</v>
      </c>
      <c r="X537">
        <v>111</v>
      </c>
      <c r="Y537">
        <v>16</v>
      </c>
      <c r="Z537">
        <v>39</v>
      </c>
      <c r="AA537" t="s">
        <v>1680</v>
      </c>
      <c r="AB537">
        <v>6</v>
      </c>
      <c r="AC537">
        <v>76</v>
      </c>
      <c r="AD537">
        <v>3.3</v>
      </c>
      <c r="AE537">
        <v>6.5</v>
      </c>
      <c r="AF537" s="5">
        <v>0.50979077816009499</v>
      </c>
      <c r="AG537">
        <v>0.30499999999999999</v>
      </c>
      <c r="AH537">
        <v>1.42</v>
      </c>
      <c r="AI537">
        <v>4.9000000000000004</v>
      </c>
      <c r="AJ537">
        <v>5.38</v>
      </c>
      <c r="AK537">
        <v>1.2</v>
      </c>
      <c r="AL537">
        <v>0.1</v>
      </c>
      <c r="AM537">
        <v>14</v>
      </c>
      <c r="AN537">
        <v>30</v>
      </c>
      <c r="AO537">
        <v>15</v>
      </c>
      <c r="AP537">
        <v>17</v>
      </c>
      <c r="AQ537" t="s">
        <v>2647</v>
      </c>
      <c r="AR537">
        <v>55</v>
      </c>
      <c r="AS537" t="s">
        <v>36</v>
      </c>
      <c r="AT537" t="s">
        <v>36</v>
      </c>
      <c r="AU537" s="4">
        <f>HYPERLINK("http://mlb.mlb.com/team/player.jsp?player_id=594772",594772)</f>
        <v>594772</v>
      </c>
      <c r="AV537">
        <v>0</v>
      </c>
      <c r="AW537">
        <v>0</v>
      </c>
      <c r="AX537">
        <v>14.3</v>
      </c>
    </row>
    <row r="538" spans="1:50" x14ac:dyDescent="0.3">
      <c r="A538" s="4">
        <f>HYPERLINK("http://legacy.baseballprospectus.com/p/67750",67750)</f>
        <v>67750</v>
      </c>
      <c r="B538" t="s">
        <v>1637</v>
      </c>
      <c r="C538" t="s">
        <v>146</v>
      </c>
      <c r="D538" s="10">
        <v>33200</v>
      </c>
      <c r="E538" t="s">
        <v>33</v>
      </c>
      <c r="F538" t="s">
        <v>33</v>
      </c>
      <c r="G538">
        <v>76</v>
      </c>
      <c r="H538">
        <v>205</v>
      </c>
      <c r="I538">
        <v>2018</v>
      </c>
      <c r="J538" s="4" t="str">
        <f>HYPERLINK("http://legacy.baseballprospectus.com/fantasy/dc/index.php?tm=DET","DET")</f>
        <v>DET</v>
      </c>
      <c r="K538" t="s">
        <v>95</v>
      </c>
      <c r="L538" t="s">
        <v>34</v>
      </c>
      <c r="M538">
        <v>27</v>
      </c>
      <c r="N538">
        <v>2.2999999999999998</v>
      </c>
      <c r="O538">
        <v>2.1</v>
      </c>
      <c r="P538">
        <v>1.9</v>
      </c>
      <c r="Q538">
        <v>0</v>
      </c>
      <c r="R538">
        <v>0.1</v>
      </c>
      <c r="S538">
        <v>0</v>
      </c>
      <c r="T538">
        <v>23.4</v>
      </c>
      <c r="U538">
        <v>4.9000000000000004</v>
      </c>
      <c r="V538" s="9">
        <v>44.666699999999999</v>
      </c>
      <c r="W538">
        <v>201</v>
      </c>
      <c r="X538">
        <v>50</v>
      </c>
      <c r="Y538">
        <v>9</v>
      </c>
      <c r="Z538">
        <v>19</v>
      </c>
      <c r="AA538" t="s">
        <v>1680</v>
      </c>
      <c r="AB538">
        <v>1</v>
      </c>
      <c r="AC538">
        <v>45</v>
      </c>
      <c r="AD538">
        <v>3.9</v>
      </c>
      <c r="AE538">
        <v>9.1</v>
      </c>
      <c r="AF538" s="5">
        <v>0.40311351418495101</v>
      </c>
      <c r="AG538">
        <v>0.32600000000000001</v>
      </c>
      <c r="AH538">
        <v>1.55</v>
      </c>
      <c r="AI538">
        <v>5.27</v>
      </c>
      <c r="AJ538">
        <v>5.32</v>
      </c>
      <c r="AK538">
        <v>0.9</v>
      </c>
      <c r="AL538">
        <v>0.1</v>
      </c>
      <c r="AM538">
        <v>22</v>
      </c>
      <c r="AN538">
        <v>31</v>
      </c>
      <c r="AO538">
        <v>13</v>
      </c>
      <c r="AP538">
        <v>18</v>
      </c>
      <c r="AQ538" t="s">
        <v>2512</v>
      </c>
      <c r="AR538">
        <v>48</v>
      </c>
      <c r="AS538" t="s">
        <v>36</v>
      </c>
      <c r="AT538" t="s">
        <v>35</v>
      </c>
      <c r="AU538" s="4">
        <f>HYPERLINK("http://mlb.mlb.com/team/player.jsp?player_id=594815",594815)</f>
        <v>594815</v>
      </c>
      <c r="AV538">
        <v>0</v>
      </c>
      <c r="AW538">
        <v>0</v>
      </c>
      <c r="AX538">
        <v>9.3000000000000007</v>
      </c>
    </row>
    <row r="539" spans="1:50" x14ac:dyDescent="0.3">
      <c r="A539" s="4">
        <f>HYPERLINK("http://legacy.baseballprospectus.com/p/68721",68721)</f>
        <v>68721</v>
      </c>
      <c r="B539" t="s">
        <v>171</v>
      </c>
      <c r="C539" t="s">
        <v>258</v>
      </c>
      <c r="D539" s="10">
        <v>32776</v>
      </c>
      <c r="E539" t="s">
        <v>33</v>
      </c>
      <c r="F539" t="s">
        <v>33</v>
      </c>
      <c r="G539">
        <v>74</v>
      </c>
      <c r="H539">
        <v>185</v>
      </c>
      <c r="I539">
        <v>2018</v>
      </c>
      <c r="J539" s="4" t="str">
        <f>HYPERLINK("http://legacy.baseballprospectus.com/fantasy/dc/index.php?tm=BAL","BAL")</f>
        <v>BAL</v>
      </c>
      <c r="K539" t="s">
        <v>95</v>
      </c>
      <c r="L539" t="s">
        <v>34</v>
      </c>
      <c r="M539">
        <v>28</v>
      </c>
      <c r="N539">
        <v>5.9</v>
      </c>
      <c r="O539">
        <v>7.5</v>
      </c>
      <c r="P539">
        <v>6.9</v>
      </c>
      <c r="Q539">
        <v>0</v>
      </c>
      <c r="R539">
        <v>0</v>
      </c>
      <c r="S539">
        <v>0</v>
      </c>
      <c r="T539">
        <v>19.2</v>
      </c>
      <c r="U539">
        <v>19.2</v>
      </c>
      <c r="V539" s="9">
        <v>107</v>
      </c>
      <c r="W539">
        <v>480</v>
      </c>
      <c r="X539">
        <v>124</v>
      </c>
      <c r="Y539">
        <v>19</v>
      </c>
      <c r="Z539">
        <v>39</v>
      </c>
      <c r="AA539" t="s">
        <v>1680</v>
      </c>
      <c r="AB539">
        <v>5</v>
      </c>
      <c r="AC539">
        <v>74</v>
      </c>
      <c r="AD539">
        <v>3.2</v>
      </c>
      <c r="AE539">
        <v>6.3</v>
      </c>
      <c r="AF539" s="5">
        <v>0.45845276117324801</v>
      </c>
      <c r="AG539">
        <v>0.30499999999999999</v>
      </c>
      <c r="AH539">
        <v>1.52</v>
      </c>
      <c r="AI539">
        <v>5.55</v>
      </c>
      <c r="AJ539">
        <v>5.6</v>
      </c>
      <c r="AK539">
        <v>1.1000000000000001</v>
      </c>
      <c r="AL539">
        <v>0.1</v>
      </c>
      <c r="AM539">
        <v>22</v>
      </c>
      <c r="AN539">
        <v>39</v>
      </c>
      <c r="AO539">
        <v>16</v>
      </c>
      <c r="AP539">
        <v>32</v>
      </c>
      <c r="AQ539" t="s">
        <v>2584</v>
      </c>
      <c r="AR539">
        <v>60</v>
      </c>
      <c r="AS539" t="s">
        <v>36</v>
      </c>
      <c r="AT539" t="s">
        <v>36</v>
      </c>
      <c r="AU539" s="4">
        <f>HYPERLINK("http://mlb.mlb.com/team/player.jsp?player_id=592869",592869)</f>
        <v>592869</v>
      </c>
      <c r="AV539">
        <v>0</v>
      </c>
      <c r="AW539">
        <v>0</v>
      </c>
      <c r="AX539">
        <v>15.3</v>
      </c>
    </row>
    <row r="540" spans="1:50" x14ac:dyDescent="0.3">
      <c r="A540" s="4">
        <f>HYPERLINK("http://legacy.baseballprospectus.com/p/69154",69154)</f>
        <v>69154</v>
      </c>
      <c r="B540" t="s">
        <v>1152</v>
      </c>
      <c r="C540" t="s">
        <v>459</v>
      </c>
      <c r="D540" s="10">
        <v>32475</v>
      </c>
      <c r="E540" t="s">
        <v>33</v>
      </c>
      <c r="F540" t="s">
        <v>33</v>
      </c>
      <c r="G540">
        <v>76</v>
      </c>
      <c r="H540">
        <v>235</v>
      </c>
      <c r="I540">
        <v>2018</v>
      </c>
      <c r="J540" s="4" t="str">
        <f>HYPERLINK("http://legacy.baseballprospectus.com/fantasy/dc/index.php?tm=CIN","CIN")</f>
        <v>CIN</v>
      </c>
      <c r="K540" t="s">
        <v>100</v>
      </c>
      <c r="L540" t="s">
        <v>34</v>
      </c>
      <c r="M540">
        <v>29</v>
      </c>
      <c r="N540">
        <v>2.4</v>
      </c>
      <c r="O540">
        <v>0.9</v>
      </c>
      <c r="P540">
        <v>0</v>
      </c>
      <c r="Q540">
        <v>0</v>
      </c>
      <c r="R540">
        <v>0.9</v>
      </c>
      <c r="S540">
        <v>0</v>
      </c>
      <c r="T540">
        <v>48.3</v>
      </c>
      <c r="U540">
        <v>0</v>
      </c>
      <c r="V540" s="9">
        <v>51</v>
      </c>
      <c r="W540">
        <v>213</v>
      </c>
      <c r="X540">
        <v>46</v>
      </c>
      <c r="Y540">
        <v>6</v>
      </c>
      <c r="Z540">
        <v>22</v>
      </c>
      <c r="AA540" t="s">
        <v>1680</v>
      </c>
      <c r="AB540">
        <v>2</v>
      </c>
      <c r="AC540">
        <v>48</v>
      </c>
      <c r="AD540">
        <v>3.9</v>
      </c>
      <c r="AE540">
        <v>8.4</v>
      </c>
      <c r="AF540" s="5">
        <v>0.43945956230163502</v>
      </c>
      <c r="AG540">
        <v>0.29399999999999998</v>
      </c>
      <c r="AH540">
        <v>1.34</v>
      </c>
      <c r="AI540">
        <v>4.3600000000000003</v>
      </c>
      <c r="AJ540">
        <v>5.0599999999999996</v>
      </c>
      <c r="AK540">
        <v>0.7</v>
      </c>
      <c r="AL540">
        <v>0.1</v>
      </c>
      <c r="AM540">
        <v>37</v>
      </c>
      <c r="AN540">
        <v>56</v>
      </c>
      <c r="AO540">
        <v>21</v>
      </c>
      <c r="AP540">
        <v>27</v>
      </c>
      <c r="AQ540" t="s">
        <v>2917</v>
      </c>
      <c r="AR540">
        <v>87</v>
      </c>
      <c r="AS540" t="s">
        <v>36</v>
      </c>
      <c r="AT540" t="s">
        <v>36</v>
      </c>
      <c r="AU540" s="4">
        <f>HYPERLINK("http://mlb.mlb.com/team/player.jsp?player_id=534812",534812)</f>
        <v>534812</v>
      </c>
      <c r="AV540">
        <v>0</v>
      </c>
      <c r="AW540">
        <v>0</v>
      </c>
      <c r="AX540">
        <v>26.3</v>
      </c>
    </row>
    <row r="541" spans="1:50" x14ac:dyDescent="0.3">
      <c r="A541" s="4">
        <f>HYPERLINK("http://legacy.baseballprospectus.com/p/69887",69887)</f>
        <v>69887</v>
      </c>
      <c r="B541" t="s">
        <v>500</v>
      </c>
      <c r="C541" t="s">
        <v>108</v>
      </c>
      <c r="D541" s="10">
        <v>33090</v>
      </c>
      <c r="E541" t="s">
        <v>9</v>
      </c>
      <c r="F541" t="s">
        <v>33</v>
      </c>
      <c r="G541">
        <v>73</v>
      </c>
      <c r="H541">
        <v>200</v>
      </c>
      <c r="I541">
        <v>2018</v>
      </c>
      <c r="J541" s="4" t="str">
        <f>HYPERLINK("http://legacy.baseballprospectus.com/fantasy/dc/index.php?tm=TEX","TEX")</f>
        <v>TEX</v>
      </c>
      <c r="K541" t="s">
        <v>95</v>
      </c>
      <c r="L541" t="s">
        <v>34</v>
      </c>
      <c r="M541">
        <v>27</v>
      </c>
      <c r="N541">
        <v>6.9</v>
      </c>
      <c r="O541">
        <v>8.6</v>
      </c>
      <c r="P541">
        <v>7.7</v>
      </c>
      <c r="Q541">
        <v>0</v>
      </c>
      <c r="R541">
        <v>0</v>
      </c>
      <c r="S541">
        <v>0</v>
      </c>
      <c r="T541">
        <v>22.3</v>
      </c>
      <c r="U541">
        <v>22.3</v>
      </c>
      <c r="V541" s="9">
        <v>123</v>
      </c>
      <c r="W541">
        <v>540</v>
      </c>
      <c r="X541">
        <v>132</v>
      </c>
      <c r="Y541">
        <v>22</v>
      </c>
      <c r="Z541">
        <v>45</v>
      </c>
      <c r="AA541" t="s">
        <v>1680</v>
      </c>
      <c r="AB541">
        <v>6</v>
      </c>
      <c r="AC541">
        <v>83</v>
      </c>
      <c r="AD541">
        <v>3.3</v>
      </c>
      <c r="AE541">
        <v>6.1</v>
      </c>
      <c r="AF541" s="5">
        <v>0.44609805941581698</v>
      </c>
      <c r="AG541">
        <v>0.28699999999999998</v>
      </c>
      <c r="AH541">
        <v>1.44</v>
      </c>
      <c r="AI541">
        <v>5.57</v>
      </c>
      <c r="AJ541">
        <v>5.64</v>
      </c>
      <c r="AK541">
        <v>0.8</v>
      </c>
      <c r="AL541">
        <v>0.1</v>
      </c>
      <c r="AM541">
        <v>17</v>
      </c>
      <c r="AN541">
        <v>40</v>
      </c>
      <c r="AO541">
        <v>22</v>
      </c>
      <c r="AP541">
        <v>12</v>
      </c>
      <c r="AQ541" t="s">
        <v>2786</v>
      </c>
      <c r="AR541">
        <v>76</v>
      </c>
      <c r="AS541" t="s">
        <v>36</v>
      </c>
      <c r="AT541" t="s">
        <v>36</v>
      </c>
      <c r="AU541" s="4">
        <f>HYPERLINK("http://mlb.mlb.com/team/player.jsp?player_id=607259",607259)</f>
        <v>607259</v>
      </c>
      <c r="AV541">
        <v>0</v>
      </c>
      <c r="AW541">
        <v>0</v>
      </c>
      <c r="AX541">
        <v>111.3</v>
      </c>
    </row>
    <row r="542" spans="1:50" x14ac:dyDescent="0.3">
      <c r="A542" s="4">
        <f>HYPERLINK("http://legacy.baseballprospectus.com/p/70305",70305)</f>
        <v>70305</v>
      </c>
      <c r="B542" t="s">
        <v>811</v>
      </c>
      <c r="C542" t="s">
        <v>668</v>
      </c>
      <c r="D542" s="10">
        <v>32887</v>
      </c>
      <c r="E542" t="s">
        <v>33</v>
      </c>
      <c r="F542" t="s">
        <v>33</v>
      </c>
      <c r="G542">
        <v>71</v>
      </c>
      <c r="H542">
        <v>195</v>
      </c>
      <c r="I542">
        <v>2018</v>
      </c>
      <c r="J542" s="4" t="str">
        <f>HYPERLINK("http://legacy.baseballprospectus.com/fantasy/dc/index.php?tm=NYA","NYA")</f>
        <v>NYA</v>
      </c>
      <c r="K542" t="s">
        <v>95</v>
      </c>
      <c r="L542" t="s">
        <v>34</v>
      </c>
      <c r="M542">
        <v>28</v>
      </c>
      <c r="N542">
        <v>1.8</v>
      </c>
      <c r="O542">
        <v>1.2</v>
      </c>
      <c r="P542">
        <v>1.3</v>
      </c>
      <c r="Q542">
        <v>0</v>
      </c>
      <c r="R542">
        <v>0.6</v>
      </c>
      <c r="S542">
        <v>0</v>
      </c>
      <c r="T542">
        <v>24.4</v>
      </c>
      <c r="U542">
        <v>3</v>
      </c>
      <c r="V542" s="9">
        <v>33.666699999999999</v>
      </c>
      <c r="W542">
        <v>150</v>
      </c>
      <c r="X542">
        <v>35</v>
      </c>
      <c r="Y542">
        <v>6</v>
      </c>
      <c r="Z542">
        <v>15</v>
      </c>
      <c r="AA542" t="s">
        <v>1680</v>
      </c>
      <c r="AB542">
        <v>1</v>
      </c>
      <c r="AC542">
        <v>33</v>
      </c>
      <c r="AD542">
        <v>3.9</v>
      </c>
      <c r="AE542">
        <v>8.6999999999999993</v>
      </c>
      <c r="AF542" s="5">
        <v>0.45460370182991</v>
      </c>
      <c r="AG542">
        <v>0.308</v>
      </c>
      <c r="AH542">
        <v>1.47</v>
      </c>
      <c r="AI542">
        <v>4.91</v>
      </c>
      <c r="AJ542">
        <v>5.1100000000000003</v>
      </c>
      <c r="AK542">
        <v>1.2</v>
      </c>
      <c r="AL542">
        <v>0.1</v>
      </c>
      <c r="AM542">
        <v>14</v>
      </c>
      <c r="AN542">
        <v>29</v>
      </c>
      <c r="AO542">
        <v>15</v>
      </c>
      <c r="AP542">
        <v>21</v>
      </c>
      <c r="AQ542" t="s">
        <v>2919</v>
      </c>
      <c r="AR542">
        <v>48</v>
      </c>
      <c r="AS542" t="s">
        <v>36</v>
      </c>
      <c r="AT542" t="s">
        <v>36</v>
      </c>
      <c r="AU542" s="4">
        <f>HYPERLINK("http://mlb.mlb.com/team/player.jsp?player_id=543242",543242)</f>
        <v>543242</v>
      </c>
      <c r="AV542">
        <v>0</v>
      </c>
      <c r="AW542">
        <v>0</v>
      </c>
      <c r="AX542">
        <v>0</v>
      </c>
    </row>
    <row r="543" spans="1:50" x14ac:dyDescent="0.3">
      <c r="A543" s="4">
        <f>HYPERLINK("http://legacy.baseballprospectus.com/p/100532",100532)</f>
        <v>100532</v>
      </c>
      <c r="B543" t="s">
        <v>147</v>
      </c>
      <c r="C543" t="s">
        <v>704</v>
      </c>
      <c r="D543" s="10">
        <v>33700</v>
      </c>
      <c r="E543" t="s">
        <v>33</v>
      </c>
      <c r="F543" t="s">
        <v>33</v>
      </c>
      <c r="G543">
        <v>74</v>
      </c>
      <c r="H543">
        <v>205</v>
      </c>
      <c r="I543">
        <v>2018</v>
      </c>
      <c r="J543" s="4" t="str">
        <f>HYPERLINK("http://legacy.baseballprospectus.com/fantasy/dc/index.php?tm=LAN","LAN")</f>
        <v>LAN</v>
      </c>
      <c r="K543" t="s">
        <v>100</v>
      </c>
      <c r="L543" t="s">
        <v>34</v>
      </c>
      <c r="M543">
        <v>26</v>
      </c>
      <c r="N543">
        <v>2.2000000000000002</v>
      </c>
      <c r="O543">
        <v>2</v>
      </c>
      <c r="P543">
        <v>2.8</v>
      </c>
      <c r="Q543">
        <v>0</v>
      </c>
      <c r="R543">
        <v>0.3</v>
      </c>
      <c r="S543">
        <v>0</v>
      </c>
      <c r="T543">
        <v>14</v>
      </c>
      <c r="U543">
        <v>6.2</v>
      </c>
      <c r="V543" s="9">
        <v>36.666699999999999</v>
      </c>
      <c r="W543">
        <v>150</v>
      </c>
      <c r="X543">
        <v>34</v>
      </c>
      <c r="Y543">
        <v>7</v>
      </c>
      <c r="Z543">
        <v>14</v>
      </c>
      <c r="AA543" t="s">
        <v>1680</v>
      </c>
      <c r="AB543">
        <v>1</v>
      </c>
      <c r="AC543">
        <v>40</v>
      </c>
      <c r="AD543">
        <v>3.4</v>
      </c>
      <c r="AE543">
        <v>9.8000000000000007</v>
      </c>
      <c r="AF543" s="5">
        <v>0.475339144468307</v>
      </c>
      <c r="AG543">
        <v>0.29799999999999999</v>
      </c>
      <c r="AH543">
        <v>1.29</v>
      </c>
      <c r="AI543">
        <v>4.6100000000000003</v>
      </c>
      <c r="AJ543">
        <v>5.32</v>
      </c>
      <c r="AK543">
        <v>0.8</v>
      </c>
      <c r="AL543">
        <v>0.1</v>
      </c>
      <c r="AM543">
        <v>11</v>
      </c>
      <c r="AN543">
        <v>17</v>
      </c>
      <c r="AO543">
        <v>8</v>
      </c>
      <c r="AP543">
        <v>20</v>
      </c>
      <c r="AQ543" t="s">
        <v>2675</v>
      </c>
      <c r="AR543">
        <v>28</v>
      </c>
      <c r="AS543" t="s">
        <v>36</v>
      </c>
      <c r="AT543" t="s">
        <v>35</v>
      </c>
      <c r="AU543" s="4">
        <f>HYPERLINK("http://mlb.mlb.com/team/player.jsp?player_id=621173",621173)</f>
        <v>621173</v>
      </c>
      <c r="AV543">
        <v>0</v>
      </c>
      <c r="AW543">
        <v>0</v>
      </c>
      <c r="AX543">
        <v>0</v>
      </c>
    </row>
    <row r="544" spans="1:50" x14ac:dyDescent="0.3">
      <c r="A544" s="4">
        <f>HYPERLINK("http://legacy.baseballprospectus.com/p/100959",100959)</f>
        <v>100959</v>
      </c>
      <c r="B544" t="s">
        <v>1194</v>
      </c>
      <c r="C544" t="s">
        <v>502</v>
      </c>
      <c r="D544" s="10">
        <v>34062</v>
      </c>
      <c r="E544" t="s">
        <v>33</v>
      </c>
      <c r="F544" t="s">
        <v>33</v>
      </c>
      <c r="G544">
        <v>74</v>
      </c>
      <c r="H544">
        <v>190</v>
      </c>
      <c r="I544">
        <v>2018</v>
      </c>
      <c r="J544" s="4" t="str">
        <f>HYPERLINK("http://legacy.baseballprospectus.com/fantasy/dc/index.php?tm=DET","DET")</f>
        <v>DET</v>
      </c>
      <c r="K544" t="s">
        <v>95</v>
      </c>
      <c r="L544" t="s">
        <v>34</v>
      </c>
      <c r="M544">
        <v>25</v>
      </c>
      <c r="N544">
        <v>0.7</v>
      </c>
      <c r="O544">
        <v>0.9</v>
      </c>
      <c r="P544">
        <v>0</v>
      </c>
      <c r="Q544">
        <v>0</v>
      </c>
      <c r="R544">
        <v>0</v>
      </c>
      <c r="S544">
        <v>0</v>
      </c>
      <c r="T544">
        <v>16</v>
      </c>
      <c r="U544">
        <v>0</v>
      </c>
      <c r="V544" s="9">
        <v>16.666699999999999</v>
      </c>
      <c r="W544">
        <v>74</v>
      </c>
      <c r="X544">
        <v>17</v>
      </c>
      <c r="Y544">
        <v>2</v>
      </c>
      <c r="Z544">
        <v>8</v>
      </c>
      <c r="AA544">
        <v>1</v>
      </c>
      <c r="AB544">
        <v>1</v>
      </c>
      <c r="AC544">
        <v>15</v>
      </c>
      <c r="AD544">
        <v>4.4000000000000004</v>
      </c>
      <c r="AE544">
        <v>8.3000000000000007</v>
      </c>
      <c r="AF544" s="5">
        <v>0.498</v>
      </c>
      <c r="AG544">
        <v>0.29799999999999999</v>
      </c>
      <c r="AH544">
        <v>1.49</v>
      </c>
      <c r="AI544">
        <v>4.84</v>
      </c>
      <c r="AJ544">
        <v>4.79</v>
      </c>
      <c r="AK544">
        <v>0.8</v>
      </c>
      <c r="AL544">
        <v>0.1</v>
      </c>
      <c r="AM544">
        <v>10</v>
      </c>
      <c r="AN544">
        <v>18</v>
      </c>
      <c r="AO544">
        <v>3</v>
      </c>
      <c r="AP544">
        <v>18</v>
      </c>
      <c r="AQ544" t="s">
        <v>2906</v>
      </c>
      <c r="AR544">
        <v>25</v>
      </c>
      <c r="AS544" t="s">
        <v>35</v>
      </c>
      <c r="AT544" t="s">
        <v>35</v>
      </c>
      <c r="AU544" s="4">
        <f>HYPERLINK("http://mlb.mlb.com/team/player.jsp?player_id=622505",622505)</f>
        <v>622505</v>
      </c>
      <c r="AV544">
        <v>0</v>
      </c>
      <c r="AW544">
        <v>0</v>
      </c>
      <c r="AX544">
        <v>7.3</v>
      </c>
    </row>
    <row r="545" spans="1:50" x14ac:dyDescent="0.3">
      <c r="A545" s="4">
        <f>HYPERLINK("http://legacy.baseballprospectus.com/p/101617",101617)</f>
        <v>101617</v>
      </c>
      <c r="B545" t="s">
        <v>1286</v>
      </c>
      <c r="C545" t="s">
        <v>308</v>
      </c>
      <c r="D545" s="10">
        <v>34523</v>
      </c>
      <c r="E545" t="s">
        <v>9</v>
      </c>
      <c r="F545" t="s">
        <v>9</v>
      </c>
      <c r="G545">
        <v>77</v>
      </c>
      <c r="H545">
        <v>213</v>
      </c>
      <c r="I545">
        <v>2018</v>
      </c>
      <c r="J545" s="4" t="str">
        <f>HYPERLINK("http://legacy.baseballprospectus.com/fantasy/dc/index.php?tm=MIN","MIN")</f>
        <v>MIN</v>
      </c>
      <c r="K545" t="s">
        <v>95</v>
      </c>
      <c r="L545" t="s">
        <v>34</v>
      </c>
      <c r="M545">
        <v>23</v>
      </c>
      <c r="N545">
        <v>1.7</v>
      </c>
      <c r="O545">
        <v>1.7</v>
      </c>
      <c r="P545">
        <v>2</v>
      </c>
      <c r="Q545">
        <v>0</v>
      </c>
      <c r="R545">
        <v>0</v>
      </c>
      <c r="S545">
        <v>0</v>
      </c>
      <c r="T545">
        <v>5</v>
      </c>
      <c r="U545">
        <v>5</v>
      </c>
      <c r="V545" s="9">
        <v>26.666699999999999</v>
      </c>
      <c r="W545">
        <v>115</v>
      </c>
      <c r="X545">
        <v>26</v>
      </c>
      <c r="Y545">
        <v>5</v>
      </c>
      <c r="Z545">
        <v>11</v>
      </c>
      <c r="AA545">
        <v>1</v>
      </c>
      <c r="AB545">
        <v>1</v>
      </c>
      <c r="AC545">
        <v>28</v>
      </c>
      <c r="AD545">
        <v>3.6</v>
      </c>
      <c r="AE545">
        <v>9.5</v>
      </c>
      <c r="AF545" s="5">
        <v>0.38200000000000001</v>
      </c>
      <c r="AG545">
        <v>0.29399999999999998</v>
      </c>
      <c r="AH545">
        <v>1.39</v>
      </c>
      <c r="AI545">
        <v>4.76</v>
      </c>
      <c r="AJ545">
        <v>5.05</v>
      </c>
      <c r="AK545">
        <v>1.3</v>
      </c>
      <c r="AL545">
        <v>0.1</v>
      </c>
      <c r="AM545">
        <v>28</v>
      </c>
      <c r="AN545">
        <v>42</v>
      </c>
      <c r="AO545">
        <v>11</v>
      </c>
      <c r="AP545">
        <v>23</v>
      </c>
      <c r="AQ545" t="s">
        <v>2525</v>
      </c>
      <c r="AR545">
        <v>59</v>
      </c>
      <c r="AS545" t="s">
        <v>35</v>
      </c>
      <c r="AT545" t="s">
        <v>35</v>
      </c>
      <c r="AU545" s="4">
        <f>HYPERLINK("http://mlb.mlb.com/team/player.jsp?player_id=624427",624427)</f>
        <v>624427</v>
      </c>
      <c r="AV545">
        <v>182</v>
      </c>
      <c r="AW545">
        <v>1182</v>
      </c>
      <c r="AX545">
        <v>0</v>
      </c>
    </row>
    <row r="546" spans="1:50" x14ac:dyDescent="0.3">
      <c r="A546" s="4">
        <f>HYPERLINK("http://legacy.baseballprospectus.com/p/102601",102601)</f>
        <v>102601</v>
      </c>
      <c r="B546" t="s">
        <v>1484</v>
      </c>
      <c r="C546" t="s">
        <v>272</v>
      </c>
      <c r="D546" s="10">
        <v>33842</v>
      </c>
      <c r="E546" t="s">
        <v>33</v>
      </c>
      <c r="F546" t="s">
        <v>33</v>
      </c>
      <c r="G546">
        <v>72</v>
      </c>
      <c r="H546">
        <v>185</v>
      </c>
      <c r="I546">
        <v>2018</v>
      </c>
      <c r="J546" s="4" t="str">
        <f>HYPERLINK("http://legacy.baseballprospectus.com/fantasy/dc/index.php?tm=WAS","WAS")</f>
        <v>WAS</v>
      </c>
      <c r="K546" t="s">
        <v>100</v>
      </c>
      <c r="L546" t="s">
        <v>34</v>
      </c>
      <c r="M546">
        <v>25</v>
      </c>
      <c r="N546">
        <v>2</v>
      </c>
      <c r="O546">
        <v>1.9</v>
      </c>
      <c r="P546">
        <v>0</v>
      </c>
      <c r="Q546">
        <v>0</v>
      </c>
      <c r="R546">
        <v>0</v>
      </c>
      <c r="S546">
        <v>0</v>
      </c>
      <c r="T546">
        <v>39</v>
      </c>
      <c r="U546">
        <v>0</v>
      </c>
      <c r="V546" s="9">
        <v>41.666699999999999</v>
      </c>
      <c r="W546">
        <v>187</v>
      </c>
      <c r="X546">
        <v>43</v>
      </c>
      <c r="Y546">
        <v>5</v>
      </c>
      <c r="Z546">
        <v>19</v>
      </c>
      <c r="AA546">
        <v>2</v>
      </c>
      <c r="AB546">
        <v>2</v>
      </c>
      <c r="AC546">
        <v>36</v>
      </c>
      <c r="AD546">
        <v>4.0999999999999996</v>
      </c>
      <c r="AE546">
        <v>7.9</v>
      </c>
      <c r="AF546" s="5">
        <v>0.51</v>
      </c>
      <c r="AG546">
        <v>0.308</v>
      </c>
      <c r="AH546">
        <v>1.52</v>
      </c>
      <c r="AI546">
        <v>4.54</v>
      </c>
      <c r="AJ546">
        <v>4.71</v>
      </c>
      <c r="AK546">
        <v>1.2</v>
      </c>
      <c r="AL546">
        <v>0.1</v>
      </c>
      <c r="AM546">
        <v>24</v>
      </c>
      <c r="AN546">
        <v>35</v>
      </c>
      <c r="AO546">
        <v>30</v>
      </c>
      <c r="AP546">
        <v>32</v>
      </c>
      <c r="AQ546" t="s">
        <v>3091</v>
      </c>
      <c r="AR546">
        <v>75</v>
      </c>
      <c r="AS546" t="s">
        <v>35</v>
      </c>
      <c r="AT546" t="s">
        <v>36</v>
      </c>
      <c r="AU546" s="4">
        <f>HYPERLINK("http://mlb.mlb.com/team/player.jsp?player_id=641627",641627)</f>
        <v>641627</v>
      </c>
      <c r="AV546">
        <v>1353</v>
      </c>
      <c r="AW546">
        <v>353</v>
      </c>
      <c r="AX546">
        <v>3</v>
      </c>
    </row>
    <row r="547" spans="1:50" x14ac:dyDescent="0.3">
      <c r="A547" s="4">
        <f>HYPERLINK("http://legacy.baseballprospectus.com/p/102770",102770)</f>
        <v>102770</v>
      </c>
      <c r="B547" t="s">
        <v>2796</v>
      </c>
      <c r="C547" t="s">
        <v>2797</v>
      </c>
      <c r="D547" s="10">
        <v>33512</v>
      </c>
      <c r="E547" t="s">
        <v>33</v>
      </c>
      <c r="F547" t="s">
        <v>33</v>
      </c>
      <c r="G547">
        <v>77</v>
      </c>
      <c r="H547">
        <v>225</v>
      </c>
      <c r="I547">
        <v>2018</v>
      </c>
      <c r="J547" s="4" t="str">
        <f>HYPERLINK("http://legacy.baseballprospectus.com/fantasy/dc/index.php?tm=OAK","OAK")</f>
        <v>OAK</v>
      </c>
      <c r="K547" t="s">
        <v>95</v>
      </c>
      <c r="L547" t="s">
        <v>34</v>
      </c>
      <c r="M547">
        <v>26</v>
      </c>
      <c r="N547">
        <v>0.9</v>
      </c>
      <c r="O547">
        <v>1.1000000000000001</v>
      </c>
      <c r="P547">
        <v>0</v>
      </c>
      <c r="Q547">
        <v>0</v>
      </c>
      <c r="R547">
        <v>0</v>
      </c>
      <c r="S547">
        <v>1</v>
      </c>
      <c r="T547">
        <v>21</v>
      </c>
      <c r="U547">
        <v>0</v>
      </c>
      <c r="V547" s="9">
        <v>22</v>
      </c>
      <c r="W547">
        <v>97</v>
      </c>
      <c r="X547">
        <v>22</v>
      </c>
      <c r="Y547">
        <v>3</v>
      </c>
      <c r="Z547">
        <v>10</v>
      </c>
      <c r="AA547">
        <v>1</v>
      </c>
      <c r="AB547">
        <v>1</v>
      </c>
      <c r="AC547">
        <v>21</v>
      </c>
      <c r="AD547">
        <v>4.0999999999999996</v>
      </c>
      <c r="AE547">
        <v>8.6</v>
      </c>
      <c r="AF547" s="5">
        <v>0.48399999999999999</v>
      </c>
      <c r="AG547">
        <v>0.29599999999999999</v>
      </c>
      <c r="AH547">
        <v>1.44</v>
      </c>
      <c r="AI547">
        <v>4.8499999999999996</v>
      </c>
      <c r="AJ547">
        <v>4.88</v>
      </c>
      <c r="AK547">
        <v>0.8</v>
      </c>
      <c r="AL547">
        <v>0.1</v>
      </c>
      <c r="AM547">
        <v>16</v>
      </c>
      <c r="AN547">
        <v>27</v>
      </c>
      <c r="AO547">
        <v>10</v>
      </c>
      <c r="AP547">
        <v>25</v>
      </c>
      <c r="AQ547" t="s">
        <v>2798</v>
      </c>
      <c r="AR547">
        <v>43</v>
      </c>
      <c r="AS547" t="s">
        <v>35</v>
      </c>
      <c r="AT547" t="s">
        <v>35</v>
      </c>
      <c r="AU547" s="4">
        <f>HYPERLINK("http://mlb.mlb.com/team/player.jsp?player_id=642152",642152)</f>
        <v>642152</v>
      </c>
      <c r="AV547">
        <v>0</v>
      </c>
      <c r="AW547">
        <v>0</v>
      </c>
      <c r="AX547">
        <v>0</v>
      </c>
    </row>
    <row r="548" spans="1:50" x14ac:dyDescent="0.3">
      <c r="A548" s="4">
        <f>HYPERLINK("http://legacy.baseballprospectus.com/p/103056",103056)</f>
        <v>103056</v>
      </c>
      <c r="B548" t="s">
        <v>566</v>
      </c>
      <c r="C548" t="s">
        <v>357</v>
      </c>
      <c r="D548" s="10">
        <v>35220</v>
      </c>
      <c r="E548" t="s">
        <v>33</v>
      </c>
      <c r="F548" t="s">
        <v>33</v>
      </c>
      <c r="G548">
        <v>71</v>
      </c>
      <c r="H548">
        <v>175</v>
      </c>
      <c r="I548">
        <v>2018</v>
      </c>
      <c r="J548" s="4" t="str">
        <f>HYPERLINK("http://legacy.baseballprospectus.com/fantasy/dc/index.php?tm=MIL","MIL")</f>
        <v>MIL</v>
      </c>
      <c r="K548" t="s">
        <v>100</v>
      </c>
      <c r="L548" t="s">
        <v>34</v>
      </c>
      <c r="M548">
        <v>22</v>
      </c>
      <c r="N548">
        <v>1.1000000000000001</v>
      </c>
      <c r="O548">
        <v>0.9</v>
      </c>
      <c r="P548">
        <v>0</v>
      </c>
      <c r="Q548">
        <v>0</v>
      </c>
      <c r="R548">
        <v>0</v>
      </c>
      <c r="S548">
        <v>0</v>
      </c>
      <c r="T548">
        <v>20</v>
      </c>
      <c r="U548">
        <v>0</v>
      </c>
      <c r="V548" s="9">
        <v>20.666699999999999</v>
      </c>
      <c r="W548">
        <v>89</v>
      </c>
      <c r="X548">
        <v>18</v>
      </c>
      <c r="Y548">
        <v>4</v>
      </c>
      <c r="Z548">
        <v>10</v>
      </c>
      <c r="AA548">
        <v>1</v>
      </c>
      <c r="AB548">
        <v>1</v>
      </c>
      <c r="AC548">
        <v>28</v>
      </c>
      <c r="AD548">
        <v>4.0999999999999996</v>
      </c>
      <c r="AE548">
        <v>11.9</v>
      </c>
      <c r="AF548" s="5">
        <v>0.41099999999999998</v>
      </c>
      <c r="AG548">
        <v>0.29599999999999999</v>
      </c>
      <c r="AH548">
        <v>1.31</v>
      </c>
      <c r="AI548">
        <v>4.41</v>
      </c>
      <c r="AJ548">
        <v>4.5999999999999996</v>
      </c>
      <c r="AK548">
        <v>0.8</v>
      </c>
      <c r="AL548">
        <v>0.1</v>
      </c>
      <c r="AM548">
        <v>17</v>
      </c>
      <c r="AN548">
        <v>25</v>
      </c>
      <c r="AO548">
        <v>4</v>
      </c>
      <c r="AP548">
        <v>14</v>
      </c>
      <c r="AQ548" t="s">
        <v>2934</v>
      </c>
      <c r="AR548">
        <v>33</v>
      </c>
      <c r="AS548" t="s">
        <v>35</v>
      </c>
      <c r="AT548" t="s">
        <v>35</v>
      </c>
      <c r="AU548" s="4">
        <f>HYPERLINK("http://mlb.mlb.com/team/player.jsp?player_id=642547",642547)</f>
        <v>642547</v>
      </c>
      <c r="AV548">
        <v>1154</v>
      </c>
      <c r="AW548">
        <v>154</v>
      </c>
      <c r="AX548">
        <v>0</v>
      </c>
    </row>
    <row r="549" spans="1:50" x14ac:dyDescent="0.3">
      <c r="A549" s="4">
        <f>HYPERLINK("http://legacy.baseballprospectus.com/p/103857",103857)</f>
        <v>103857</v>
      </c>
      <c r="B549" t="s">
        <v>2944</v>
      </c>
      <c r="C549" t="s">
        <v>285</v>
      </c>
      <c r="D549" s="10">
        <v>33525</v>
      </c>
      <c r="E549" t="s">
        <v>9</v>
      </c>
      <c r="F549" t="s">
        <v>9</v>
      </c>
      <c r="G549">
        <v>81</v>
      </c>
      <c r="H549">
        <v>255</v>
      </c>
      <c r="I549">
        <v>2018</v>
      </c>
      <c r="J549" s="4" t="str">
        <f>HYPERLINK("http://legacy.baseballprospectus.com/fantasy/dc/index.php?tm=SDN","SDN")</f>
        <v>SDN</v>
      </c>
      <c r="K549" t="s">
        <v>100</v>
      </c>
      <c r="L549" t="s">
        <v>34</v>
      </c>
      <c r="M549">
        <v>26</v>
      </c>
      <c r="N549">
        <v>0.8</v>
      </c>
      <c r="O549">
        <v>0.8</v>
      </c>
      <c r="P549">
        <v>0</v>
      </c>
      <c r="Q549">
        <v>0</v>
      </c>
      <c r="R549">
        <v>0</v>
      </c>
      <c r="S549">
        <v>0</v>
      </c>
      <c r="T549">
        <v>16</v>
      </c>
      <c r="U549">
        <v>0</v>
      </c>
      <c r="V549" s="9">
        <v>17</v>
      </c>
      <c r="W549">
        <v>74</v>
      </c>
      <c r="X549">
        <v>15</v>
      </c>
      <c r="Y549">
        <v>2</v>
      </c>
      <c r="Z549">
        <v>8</v>
      </c>
      <c r="AA549">
        <v>1</v>
      </c>
      <c r="AB549">
        <v>1</v>
      </c>
      <c r="AC549">
        <v>21</v>
      </c>
      <c r="AD549">
        <v>4.4000000000000004</v>
      </c>
      <c r="AE549">
        <v>11</v>
      </c>
      <c r="AF549" s="5">
        <v>0.44500000000000001</v>
      </c>
      <c r="AG549">
        <v>0.30099999999999999</v>
      </c>
      <c r="AH549">
        <v>1.36</v>
      </c>
      <c r="AI549">
        <v>3.81</v>
      </c>
      <c r="AJ549">
        <v>4.26</v>
      </c>
      <c r="AK549">
        <v>1.3</v>
      </c>
      <c r="AL549">
        <v>0.1</v>
      </c>
      <c r="AM549">
        <v>20</v>
      </c>
      <c r="AN549">
        <v>28</v>
      </c>
      <c r="AO549">
        <v>15</v>
      </c>
      <c r="AP549">
        <v>32</v>
      </c>
      <c r="AQ549" t="s">
        <v>2945</v>
      </c>
      <c r="AR549">
        <v>49</v>
      </c>
      <c r="AS549" t="s">
        <v>35</v>
      </c>
      <c r="AT549" t="s">
        <v>35</v>
      </c>
      <c r="AU549" s="4">
        <f>HYPERLINK("http://mlb.mlb.com/team/player.jsp?player_id=623364",623364)</f>
        <v>623364</v>
      </c>
      <c r="AV549">
        <v>0</v>
      </c>
      <c r="AW549">
        <v>0</v>
      </c>
      <c r="AX549">
        <v>0</v>
      </c>
    </row>
    <row r="550" spans="1:50" x14ac:dyDescent="0.3">
      <c r="A550" s="4">
        <f>HYPERLINK("http://legacy.baseballprospectus.com/p/103929",103929)</f>
        <v>103929</v>
      </c>
      <c r="B550" t="s">
        <v>1131</v>
      </c>
      <c r="C550" t="s">
        <v>102</v>
      </c>
      <c r="D550" s="10">
        <v>33603</v>
      </c>
      <c r="E550" t="s">
        <v>33</v>
      </c>
      <c r="F550" t="s">
        <v>9</v>
      </c>
      <c r="G550">
        <v>77</v>
      </c>
      <c r="H550">
        <v>205</v>
      </c>
      <c r="I550">
        <v>2018</v>
      </c>
      <c r="J550" s="4" t="str">
        <f>HYPERLINK("http://legacy.baseballprospectus.com/fantasy/dc/index.php?tm=TBA","TBA")</f>
        <v>TBA</v>
      </c>
      <c r="K550" t="s">
        <v>95</v>
      </c>
      <c r="L550" t="s">
        <v>34</v>
      </c>
      <c r="M550">
        <v>26</v>
      </c>
      <c r="N550">
        <v>2.6</v>
      </c>
      <c r="O550">
        <v>3.2</v>
      </c>
      <c r="P550">
        <v>4</v>
      </c>
      <c r="Q550">
        <v>0</v>
      </c>
      <c r="R550">
        <v>0</v>
      </c>
      <c r="S550">
        <v>0</v>
      </c>
      <c r="T550">
        <v>9</v>
      </c>
      <c r="U550">
        <v>9</v>
      </c>
      <c r="V550" s="9">
        <v>45</v>
      </c>
      <c r="W550">
        <v>194</v>
      </c>
      <c r="X550">
        <v>45</v>
      </c>
      <c r="Y550">
        <v>8</v>
      </c>
      <c r="Z550">
        <v>15</v>
      </c>
      <c r="AA550">
        <v>1</v>
      </c>
      <c r="AB550">
        <v>2</v>
      </c>
      <c r="AC550">
        <v>42</v>
      </c>
      <c r="AD550">
        <v>3</v>
      </c>
      <c r="AE550">
        <v>8.3000000000000007</v>
      </c>
      <c r="AF550" s="5">
        <v>0.46300000000000002</v>
      </c>
      <c r="AG550">
        <v>0.29399999999999998</v>
      </c>
      <c r="AH550">
        <v>1.34</v>
      </c>
      <c r="AI550">
        <v>4.5599999999999996</v>
      </c>
      <c r="AJ550">
        <v>5.26</v>
      </c>
      <c r="AK550">
        <v>1.3</v>
      </c>
      <c r="AL550">
        <v>0.1</v>
      </c>
      <c r="AM550">
        <v>19</v>
      </c>
      <c r="AN550">
        <v>32</v>
      </c>
      <c r="AO550">
        <v>19</v>
      </c>
      <c r="AP550">
        <v>38</v>
      </c>
      <c r="AQ550" t="s">
        <v>2678</v>
      </c>
      <c r="AR550">
        <v>56</v>
      </c>
      <c r="AS550" t="s">
        <v>35</v>
      </c>
      <c r="AT550" t="s">
        <v>35</v>
      </c>
      <c r="AU550" s="4">
        <f>HYPERLINK("http://mlb.mlb.com/team/player.jsp?player_id=642232",642232)</f>
        <v>642232</v>
      </c>
      <c r="AV550">
        <v>224</v>
      </c>
      <c r="AW550">
        <v>1224</v>
      </c>
      <c r="AX550">
        <v>0</v>
      </c>
    </row>
    <row r="551" spans="1:50" x14ac:dyDescent="0.3">
      <c r="A551" s="4">
        <f>HYPERLINK("http://legacy.baseballprospectus.com/p/101610",101610)</f>
        <v>101610</v>
      </c>
      <c r="B551" t="s">
        <v>1338</v>
      </c>
      <c r="C551" t="s">
        <v>297</v>
      </c>
      <c r="D551" s="10">
        <v>34744</v>
      </c>
      <c r="E551" t="s">
        <v>9</v>
      </c>
      <c r="F551" t="s">
        <v>9</v>
      </c>
      <c r="G551">
        <v>74</v>
      </c>
      <c r="H551">
        <v>215</v>
      </c>
      <c r="I551">
        <v>2018</v>
      </c>
      <c r="J551" s="4" t="str">
        <f>HYPERLINK("http://legacy.baseballprospectus.com/fantasy/dc/index.php?tm=CHA","CHA")</f>
        <v>CHA</v>
      </c>
      <c r="K551" t="s">
        <v>95</v>
      </c>
      <c r="L551" t="s">
        <v>34</v>
      </c>
      <c r="M551">
        <v>23</v>
      </c>
      <c r="N551">
        <v>3.7</v>
      </c>
      <c r="O551">
        <v>5.6</v>
      </c>
      <c r="P551">
        <v>5.2</v>
      </c>
      <c r="Q551">
        <v>0</v>
      </c>
      <c r="R551">
        <v>0</v>
      </c>
      <c r="S551">
        <v>0</v>
      </c>
      <c r="T551">
        <v>14.5</v>
      </c>
      <c r="U551">
        <v>14.5</v>
      </c>
      <c r="V551" s="9">
        <v>71.666700000000006</v>
      </c>
      <c r="W551">
        <v>317</v>
      </c>
      <c r="X551">
        <v>76</v>
      </c>
      <c r="Y551">
        <v>13</v>
      </c>
      <c r="Z551">
        <v>31</v>
      </c>
      <c r="AA551" t="s">
        <v>1680</v>
      </c>
      <c r="AB551">
        <v>2</v>
      </c>
      <c r="AC551">
        <v>59</v>
      </c>
      <c r="AD551">
        <v>3.9</v>
      </c>
      <c r="AE551">
        <v>7.4</v>
      </c>
      <c r="AF551" s="5">
        <v>0.47932559251785201</v>
      </c>
      <c r="AG551">
        <v>0.29799999999999999</v>
      </c>
      <c r="AH551">
        <v>1.49</v>
      </c>
      <c r="AI551">
        <v>5.4</v>
      </c>
      <c r="AJ551">
        <v>5.59</v>
      </c>
      <c r="AK551">
        <v>0.8</v>
      </c>
      <c r="AL551">
        <v>0.1</v>
      </c>
      <c r="AM551">
        <v>4</v>
      </c>
      <c r="AN551">
        <v>5</v>
      </c>
      <c r="AO551">
        <v>4</v>
      </c>
      <c r="AP551">
        <v>11</v>
      </c>
      <c r="AQ551" t="s">
        <v>2676</v>
      </c>
      <c r="AR551">
        <v>11</v>
      </c>
      <c r="AS551" t="s">
        <v>36</v>
      </c>
      <c r="AT551" t="s">
        <v>35</v>
      </c>
      <c r="AU551" s="4">
        <f>HYPERLINK("http://mlb.mlb.com/team/player.jsp?player_id=624420",624420)</f>
        <v>624420</v>
      </c>
      <c r="AV551">
        <v>162</v>
      </c>
      <c r="AW551">
        <v>1162</v>
      </c>
      <c r="AX551">
        <v>0</v>
      </c>
    </row>
    <row r="552" spans="1:50" x14ac:dyDescent="0.3">
      <c r="A552" s="4">
        <f>HYPERLINK("http://legacy.baseballprospectus.com/p/101636",101636)</f>
        <v>101636</v>
      </c>
      <c r="B552" t="s">
        <v>2119</v>
      </c>
      <c r="C552" t="s">
        <v>341</v>
      </c>
      <c r="D552" s="10">
        <v>34696</v>
      </c>
      <c r="E552" t="s">
        <v>33</v>
      </c>
      <c r="F552" t="s">
        <v>33</v>
      </c>
      <c r="G552">
        <v>74</v>
      </c>
      <c r="H552">
        <v>215</v>
      </c>
      <c r="I552">
        <v>2018</v>
      </c>
      <c r="J552" s="4" t="str">
        <f>HYPERLINK("http://legacy.baseballprospectus.com/fantasy/dc/index.php?tm=OAK","OAK")</f>
        <v>OAK</v>
      </c>
      <c r="K552" t="s">
        <v>95</v>
      </c>
      <c r="L552" t="s">
        <v>34</v>
      </c>
      <c r="M552">
        <v>23</v>
      </c>
      <c r="N552">
        <v>3.4</v>
      </c>
      <c r="O552">
        <v>4.3</v>
      </c>
      <c r="P552">
        <v>4.8</v>
      </c>
      <c r="Q552">
        <v>0</v>
      </c>
      <c r="R552">
        <v>0.2</v>
      </c>
      <c r="S552">
        <v>0</v>
      </c>
      <c r="T552">
        <v>19</v>
      </c>
      <c r="U552">
        <v>12.9</v>
      </c>
      <c r="V552" s="9">
        <v>58</v>
      </c>
      <c r="W552">
        <v>254</v>
      </c>
      <c r="X552">
        <v>62</v>
      </c>
      <c r="Y552">
        <v>12</v>
      </c>
      <c r="Z552">
        <v>22</v>
      </c>
      <c r="AA552" t="s">
        <v>1680</v>
      </c>
      <c r="AB552">
        <v>1</v>
      </c>
      <c r="AC552">
        <v>57</v>
      </c>
      <c r="AD552">
        <v>3.4</v>
      </c>
      <c r="AE552">
        <v>8.9</v>
      </c>
      <c r="AF552" s="5">
        <v>0.45145997405052102</v>
      </c>
      <c r="AG552">
        <v>0.308</v>
      </c>
      <c r="AH552">
        <v>1.45</v>
      </c>
      <c r="AI552">
        <v>5.31</v>
      </c>
      <c r="AJ552">
        <v>5.54</v>
      </c>
      <c r="AK552">
        <v>0.5</v>
      </c>
      <c r="AL552">
        <v>0.1</v>
      </c>
      <c r="AM552">
        <v>9</v>
      </c>
      <c r="AN552">
        <v>14</v>
      </c>
      <c r="AO552">
        <v>11</v>
      </c>
      <c r="AP552">
        <v>24</v>
      </c>
      <c r="AQ552" t="s">
        <v>2586</v>
      </c>
      <c r="AR552">
        <v>30</v>
      </c>
      <c r="AS552" t="s">
        <v>36</v>
      </c>
      <c r="AT552" t="s">
        <v>35</v>
      </c>
      <c r="AU552" s="4">
        <f>HYPERLINK("http://mlb.mlb.com/team/player.jsp?player_id=624519",624519)</f>
        <v>624519</v>
      </c>
      <c r="AV552">
        <v>197</v>
      </c>
      <c r="AW552">
        <v>1197</v>
      </c>
      <c r="AX552">
        <v>0</v>
      </c>
    </row>
    <row r="553" spans="1:50" x14ac:dyDescent="0.3">
      <c r="A553" s="4">
        <f>HYPERLINK("http://legacy.baseballprospectus.com/p/102438",102438)</f>
        <v>102438</v>
      </c>
      <c r="B553" t="s">
        <v>652</v>
      </c>
      <c r="C553" t="s">
        <v>1318</v>
      </c>
      <c r="D553" s="10">
        <v>34614</v>
      </c>
      <c r="E553" t="s">
        <v>33</v>
      </c>
      <c r="F553" t="s">
        <v>33</v>
      </c>
      <c r="G553">
        <v>75</v>
      </c>
      <c r="H553">
        <v>195</v>
      </c>
      <c r="I553">
        <v>2018</v>
      </c>
      <c r="J553" s="4" t="str">
        <f>HYPERLINK("http://legacy.baseballprospectus.com/fantasy/dc/index.php?tm=MIN","MIN")</f>
        <v>MIN</v>
      </c>
      <c r="K553" t="s">
        <v>95</v>
      </c>
      <c r="L553" t="s">
        <v>34</v>
      </c>
      <c r="M553">
        <v>23</v>
      </c>
      <c r="N553">
        <v>4.4000000000000004</v>
      </c>
      <c r="O553">
        <v>5.5</v>
      </c>
      <c r="P553">
        <v>5.0999999999999996</v>
      </c>
      <c r="Q553">
        <v>0</v>
      </c>
      <c r="R553">
        <v>0</v>
      </c>
      <c r="S553">
        <v>0</v>
      </c>
      <c r="T553">
        <v>14.6</v>
      </c>
      <c r="U553">
        <v>14.6</v>
      </c>
      <c r="V553" s="9">
        <v>77.333299999999994</v>
      </c>
      <c r="W553">
        <v>350</v>
      </c>
      <c r="X553">
        <v>85</v>
      </c>
      <c r="Y553">
        <v>13</v>
      </c>
      <c r="Z553">
        <v>37</v>
      </c>
      <c r="AA553" t="s">
        <v>1680</v>
      </c>
      <c r="AB553">
        <v>4</v>
      </c>
      <c r="AC553">
        <v>60</v>
      </c>
      <c r="AD553">
        <v>4.3</v>
      </c>
      <c r="AE553">
        <v>7</v>
      </c>
      <c r="AF553" s="5">
        <v>0.47906190156936601</v>
      </c>
      <c r="AG553">
        <v>0.30299999999999999</v>
      </c>
      <c r="AH553">
        <v>1.57</v>
      </c>
      <c r="AI553">
        <v>5.49</v>
      </c>
      <c r="AJ553">
        <v>5.58</v>
      </c>
      <c r="AK553">
        <v>1</v>
      </c>
      <c r="AL553">
        <v>0.1</v>
      </c>
      <c r="AM553">
        <v>11</v>
      </c>
      <c r="AN553">
        <v>13</v>
      </c>
      <c r="AO553">
        <v>4</v>
      </c>
      <c r="AP553">
        <v>13</v>
      </c>
      <c r="AQ553" t="s">
        <v>2952</v>
      </c>
      <c r="AR553">
        <v>21</v>
      </c>
      <c r="AS553" t="s">
        <v>36</v>
      </c>
      <c r="AT553" t="s">
        <v>35</v>
      </c>
      <c r="AU553" s="4">
        <f>HYPERLINK("http://mlb.mlb.com/team/player.jsp?player_id=640464",640464)</f>
        <v>640464</v>
      </c>
      <c r="AV553">
        <v>181</v>
      </c>
      <c r="AW553">
        <v>1181</v>
      </c>
      <c r="AX553">
        <v>0</v>
      </c>
    </row>
    <row r="554" spans="1:50" x14ac:dyDescent="0.3">
      <c r="A554" s="4">
        <f>HYPERLINK("http://legacy.baseballprospectus.com/p/102603",102603)</f>
        <v>102603</v>
      </c>
      <c r="B554" t="s">
        <v>392</v>
      </c>
      <c r="C554" t="s">
        <v>1643</v>
      </c>
      <c r="D554" s="10">
        <v>34793</v>
      </c>
      <c r="E554" t="s">
        <v>33</v>
      </c>
      <c r="F554" t="s">
        <v>33</v>
      </c>
      <c r="G554">
        <v>75</v>
      </c>
      <c r="H554">
        <v>185</v>
      </c>
      <c r="I554">
        <v>2018</v>
      </c>
      <c r="J554" s="4" t="str">
        <f>HYPERLINK("http://legacy.baseballprospectus.com/fantasy/dc/index.php?tm=SLN","SLN")</f>
        <v>SLN</v>
      </c>
      <c r="K554" t="s">
        <v>95</v>
      </c>
      <c r="L554" t="s">
        <v>34</v>
      </c>
      <c r="M554">
        <v>23</v>
      </c>
      <c r="N554">
        <v>6.5</v>
      </c>
      <c r="O554">
        <v>8.6999999999999993</v>
      </c>
      <c r="P554">
        <v>8.6</v>
      </c>
      <c r="Q554">
        <v>0</v>
      </c>
      <c r="R554">
        <v>0</v>
      </c>
      <c r="S554">
        <v>0</v>
      </c>
      <c r="T554">
        <v>23</v>
      </c>
      <c r="U554">
        <v>23</v>
      </c>
      <c r="V554" s="9">
        <v>119</v>
      </c>
      <c r="W554">
        <v>533</v>
      </c>
      <c r="X554">
        <v>127</v>
      </c>
      <c r="Y554">
        <v>20</v>
      </c>
      <c r="Z554">
        <v>58</v>
      </c>
      <c r="AA554" t="s">
        <v>1680</v>
      </c>
      <c r="AB554">
        <v>3</v>
      </c>
      <c r="AC554">
        <v>102</v>
      </c>
      <c r="AD554">
        <v>4.4000000000000004</v>
      </c>
      <c r="AE554">
        <v>7.7</v>
      </c>
      <c r="AF554" s="5">
        <v>0.463028073310852</v>
      </c>
      <c r="AG554">
        <v>0.307</v>
      </c>
      <c r="AH554">
        <v>1.56</v>
      </c>
      <c r="AI554">
        <v>5.35</v>
      </c>
      <c r="AJ554">
        <v>5.6</v>
      </c>
      <c r="AK554">
        <v>1.3</v>
      </c>
      <c r="AL554">
        <v>0.1</v>
      </c>
      <c r="AM554">
        <v>14</v>
      </c>
      <c r="AN554">
        <v>18</v>
      </c>
      <c r="AO554">
        <v>10</v>
      </c>
      <c r="AP554">
        <v>24</v>
      </c>
      <c r="AQ554" t="s">
        <v>2532</v>
      </c>
      <c r="AR554">
        <v>33</v>
      </c>
      <c r="AS554" t="s">
        <v>36</v>
      </c>
      <c r="AT554" t="s">
        <v>35</v>
      </c>
      <c r="AU554" s="4">
        <f>HYPERLINK("http://mlb.mlb.com/team/player.jsp?player_id=641632",641632)</f>
        <v>641632</v>
      </c>
      <c r="AV554">
        <v>1201</v>
      </c>
      <c r="AW554">
        <v>201</v>
      </c>
      <c r="AX554">
        <v>0</v>
      </c>
    </row>
    <row r="555" spans="1:50" x14ac:dyDescent="0.3">
      <c r="A555" s="4">
        <f>HYPERLINK("http://legacy.baseballprospectus.com/p/105362",105362)</f>
        <v>105362</v>
      </c>
      <c r="B555" t="s">
        <v>3110</v>
      </c>
      <c r="C555" t="s">
        <v>277</v>
      </c>
      <c r="D555" s="10">
        <v>32652</v>
      </c>
      <c r="E555" t="s">
        <v>33</v>
      </c>
      <c r="F555" t="s">
        <v>33</v>
      </c>
      <c r="G555">
        <v>75</v>
      </c>
      <c r="H555">
        <v>190</v>
      </c>
      <c r="I555">
        <v>2018</v>
      </c>
      <c r="J555" s="4" t="str">
        <f>HYPERLINK("http://legacy.baseballprospectus.com/fantasy/dc/index.php?tm=MIL","MIL")</f>
        <v>MIL</v>
      </c>
      <c r="K555" t="s">
        <v>100</v>
      </c>
      <c r="L555" t="s">
        <v>34</v>
      </c>
      <c r="M555">
        <v>29</v>
      </c>
      <c r="N555">
        <v>1.5</v>
      </c>
      <c r="O555">
        <v>1.7</v>
      </c>
      <c r="P555">
        <v>2</v>
      </c>
      <c r="Q555">
        <v>0</v>
      </c>
      <c r="R555">
        <v>0</v>
      </c>
      <c r="S555">
        <v>0</v>
      </c>
      <c r="T555">
        <v>5</v>
      </c>
      <c r="U555">
        <v>5</v>
      </c>
      <c r="V555" s="9">
        <v>25</v>
      </c>
      <c r="W555">
        <v>108</v>
      </c>
      <c r="X555">
        <v>25</v>
      </c>
      <c r="Y555">
        <v>5</v>
      </c>
      <c r="Z555">
        <v>9</v>
      </c>
      <c r="AA555">
        <v>1</v>
      </c>
      <c r="AB555">
        <v>1</v>
      </c>
      <c r="AC555">
        <v>24</v>
      </c>
      <c r="AD555">
        <v>3.1</v>
      </c>
      <c r="AE555">
        <v>8.6</v>
      </c>
      <c r="AF555" s="5">
        <v>0.38500000000000001</v>
      </c>
      <c r="AG555">
        <v>0.29499999999999998</v>
      </c>
      <c r="AH555">
        <v>1.34</v>
      </c>
      <c r="AI555">
        <v>4.7300000000000004</v>
      </c>
      <c r="AJ555">
        <v>5.0599999999999996</v>
      </c>
      <c r="AK555">
        <v>0.5</v>
      </c>
      <c r="AL555">
        <v>0.1</v>
      </c>
      <c r="AM555">
        <v>7</v>
      </c>
      <c r="AN555">
        <v>11</v>
      </c>
      <c r="AO555">
        <v>13</v>
      </c>
      <c r="AP555">
        <v>18</v>
      </c>
      <c r="AQ555" t="s">
        <v>3111</v>
      </c>
      <c r="AR555">
        <v>32</v>
      </c>
      <c r="AS555" t="s">
        <v>35</v>
      </c>
      <c r="AT555" t="s">
        <v>35</v>
      </c>
      <c r="AU555" s="4">
        <f>HYPERLINK("http://mlb.mlb.com/team/player.jsp?player_id=658792",658792)</f>
        <v>658792</v>
      </c>
      <c r="AV555">
        <v>1124</v>
      </c>
      <c r="AW555">
        <v>124</v>
      </c>
      <c r="AX555">
        <v>10.3</v>
      </c>
    </row>
    <row r="556" spans="1:50" x14ac:dyDescent="0.3">
      <c r="A556" s="4">
        <f>HYPERLINK("http://legacy.baseballprospectus.com/p/105384",105384)</f>
        <v>105384</v>
      </c>
      <c r="B556" t="s">
        <v>1669</v>
      </c>
      <c r="C556" t="s">
        <v>232</v>
      </c>
      <c r="D556" s="10">
        <v>34019</v>
      </c>
      <c r="E556" t="s">
        <v>33</v>
      </c>
      <c r="F556" t="s">
        <v>33</v>
      </c>
      <c r="G556">
        <v>74</v>
      </c>
      <c r="H556">
        <v>190</v>
      </c>
      <c r="I556">
        <v>2018</v>
      </c>
      <c r="J556" s="4" t="str">
        <f>HYPERLINK("http://legacy.baseballprospectus.com/fantasy/dc/index.php?tm=OAK","OAK")</f>
        <v>OAK</v>
      </c>
      <c r="K556" t="s">
        <v>95</v>
      </c>
      <c r="L556" t="s">
        <v>34</v>
      </c>
      <c r="M556">
        <v>25</v>
      </c>
      <c r="N556">
        <v>7.4</v>
      </c>
      <c r="O556">
        <v>8.8000000000000007</v>
      </c>
      <c r="P556">
        <v>9</v>
      </c>
      <c r="Q556">
        <v>0</v>
      </c>
      <c r="R556">
        <v>0</v>
      </c>
      <c r="S556">
        <v>0</v>
      </c>
      <c r="T556">
        <v>23</v>
      </c>
      <c r="U556">
        <v>23</v>
      </c>
      <c r="V556" s="9">
        <v>131</v>
      </c>
      <c r="W556">
        <v>577</v>
      </c>
      <c r="X556">
        <v>137</v>
      </c>
      <c r="Y556">
        <v>26</v>
      </c>
      <c r="Z556">
        <v>51</v>
      </c>
      <c r="AA556">
        <v>2</v>
      </c>
      <c r="AB556">
        <v>5</v>
      </c>
      <c r="AC556">
        <v>115</v>
      </c>
      <c r="AD556">
        <v>3.5</v>
      </c>
      <c r="AE556">
        <v>7.9</v>
      </c>
      <c r="AF556" s="5">
        <v>0.437</v>
      </c>
      <c r="AG556">
        <v>0.29399999999999998</v>
      </c>
      <c r="AH556">
        <v>1.44</v>
      </c>
      <c r="AI556">
        <v>5.16</v>
      </c>
      <c r="AJ556">
        <v>5.47</v>
      </c>
      <c r="AK556">
        <v>0.9</v>
      </c>
      <c r="AL556">
        <v>0.1</v>
      </c>
      <c r="AM556">
        <v>27</v>
      </c>
      <c r="AN556">
        <v>60</v>
      </c>
      <c r="AO556">
        <v>19</v>
      </c>
      <c r="AP556">
        <v>25</v>
      </c>
      <c r="AQ556" t="s">
        <v>2599</v>
      </c>
      <c r="AR556">
        <v>93</v>
      </c>
      <c r="AS556" t="s">
        <v>35</v>
      </c>
      <c r="AT556" t="s">
        <v>36</v>
      </c>
      <c r="AU556" s="4">
        <f>HYPERLINK("http://mlb.mlb.com/team/player.jsp?player_id=596043",596043)</f>
        <v>596043</v>
      </c>
      <c r="AV556">
        <v>87</v>
      </c>
      <c r="AW556">
        <v>1087</v>
      </c>
      <c r="AX556">
        <v>43</v>
      </c>
    </row>
    <row r="557" spans="1:50" x14ac:dyDescent="0.3">
      <c r="A557" s="4">
        <f>HYPERLINK("http://legacy.baseballprospectus.com/p/105123",105123)</f>
        <v>105123</v>
      </c>
      <c r="B557" t="s">
        <v>424</v>
      </c>
      <c r="C557" t="s">
        <v>159</v>
      </c>
      <c r="D557" s="10">
        <v>32914</v>
      </c>
      <c r="E557" t="s">
        <v>9</v>
      </c>
      <c r="F557" t="s">
        <v>9</v>
      </c>
      <c r="G557">
        <v>74</v>
      </c>
      <c r="H557">
        <v>200</v>
      </c>
      <c r="I557">
        <v>2018</v>
      </c>
      <c r="J557" s="4" t="str">
        <f>HYPERLINK("http://legacy.baseballprospectus.com/fantasy/dc/index.php?tm=KCA","KCA")</f>
        <v>KCA</v>
      </c>
      <c r="K557" t="s">
        <v>95</v>
      </c>
      <c r="L557" t="s">
        <v>34</v>
      </c>
      <c r="M557">
        <v>28</v>
      </c>
      <c r="N557">
        <v>2.7</v>
      </c>
      <c r="O557">
        <v>1</v>
      </c>
      <c r="P557">
        <v>0</v>
      </c>
      <c r="Q557">
        <v>0</v>
      </c>
      <c r="R557">
        <v>2.2000000000000002</v>
      </c>
      <c r="S557">
        <v>0</v>
      </c>
      <c r="T557">
        <v>56.8</v>
      </c>
      <c r="U557">
        <v>0</v>
      </c>
      <c r="V557" s="9">
        <v>60</v>
      </c>
      <c r="W557">
        <v>270</v>
      </c>
      <c r="X557">
        <v>66</v>
      </c>
      <c r="Y557">
        <v>9</v>
      </c>
      <c r="Z557">
        <v>27</v>
      </c>
      <c r="AA557" t="s">
        <v>1680</v>
      </c>
      <c r="AB557">
        <v>2</v>
      </c>
      <c r="AC557">
        <v>54</v>
      </c>
      <c r="AD557">
        <v>4</v>
      </c>
      <c r="AE557">
        <v>8.1</v>
      </c>
      <c r="AF557" s="5">
        <v>0.50770944356918302</v>
      </c>
      <c r="AG557">
        <v>0.32</v>
      </c>
      <c r="AH557">
        <v>1.54</v>
      </c>
      <c r="AI557">
        <v>4.93</v>
      </c>
      <c r="AJ557">
        <v>5.15</v>
      </c>
      <c r="AK557">
        <v>1</v>
      </c>
      <c r="AL557">
        <v>0.1</v>
      </c>
      <c r="AM557">
        <v>6</v>
      </c>
      <c r="AN557">
        <v>8</v>
      </c>
      <c r="AO557">
        <v>10</v>
      </c>
      <c r="AP557">
        <v>15</v>
      </c>
      <c r="AQ557" t="s">
        <v>2809</v>
      </c>
      <c r="AR557">
        <v>20</v>
      </c>
      <c r="AS557" t="s">
        <v>36</v>
      </c>
      <c r="AT557" t="s">
        <v>35</v>
      </c>
      <c r="AU557" s="4">
        <f>HYPERLINK("http://mlb.mlb.com/team/player.jsp?player_id=657612",657612)</f>
        <v>657612</v>
      </c>
      <c r="AV557">
        <v>0</v>
      </c>
      <c r="AW557">
        <v>0</v>
      </c>
      <c r="AX557">
        <v>0</v>
      </c>
    </row>
    <row r="558" spans="1:50" x14ac:dyDescent="0.3">
      <c r="A558" s="4">
        <f>HYPERLINK("http://legacy.baseballprospectus.com/p/107195",107195)</f>
        <v>107195</v>
      </c>
      <c r="B558" t="s">
        <v>632</v>
      </c>
      <c r="C558" t="s">
        <v>2127</v>
      </c>
      <c r="D558" s="10">
        <v>33394</v>
      </c>
      <c r="E558" t="s">
        <v>33</v>
      </c>
      <c r="F558" t="s">
        <v>33</v>
      </c>
      <c r="G558">
        <v>73</v>
      </c>
      <c r="H558">
        <v>170</v>
      </c>
      <c r="I558">
        <v>2018</v>
      </c>
      <c r="J558" s="4" t="str">
        <f>HYPERLINK("http://legacy.baseballprospectus.com/fantasy/dc/index.php?tm=LAN","LAN")</f>
        <v>LAN</v>
      </c>
      <c r="K558" t="s">
        <v>100</v>
      </c>
      <c r="L558" t="s">
        <v>34</v>
      </c>
      <c r="M558">
        <v>27</v>
      </c>
      <c r="N558">
        <v>1.2</v>
      </c>
      <c r="O558">
        <v>0.8</v>
      </c>
      <c r="P558">
        <v>0</v>
      </c>
      <c r="Q558">
        <v>0</v>
      </c>
      <c r="R558">
        <v>0</v>
      </c>
      <c r="S558">
        <v>0</v>
      </c>
      <c r="T558">
        <v>20</v>
      </c>
      <c r="U558">
        <v>0</v>
      </c>
      <c r="V558" s="9">
        <v>21</v>
      </c>
      <c r="W558">
        <v>92</v>
      </c>
      <c r="X558">
        <v>21</v>
      </c>
      <c r="Y558">
        <v>3</v>
      </c>
      <c r="Z558">
        <v>9</v>
      </c>
      <c r="AA558">
        <v>1</v>
      </c>
      <c r="AB558">
        <v>1</v>
      </c>
      <c r="AC558">
        <v>22</v>
      </c>
      <c r="AD558">
        <v>3.8</v>
      </c>
      <c r="AE558">
        <v>9.5</v>
      </c>
      <c r="AF558" s="5">
        <v>0.47899999999999998</v>
      </c>
      <c r="AG558">
        <v>0.30099999999999999</v>
      </c>
      <c r="AH558">
        <v>1.39</v>
      </c>
      <c r="AI558">
        <v>4.26</v>
      </c>
      <c r="AJ558">
        <v>4.67</v>
      </c>
      <c r="AK558">
        <v>0.7</v>
      </c>
      <c r="AL558">
        <v>0.1</v>
      </c>
      <c r="AM558">
        <v>13</v>
      </c>
      <c r="AN558">
        <v>17</v>
      </c>
      <c r="AO558">
        <v>8</v>
      </c>
      <c r="AP558">
        <v>24</v>
      </c>
      <c r="AQ558" t="s">
        <v>2969</v>
      </c>
      <c r="AR558">
        <v>30</v>
      </c>
      <c r="AS558" t="s">
        <v>35</v>
      </c>
      <c r="AT558" t="s">
        <v>35</v>
      </c>
      <c r="AU558" s="4">
        <f>HYPERLINK("http://mlb.mlb.com/team/player.jsp?player_id=666888",666888)</f>
        <v>666888</v>
      </c>
      <c r="AV558">
        <v>1745</v>
      </c>
      <c r="AW558">
        <v>745</v>
      </c>
      <c r="AX558">
        <v>0</v>
      </c>
    </row>
    <row r="559" spans="1:50" x14ac:dyDescent="0.3">
      <c r="A559" s="4">
        <f>HYPERLINK("http://legacy.baseballprospectus.com/p/107554",107554)</f>
        <v>107554</v>
      </c>
      <c r="B559" t="s">
        <v>2971</v>
      </c>
      <c r="C559" t="s">
        <v>766</v>
      </c>
      <c r="D559" s="10">
        <v>34629</v>
      </c>
      <c r="E559" t="s">
        <v>33</v>
      </c>
      <c r="F559" t="s">
        <v>33</v>
      </c>
      <c r="G559">
        <v>75</v>
      </c>
      <c r="H559">
        <v>205</v>
      </c>
      <c r="I559">
        <v>2018</v>
      </c>
      <c r="J559" s="4" t="str">
        <f>HYPERLINK("http://legacy.baseballprospectus.com/fantasy/dc/index.php?tm=MIL","MIL")</f>
        <v>MIL</v>
      </c>
      <c r="K559" t="s">
        <v>100</v>
      </c>
      <c r="L559" t="s">
        <v>34</v>
      </c>
      <c r="M559">
        <v>23</v>
      </c>
      <c r="N559">
        <v>1</v>
      </c>
      <c r="O559">
        <v>1</v>
      </c>
      <c r="P559">
        <v>1</v>
      </c>
      <c r="Q559">
        <v>0</v>
      </c>
      <c r="R559">
        <v>0</v>
      </c>
      <c r="S559">
        <v>0</v>
      </c>
      <c r="T559">
        <v>3</v>
      </c>
      <c r="U559">
        <v>3</v>
      </c>
      <c r="V559" s="9">
        <v>16</v>
      </c>
      <c r="W559">
        <v>67</v>
      </c>
      <c r="X559">
        <v>15</v>
      </c>
      <c r="Y559">
        <v>3</v>
      </c>
      <c r="Z559">
        <v>6</v>
      </c>
      <c r="AA559">
        <v>0</v>
      </c>
      <c r="AB559">
        <v>1</v>
      </c>
      <c r="AC559">
        <v>17</v>
      </c>
      <c r="AD559">
        <v>3.6</v>
      </c>
      <c r="AE559">
        <v>9.5</v>
      </c>
      <c r="AF559" s="5">
        <v>0.49299999999999999</v>
      </c>
      <c r="AG559">
        <v>0.29499999999999998</v>
      </c>
      <c r="AH559">
        <v>1.31</v>
      </c>
      <c r="AI559">
        <v>4.3499999999999996</v>
      </c>
      <c r="AJ559">
        <v>4.66</v>
      </c>
      <c r="AK559">
        <v>1</v>
      </c>
      <c r="AL559">
        <v>0.1</v>
      </c>
      <c r="AM559">
        <v>21</v>
      </c>
      <c r="AN559">
        <v>40</v>
      </c>
      <c r="AO559">
        <v>18</v>
      </c>
      <c r="AP559">
        <v>30</v>
      </c>
      <c r="AQ559" t="s">
        <v>2972</v>
      </c>
      <c r="AR559">
        <v>65</v>
      </c>
      <c r="AS559" t="s">
        <v>35</v>
      </c>
      <c r="AT559" t="s">
        <v>35</v>
      </c>
      <c r="AU559" s="4">
        <f>HYPERLINK("http://mlb.mlb.com/team/player.jsp?player_id=669203",669203)</f>
        <v>669203</v>
      </c>
      <c r="AV559">
        <v>1153</v>
      </c>
      <c r="AW559">
        <v>153</v>
      </c>
      <c r="AX559">
        <v>0</v>
      </c>
    </row>
    <row r="560" spans="1:50" x14ac:dyDescent="0.3">
      <c r="A560" s="4">
        <f>HYPERLINK("http://legacy.baseballprospectus.com/p/107058",107058)</f>
        <v>107058</v>
      </c>
      <c r="B560" t="s">
        <v>2423</v>
      </c>
      <c r="C560" t="s">
        <v>2687</v>
      </c>
      <c r="D560" s="10">
        <v>34292</v>
      </c>
      <c r="E560" t="s">
        <v>9</v>
      </c>
      <c r="F560" t="s">
        <v>9</v>
      </c>
      <c r="G560">
        <v>71</v>
      </c>
      <c r="H560">
        <v>170</v>
      </c>
      <c r="I560">
        <v>2018</v>
      </c>
      <c r="J560" s="4" t="str">
        <f>HYPERLINK("http://legacy.baseballprospectus.com/fantasy/dc/index.php?tm=HOU","HOU")</f>
        <v>HOU</v>
      </c>
      <c r="K560" t="s">
        <v>95</v>
      </c>
      <c r="L560" t="s">
        <v>34</v>
      </c>
      <c r="M560">
        <v>24</v>
      </c>
      <c r="N560">
        <v>5</v>
      </c>
      <c r="O560">
        <v>4.3</v>
      </c>
      <c r="P560">
        <v>4.5999999999999996</v>
      </c>
      <c r="Q560">
        <v>0</v>
      </c>
      <c r="R560">
        <v>1</v>
      </c>
      <c r="S560">
        <v>0</v>
      </c>
      <c r="T560">
        <v>38</v>
      </c>
      <c r="U560">
        <v>11.6</v>
      </c>
      <c r="V560" s="9">
        <v>88</v>
      </c>
      <c r="W560">
        <v>390</v>
      </c>
      <c r="X560">
        <v>91</v>
      </c>
      <c r="Y560">
        <v>16</v>
      </c>
      <c r="Z560">
        <v>40</v>
      </c>
      <c r="AA560" t="s">
        <v>1680</v>
      </c>
      <c r="AB560">
        <v>4</v>
      </c>
      <c r="AC560">
        <v>93</v>
      </c>
      <c r="AD560">
        <v>4.0999999999999996</v>
      </c>
      <c r="AE560">
        <v>9.5</v>
      </c>
      <c r="AF560" s="5">
        <v>0.527857065200805</v>
      </c>
      <c r="AG560">
        <v>0.316</v>
      </c>
      <c r="AH560">
        <v>1.49</v>
      </c>
      <c r="AI560">
        <v>5.09</v>
      </c>
      <c r="AJ560">
        <v>5.42</v>
      </c>
      <c r="AK560">
        <v>0.8</v>
      </c>
      <c r="AL560">
        <v>0.1</v>
      </c>
      <c r="AM560">
        <v>15</v>
      </c>
      <c r="AN560">
        <v>21</v>
      </c>
      <c r="AO560">
        <v>8</v>
      </c>
      <c r="AP560">
        <v>18</v>
      </c>
      <c r="AQ560" t="s">
        <v>2688</v>
      </c>
      <c r="AR560">
        <v>32</v>
      </c>
      <c r="AS560" t="s">
        <v>36</v>
      </c>
      <c r="AT560" t="s">
        <v>35</v>
      </c>
      <c r="AU560" s="4">
        <f>HYPERLINK("http://mlb.mlb.com/team/player.jsp?player_id=664285",664285)</f>
        <v>664285</v>
      </c>
      <c r="AV560">
        <v>0</v>
      </c>
      <c r="AW560">
        <v>0</v>
      </c>
      <c r="AX560">
        <v>0</v>
      </c>
    </row>
    <row r="561" spans="1:50" x14ac:dyDescent="0.3">
      <c r="A561" s="4">
        <f>HYPERLINK("http://legacy.baseballprospectus.com/p/109041",109041)</f>
        <v>109041</v>
      </c>
      <c r="B561" t="s">
        <v>918</v>
      </c>
      <c r="C561" t="s">
        <v>272</v>
      </c>
      <c r="D561" s="10">
        <v>34104</v>
      </c>
      <c r="E561" t="s">
        <v>33</v>
      </c>
      <c r="F561" t="s">
        <v>33</v>
      </c>
      <c r="G561">
        <v>74</v>
      </c>
      <c r="H561">
        <v>190</v>
      </c>
      <c r="I561">
        <v>2018</v>
      </c>
      <c r="J561" s="4" t="str">
        <f>HYPERLINK("http://legacy.baseballprospectus.com/fantasy/dc/index.php?tm=MIA","MIA")</f>
        <v>MIA</v>
      </c>
      <c r="K561" t="s">
        <v>100</v>
      </c>
      <c r="L561" t="s">
        <v>34</v>
      </c>
      <c r="M561">
        <v>25</v>
      </c>
      <c r="N561">
        <v>0.8</v>
      </c>
      <c r="O561">
        <v>1.2</v>
      </c>
      <c r="P561">
        <v>1</v>
      </c>
      <c r="Q561">
        <v>0</v>
      </c>
      <c r="R561">
        <v>0</v>
      </c>
      <c r="S561">
        <v>0</v>
      </c>
      <c r="T561">
        <v>3</v>
      </c>
      <c r="U561">
        <v>3</v>
      </c>
      <c r="V561" s="9">
        <v>17</v>
      </c>
      <c r="W561">
        <v>73</v>
      </c>
      <c r="X561">
        <v>17</v>
      </c>
      <c r="Y561">
        <v>3</v>
      </c>
      <c r="Z561">
        <v>6</v>
      </c>
      <c r="AA561">
        <v>0</v>
      </c>
      <c r="AB561">
        <v>1</v>
      </c>
      <c r="AC561">
        <v>17</v>
      </c>
      <c r="AD561">
        <v>3.1</v>
      </c>
      <c r="AE561">
        <v>8.9</v>
      </c>
      <c r="AF561" s="5">
        <v>0.45200000000000001</v>
      </c>
      <c r="AG561">
        <v>0.29599999999999999</v>
      </c>
      <c r="AH561">
        <v>1.32</v>
      </c>
      <c r="AI561">
        <v>4.51</v>
      </c>
      <c r="AJ561">
        <v>4.8099999999999996</v>
      </c>
      <c r="AK561">
        <v>0.8</v>
      </c>
      <c r="AL561">
        <v>0.1</v>
      </c>
      <c r="AM561">
        <v>17</v>
      </c>
      <c r="AN561">
        <v>36</v>
      </c>
      <c r="AO561">
        <v>11</v>
      </c>
      <c r="AP561">
        <v>29</v>
      </c>
      <c r="AQ561" t="s">
        <v>2976</v>
      </c>
      <c r="AR561">
        <v>58</v>
      </c>
      <c r="AS561" t="s">
        <v>35</v>
      </c>
      <c r="AT561" t="s">
        <v>35</v>
      </c>
      <c r="AU561" s="4">
        <f>HYPERLINK("http://mlb.mlb.com/team/player.jsp?player_id=670950",670950)</f>
        <v>670950</v>
      </c>
      <c r="AV561">
        <v>0</v>
      </c>
      <c r="AW561">
        <v>0</v>
      </c>
      <c r="AX561">
        <v>0</v>
      </c>
    </row>
    <row r="562" spans="1:50" x14ac:dyDescent="0.3">
      <c r="A562" s="4">
        <f>HYPERLINK("http://legacy.baseballprospectus.com/p/108829",108829)</f>
        <v>108829</v>
      </c>
      <c r="B562" t="s">
        <v>2821</v>
      </c>
      <c r="C562" t="s">
        <v>272</v>
      </c>
      <c r="D562" s="10">
        <v>34536</v>
      </c>
      <c r="E562" t="s">
        <v>33</v>
      </c>
      <c r="F562" t="s">
        <v>33</v>
      </c>
      <c r="G562">
        <v>72</v>
      </c>
      <c r="H562">
        <v>195</v>
      </c>
      <c r="I562">
        <v>2018</v>
      </c>
      <c r="J562" s="4" t="str">
        <f>HYPERLINK("http://legacy.baseballprospectus.com/fantasy/dc/index.php?tm=PHI","PHI")</f>
        <v>PHI</v>
      </c>
      <c r="K562" t="s">
        <v>100</v>
      </c>
      <c r="L562" t="s">
        <v>34</v>
      </c>
      <c r="M562">
        <v>23</v>
      </c>
      <c r="N562">
        <v>1.9</v>
      </c>
      <c r="O562">
        <v>0.7</v>
      </c>
      <c r="P562">
        <v>0</v>
      </c>
      <c r="Q562">
        <v>0</v>
      </c>
      <c r="R562">
        <v>1.6</v>
      </c>
      <c r="S562">
        <v>0</v>
      </c>
      <c r="T562">
        <v>37.6</v>
      </c>
      <c r="U562">
        <v>0</v>
      </c>
      <c r="V562" s="9">
        <v>39.666699999999999</v>
      </c>
      <c r="W562">
        <v>166</v>
      </c>
      <c r="X562">
        <v>38</v>
      </c>
      <c r="Y562">
        <v>8</v>
      </c>
      <c r="Z562">
        <v>16</v>
      </c>
      <c r="AA562" t="s">
        <v>1680</v>
      </c>
      <c r="AB562">
        <v>1</v>
      </c>
      <c r="AC562">
        <v>47</v>
      </c>
      <c r="AD562">
        <v>3.6</v>
      </c>
      <c r="AE562">
        <v>10.7</v>
      </c>
      <c r="AF562" s="5">
        <v>0.44513863325119002</v>
      </c>
      <c r="AG562">
        <v>0.32100000000000001</v>
      </c>
      <c r="AH562">
        <v>1.35</v>
      </c>
      <c r="AI562">
        <v>4.5599999999999996</v>
      </c>
      <c r="AJ562">
        <v>5.08</v>
      </c>
      <c r="AK562">
        <v>0.6</v>
      </c>
      <c r="AL562">
        <v>0.1</v>
      </c>
      <c r="AM562">
        <v>1</v>
      </c>
      <c r="AN562">
        <v>4</v>
      </c>
      <c r="AO562">
        <v>10</v>
      </c>
      <c r="AP562">
        <v>10</v>
      </c>
      <c r="AQ562" t="s">
        <v>2822</v>
      </c>
      <c r="AR562">
        <v>13</v>
      </c>
      <c r="AS562" t="s">
        <v>36</v>
      </c>
      <c r="AT562" t="s">
        <v>35</v>
      </c>
      <c r="AU562" s="4">
        <f>HYPERLINK("http://mlb.mlb.com/team/player.jsp?player_id=670422",670422)</f>
        <v>670422</v>
      </c>
      <c r="AV562">
        <v>0</v>
      </c>
      <c r="AW562">
        <v>0</v>
      </c>
      <c r="AX562">
        <v>0</v>
      </c>
    </row>
    <row r="563" spans="1:50" x14ac:dyDescent="0.3">
      <c r="A563" s="4">
        <f>HYPERLINK("http://legacy.baseballprospectus.com/p/109130",109130)</f>
        <v>109130</v>
      </c>
      <c r="B563" t="s">
        <v>568</v>
      </c>
      <c r="C563" t="s">
        <v>2542</v>
      </c>
      <c r="D563" s="10">
        <v>35176</v>
      </c>
      <c r="E563" t="s">
        <v>9</v>
      </c>
      <c r="F563" t="s">
        <v>9</v>
      </c>
      <c r="G563">
        <v>71</v>
      </c>
      <c r="H563">
        <v>170</v>
      </c>
      <c r="I563">
        <v>2018</v>
      </c>
      <c r="J563" s="4" t="str">
        <f>HYPERLINK("http://legacy.baseballprospectus.com/fantasy/dc/index.php?tm=HOU","HOU")</f>
        <v>HOU</v>
      </c>
      <c r="K563" t="s">
        <v>95</v>
      </c>
      <c r="L563" t="s">
        <v>34</v>
      </c>
      <c r="M563">
        <v>22</v>
      </c>
      <c r="N563">
        <v>3.7</v>
      </c>
      <c r="O563">
        <v>3.7</v>
      </c>
      <c r="P563">
        <v>4.2</v>
      </c>
      <c r="Q563">
        <v>0</v>
      </c>
      <c r="R563">
        <v>0.5</v>
      </c>
      <c r="S563">
        <v>0</v>
      </c>
      <c r="T563">
        <v>22.7</v>
      </c>
      <c r="U563">
        <v>10.6</v>
      </c>
      <c r="V563" s="9">
        <v>63</v>
      </c>
      <c r="W563">
        <v>276</v>
      </c>
      <c r="X563">
        <v>67</v>
      </c>
      <c r="Y563">
        <v>13</v>
      </c>
      <c r="Z563">
        <v>24</v>
      </c>
      <c r="AA563" t="s">
        <v>1680</v>
      </c>
      <c r="AB563">
        <v>2</v>
      </c>
      <c r="AC563">
        <v>63</v>
      </c>
      <c r="AD563">
        <v>3.5</v>
      </c>
      <c r="AE563">
        <v>8.9</v>
      </c>
      <c r="AF563" s="5">
        <v>0.42847999930381703</v>
      </c>
      <c r="AG563">
        <v>0.314</v>
      </c>
      <c r="AH563">
        <v>1.45</v>
      </c>
      <c r="AI563">
        <v>5.14</v>
      </c>
      <c r="AJ563">
        <v>5.48</v>
      </c>
      <c r="AK563">
        <v>0.5</v>
      </c>
      <c r="AL563">
        <v>0.1</v>
      </c>
      <c r="AM563">
        <v>4</v>
      </c>
      <c r="AN563">
        <v>8</v>
      </c>
      <c r="AO563">
        <v>2</v>
      </c>
      <c r="AP563">
        <v>8</v>
      </c>
      <c r="AQ563" t="s">
        <v>2543</v>
      </c>
      <c r="AR563">
        <v>13</v>
      </c>
      <c r="AS563" t="s">
        <v>36</v>
      </c>
      <c r="AT563" t="s">
        <v>35</v>
      </c>
      <c r="AU563" s="4">
        <f>HYPERLINK("http://mlb.mlb.com/team/player.jsp?player_id=672335",672335)</f>
        <v>672335</v>
      </c>
      <c r="AV563">
        <v>214</v>
      </c>
      <c r="AW563">
        <v>1214</v>
      </c>
      <c r="AX563">
        <v>0</v>
      </c>
    </row>
    <row r="564" spans="1:50" x14ac:dyDescent="0.3">
      <c r="A564" s="4">
        <f>HYPERLINK("http://legacy.baseballprospectus.com/p/395",395)</f>
        <v>395</v>
      </c>
      <c r="B564" t="s">
        <v>259</v>
      </c>
      <c r="C564" t="s">
        <v>764</v>
      </c>
      <c r="D564" s="10">
        <v>26808</v>
      </c>
      <c r="E564" t="s">
        <v>33</v>
      </c>
      <c r="F564" t="s">
        <v>33</v>
      </c>
      <c r="G564">
        <v>71</v>
      </c>
      <c r="H564">
        <v>285</v>
      </c>
      <c r="I564">
        <v>2018</v>
      </c>
      <c r="J564" s="4" t="str">
        <f>HYPERLINK("http://legacy.baseballprospectus.com/fantasy/dc/index.php?tm=TEX","TEX")</f>
        <v>TEX</v>
      </c>
      <c r="K564" t="s">
        <v>95</v>
      </c>
      <c r="L564" t="s">
        <v>34</v>
      </c>
      <c r="M564">
        <v>45</v>
      </c>
      <c r="N564">
        <v>4.0999999999999996</v>
      </c>
      <c r="O564">
        <v>5.0999999999999996</v>
      </c>
      <c r="P564">
        <v>5</v>
      </c>
      <c r="Q564">
        <v>0</v>
      </c>
      <c r="R564">
        <v>0</v>
      </c>
      <c r="S564">
        <v>0</v>
      </c>
      <c r="T564">
        <v>13</v>
      </c>
      <c r="U564">
        <v>13</v>
      </c>
      <c r="V564" s="9">
        <v>74</v>
      </c>
      <c r="W564">
        <v>339</v>
      </c>
      <c r="X564">
        <v>90</v>
      </c>
      <c r="Y564">
        <v>13</v>
      </c>
      <c r="Z564">
        <v>26</v>
      </c>
      <c r="AA564">
        <v>1</v>
      </c>
      <c r="AB564">
        <v>3</v>
      </c>
      <c r="AC564">
        <v>44</v>
      </c>
      <c r="AD564">
        <v>3.1</v>
      </c>
      <c r="AE564">
        <v>5.4</v>
      </c>
      <c r="AF564" s="5">
        <v>0.44</v>
      </c>
      <c r="AG564">
        <v>0.30499999999999999</v>
      </c>
      <c r="AH564">
        <v>1.62</v>
      </c>
      <c r="AI564">
        <v>5.52</v>
      </c>
      <c r="AJ564">
        <v>5.57</v>
      </c>
      <c r="AK564">
        <v>-0.3</v>
      </c>
      <c r="AL564">
        <v>0</v>
      </c>
      <c r="AM564">
        <v>9</v>
      </c>
      <c r="AN564">
        <v>18</v>
      </c>
      <c r="AO564">
        <v>7</v>
      </c>
      <c r="AP564">
        <v>0</v>
      </c>
      <c r="AQ564" t="s">
        <v>2463</v>
      </c>
      <c r="AR564">
        <v>28</v>
      </c>
      <c r="AS564" t="s">
        <v>35</v>
      </c>
      <c r="AT564" t="s">
        <v>36</v>
      </c>
      <c r="AU564" s="4">
        <f>HYPERLINK("http://mlb.mlb.com/team/player.jsp?player_id=112526",112526)</f>
        <v>112526</v>
      </c>
      <c r="AV564">
        <v>707</v>
      </c>
      <c r="AW564">
        <v>1707</v>
      </c>
      <c r="AX564">
        <v>143</v>
      </c>
    </row>
    <row r="565" spans="1:50" x14ac:dyDescent="0.3">
      <c r="A565" s="4">
        <f>HYPERLINK("http://legacy.baseballprospectus.com/p/33003",33003)</f>
        <v>33003</v>
      </c>
      <c r="B565" t="s">
        <v>1431</v>
      </c>
      <c r="C565" t="s">
        <v>1483</v>
      </c>
      <c r="D565" s="10">
        <v>29778</v>
      </c>
      <c r="E565" t="s">
        <v>33</v>
      </c>
      <c r="F565" t="s">
        <v>33</v>
      </c>
      <c r="G565">
        <v>75</v>
      </c>
      <c r="H565">
        <v>225</v>
      </c>
      <c r="I565">
        <v>2018</v>
      </c>
      <c r="J565" s="4" t="str">
        <f>HYPERLINK("http://legacy.baseballprospectus.com/fantasy/dc/index.php?tm=KCA","KCA")</f>
        <v>KCA</v>
      </c>
      <c r="K565" t="s">
        <v>95</v>
      </c>
      <c r="L565" t="s">
        <v>34</v>
      </c>
      <c r="M565">
        <v>36</v>
      </c>
      <c r="N565">
        <v>1.1000000000000001</v>
      </c>
      <c r="O565">
        <v>1.4</v>
      </c>
      <c r="P565">
        <v>0</v>
      </c>
      <c r="Q565">
        <v>0</v>
      </c>
      <c r="R565">
        <v>0</v>
      </c>
      <c r="S565">
        <v>1</v>
      </c>
      <c r="T565">
        <v>24</v>
      </c>
      <c r="U565">
        <v>0</v>
      </c>
      <c r="V565" s="9">
        <v>26</v>
      </c>
      <c r="W565">
        <v>117</v>
      </c>
      <c r="X565">
        <v>29</v>
      </c>
      <c r="Y565">
        <v>3</v>
      </c>
      <c r="Z565">
        <v>11</v>
      </c>
      <c r="AA565">
        <v>1</v>
      </c>
      <c r="AB565">
        <v>1</v>
      </c>
      <c r="AC565">
        <v>16</v>
      </c>
      <c r="AD565">
        <v>3.9</v>
      </c>
      <c r="AE565">
        <v>5.7</v>
      </c>
      <c r="AF565" s="5">
        <v>0.45100000000000001</v>
      </c>
      <c r="AG565">
        <v>0.29899999999999999</v>
      </c>
      <c r="AH565">
        <v>1.56</v>
      </c>
      <c r="AI565">
        <v>5.37</v>
      </c>
      <c r="AJ565">
        <v>5.3</v>
      </c>
      <c r="AK565">
        <v>-0.1</v>
      </c>
      <c r="AL565">
        <v>0</v>
      </c>
      <c r="AM565">
        <v>21</v>
      </c>
      <c r="AN565">
        <v>38</v>
      </c>
      <c r="AO565">
        <v>24</v>
      </c>
      <c r="AP565">
        <v>6</v>
      </c>
      <c r="AQ565" t="s">
        <v>3155</v>
      </c>
      <c r="AR565">
        <v>64</v>
      </c>
      <c r="AS565" t="s">
        <v>35</v>
      </c>
      <c r="AT565" t="s">
        <v>36</v>
      </c>
      <c r="AU565" s="4">
        <f>HYPERLINK("http://mlb.mlb.com/team/player.jsp?player_id=430641",430641)</f>
        <v>430641</v>
      </c>
      <c r="AV565">
        <v>0</v>
      </c>
      <c r="AW565">
        <v>0</v>
      </c>
      <c r="AX565">
        <v>41.3</v>
      </c>
    </row>
    <row r="566" spans="1:50" x14ac:dyDescent="0.3">
      <c r="A566" s="4">
        <f>HYPERLINK("http://legacy.baseballprospectus.com/p/45514",45514)</f>
        <v>45514</v>
      </c>
      <c r="B566" t="s">
        <v>758</v>
      </c>
      <c r="C566" t="s">
        <v>258</v>
      </c>
      <c r="D566" s="10">
        <v>31092</v>
      </c>
      <c r="E566" t="s">
        <v>33</v>
      </c>
      <c r="F566" t="s">
        <v>33</v>
      </c>
      <c r="G566">
        <v>75</v>
      </c>
      <c r="H566">
        <v>200</v>
      </c>
      <c r="I566">
        <v>2018</v>
      </c>
      <c r="J566" s="4" t="str">
        <f>HYPERLINK("http://legacy.baseballprospectus.com/fantasy/dc/index.php?tm=TOR","TOR")</f>
        <v>TOR</v>
      </c>
      <c r="K566" t="s">
        <v>95</v>
      </c>
      <c r="L566" t="s">
        <v>34</v>
      </c>
      <c r="M566">
        <v>33</v>
      </c>
      <c r="N566">
        <v>0.6</v>
      </c>
      <c r="O566">
        <v>0.6</v>
      </c>
      <c r="P566">
        <v>0</v>
      </c>
      <c r="Q566">
        <v>0</v>
      </c>
      <c r="R566">
        <v>0</v>
      </c>
      <c r="S566">
        <v>0</v>
      </c>
      <c r="T566">
        <v>12</v>
      </c>
      <c r="U566">
        <v>0</v>
      </c>
      <c r="V566" s="9">
        <v>13</v>
      </c>
      <c r="W566">
        <v>57</v>
      </c>
      <c r="X566">
        <v>12</v>
      </c>
      <c r="Y566">
        <v>2</v>
      </c>
      <c r="Z566">
        <v>6</v>
      </c>
      <c r="AA566">
        <v>0</v>
      </c>
      <c r="AB566">
        <v>1</v>
      </c>
      <c r="AC566">
        <v>12</v>
      </c>
      <c r="AD566">
        <v>4.2</v>
      </c>
      <c r="AE566">
        <v>8.5</v>
      </c>
      <c r="AF566" s="5">
        <v>0.35199999999999998</v>
      </c>
      <c r="AG566">
        <v>0.28499999999999998</v>
      </c>
      <c r="AH566">
        <v>1.34</v>
      </c>
      <c r="AI566">
        <v>4.8</v>
      </c>
      <c r="AJ566">
        <v>4.9400000000000004</v>
      </c>
      <c r="AK566">
        <v>0.4</v>
      </c>
      <c r="AL566">
        <v>0</v>
      </c>
      <c r="AM566">
        <v>19</v>
      </c>
      <c r="AN566">
        <v>43</v>
      </c>
      <c r="AO566">
        <v>31</v>
      </c>
      <c r="AP566">
        <v>8</v>
      </c>
      <c r="AQ566" t="s">
        <v>3024</v>
      </c>
      <c r="AR566">
        <v>94</v>
      </c>
      <c r="AS566" t="s">
        <v>35</v>
      </c>
      <c r="AT566" t="s">
        <v>36</v>
      </c>
      <c r="AU566" s="4">
        <f>HYPERLINK("http://mlb.mlb.com/team/player.jsp?player_id=461325",461325)</f>
        <v>461325</v>
      </c>
      <c r="AV566">
        <v>0</v>
      </c>
      <c r="AW566">
        <v>0</v>
      </c>
      <c r="AX566">
        <v>60.3</v>
      </c>
    </row>
    <row r="567" spans="1:50" x14ac:dyDescent="0.3">
      <c r="A567" s="4">
        <f>HYPERLINK("http://legacy.baseballprospectus.com/p/45522",45522)</f>
        <v>45522</v>
      </c>
      <c r="B567" t="s">
        <v>786</v>
      </c>
      <c r="C567" t="s">
        <v>487</v>
      </c>
      <c r="D567" s="10">
        <v>30425</v>
      </c>
      <c r="E567" t="s">
        <v>9</v>
      </c>
      <c r="F567" t="s">
        <v>9</v>
      </c>
      <c r="G567">
        <v>74</v>
      </c>
      <c r="H567">
        <v>210</v>
      </c>
      <c r="I567">
        <v>2018</v>
      </c>
      <c r="J567" s="4" t="str">
        <f>HYPERLINK("http://legacy.baseballprospectus.com/fantasy/dc/index.php?tm=MIN","MIN")</f>
        <v>MIN</v>
      </c>
      <c r="K567" t="s">
        <v>95</v>
      </c>
      <c r="L567" t="s">
        <v>34</v>
      </c>
      <c r="M567">
        <v>35</v>
      </c>
      <c r="N567">
        <v>1.2</v>
      </c>
      <c r="O567">
        <v>1.3</v>
      </c>
      <c r="P567">
        <v>0</v>
      </c>
      <c r="Q567">
        <v>0</v>
      </c>
      <c r="R567">
        <v>0</v>
      </c>
      <c r="S567">
        <v>1</v>
      </c>
      <c r="T567">
        <v>25</v>
      </c>
      <c r="U567">
        <v>0</v>
      </c>
      <c r="V567" s="9">
        <v>26.666699999999999</v>
      </c>
      <c r="W567">
        <v>120</v>
      </c>
      <c r="X567">
        <v>27</v>
      </c>
      <c r="Y567">
        <v>4</v>
      </c>
      <c r="Z567">
        <v>14</v>
      </c>
      <c r="AA567">
        <v>2</v>
      </c>
      <c r="AB567">
        <v>2</v>
      </c>
      <c r="AC567">
        <v>22</v>
      </c>
      <c r="AD567">
        <v>4.7</v>
      </c>
      <c r="AE567">
        <v>7.6</v>
      </c>
      <c r="AF567" s="5">
        <v>0.52600000000000002</v>
      </c>
      <c r="AG567">
        <v>0.29599999999999999</v>
      </c>
      <c r="AH567">
        <v>1.55</v>
      </c>
      <c r="AI567">
        <v>5.32</v>
      </c>
      <c r="AJ567">
        <v>5.25</v>
      </c>
      <c r="AK567">
        <v>0</v>
      </c>
      <c r="AL567">
        <v>0</v>
      </c>
      <c r="AM567">
        <v>22</v>
      </c>
      <c r="AN567">
        <v>36</v>
      </c>
      <c r="AO567">
        <v>24</v>
      </c>
      <c r="AP567">
        <v>14</v>
      </c>
      <c r="AQ567" t="s">
        <v>2981</v>
      </c>
      <c r="AR567">
        <v>76</v>
      </c>
      <c r="AS567" t="s">
        <v>35</v>
      </c>
      <c r="AT567" t="s">
        <v>36</v>
      </c>
      <c r="AU567" s="4">
        <f>HYPERLINK("http://mlb.mlb.com/team/player.jsp?player_id=435043",435043)</f>
        <v>435043</v>
      </c>
      <c r="AV567">
        <v>322</v>
      </c>
      <c r="AW567">
        <v>1322</v>
      </c>
      <c r="AX567">
        <v>18.3</v>
      </c>
    </row>
    <row r="568" spans="1:50" x14ac:dyDescent="0.3">
      <c r="A568" s="4">
        <f>HYPERLINK("http://legacy.baseballprospectus.com/p/45578",45578)</f>
        <v>45578</v>
      </c>
      <c r="B568" t="s">
        <v>616</v>
      </c>
      <c r="C568" t="s">
        <v>937</v>
      </c>
      <c r="D568" s="10">
        <v>30739</v>
      </c>
      <c r="E568" t="s">
        <v>33</v>
      </c>
      <c r="F568" t="s">
        <v>33</v>
      </c>
      <c r="G568">
        <v>72</v>
      </c>
      <c r="H568">
        <v>205</v>
      </c>
      <c r="I568">
        <v>2018</v>
      </c>
      <c r="J568" s="4" t="str">
        <f>HYPERLINK("http://legacy.baseballprospectus.com/fantasy/dc/index.php?tm=ATL","ATL")</f>
        <v>ATL</v>
      </c>
      <c r="K568" t="s">
        <v>100</v>
      </c>
      <c r="L568" t="s">
        <v>34</v>
      </c>
      <c r="M568">
        <v>34</v>
      </c>
      <c r="N568">
        <v>1.3</v>
      </c>
      <c r="O568">
        <v>1.9</v>
      </c>
      <c r="P568">
        <v>2</v>
      </c>
      <c r="Q568">
        <v>0</v>
      </c>
      <c r="R568">
        <v>0</v>
      </c>
      <c r="S568">
        <v>0</v>
      </c>
      <c r="T568">
        <v>5</v>
      </c>
      <c r="U568">
        <v>5</v>
      </c>
      <c r="V568" s="9">
        <v>25</v>
      </c>
      <c r="W568">
        <v>110</v>
      </c>
      <c r="X568">
        <v>27</v>
      </c>
      <c r="Y568">
        <v>5</v>
      </c>
      <c r="Z568">
        <v>9</v>
      </c>
      <c r="AA568">
        <v>0</v>
      </c>
      <c r="AB568">
        <v>1</v>
      </c>
      <c r="AC568">
        <v>23</v>
      </c>
      <c r="AD568">
        <v>3.1</v>
      </c>
      <c r="AE568">
        <v>8.1999999999999993</v>
      </c>
      <c r="AF568" s="5">
        <v>0.40400000000000003</v>
      </c>
      <c r="AG568">
        <v>0.29699999999999999</v>
      </c>
      <c r="AH568">
        <v>1.42</v>
      </c>
      <c r="AI568">
        <v>4.83</v>
      </c>
      <c r="AJ568">
        <v>5.38</v>
      </c>
      <c r="AK568">
        <v>-0.3</v>
      </c>
      <c r="AL568">
        <v>0</v>
      </c>
      <c r="AM568">
        <v>14</v>
      </c>
      <c r="AN568">
        <v>37</v>
      </c>
      <c r="AO568">
        <v>21</v>
      </c>
      <c r="AP568">
        <v>6</v>
      </c>
      <c r="AQ568" t="s">
        <v>2722</v>
      </c>
      <c r="AR568">
        <v>91</v>
      </c>
      <c r="AS568" t="s">
        <v>35</v>
      </c>
      <c r="AT568" t="s">
        <v>36</v>
      </c>
      <c r="AU568" s="4">
        <f>HYPERLINK("http://mlb.mlb.com/team/player.jsp?player_id=434671",434671)</f>
        <v>434671</v>
      </c>
      <c r="AV568">
        <v>0</v>
      </c>
      <c r="AW568">
        <v>0</v>
      </c>
      <c r="AX568">
        <v>105.3</v>
      </c>
    </row>
    <row r="569" spans="1:50" x14ac:dyDescent="0.3">
      <c r="A569" s="4">
        <f>HYPERLINK("http://legacy.baseballprospectus.com/p/45951",45951)</f>
        <v>45951</v>
      </c>
      <c r="B569" t="s">
        <v>784</v>
      </c>
      <c r="C569" t="s">
        <v>173</v>
      </c>
      <c r="D569" s="10">
        <v>30369</v>
      </c>
      <c r="E569" t="s">
        <v>9</v>
      </c>
      <c r="F569" t="s">
        <v>9</v>
      </c>
      <c r="G569">
        <v>72</v>
      </c>
      <c r="H569">
        <v>200</v>
      </c>
      <c r="I569">
        <v>2018</v>
      </c>
      <c r="J569" s="4" t="str">
        <f>HYPERLINK("http://legacy.baseballprospectus.com/fantasy/dc/index.php?tm=CHN","CHN")</f>
        <v>CHN</v>
      </c>
      <c r="K569" t="s">
        <v>100</v>
      </c>
      <c r="L569" t="s">
        <v>34</v>
      </c>
      <c r="M569">
        <v>35</v>
      </c>
      <c r="N569">
        <v>1.8</v>
      </c>
      <c r="O569">
        <v>1.8</v>
      </c>
      <c r="P569">
        <v>0</v>
      </c>
      <c r="Q569">
        <v>0</v>
      </c>
      <c r="R569">
        <v>0</v>
      </c>
      <c r="S569">
        <v>1</v>
      </c>
      <c r="T569">
        <v>34</v>
      </c>
      <c r="U569">
        <v>0</v>
      </c>
      <c r="V569" s="9">
        <v>36</v>
      </c>
      <c r="W569">
        <v>160</v>
      </c>
      <c r="X569">
        <v>37</v>
      </c>
      <c r="Y569">
        <v>5</v>
      </c>
      <c r="Z569">
        <v>16</v>
      </c>
      <c r="AA569">
        <v>2</v>
      </c>
      <c r="AB569">
        <v>2</v>
      </c>
      <c r="AC569">
        <v>29</v>
      </c>
      <c r="AD569">
        <v>4.0999999999999996</v>
      </c>
      <c r="AE569">
        <v>7.3</v>
      </c>
      <c r="AF569" s="5">
        <v>0.46700000000000003</v>
      </c>
      <c r="AG569">
        <v>0.29899999999999999</v>
      </c>
      <c r="AH569">
        <v>1.5</v>
      </c>
      <c r="AI569">
        <v>4.95</v>
      </c>
      <c r="AJ569">
        <v>4.8899999999999997</v>
      </c>
      <c r="AK569">
        <v>0.4</v>
      </c>
      <c r="AL569">
        <v>0</v>
      </c>
      <c r="AM569">
        <v>24</v>
      </c>
      <c r="AN569">
        <v>43</v>
      </c>
      <c r="AO569">
        <v>18</v>
      </c>
      <c r="AP569">
        <v>11</v>
      </c>
      <c r="AQ569" t="s">
        <v>4941</v>
      </c>
      <c r="AR569">
        <v>72</v>
      </c>
      <c r="AS569" t="s">
        <v>35</v>
      </c>
      <c r="AT569" t="s">
        <v>36</v>
      </c>
      <c r="AU569" s="4">
        <f>HYPERLINK("http://mlb.mlb.com/team/player.jsp?player_id=488846",488846)</f>
        <v>488846</v>
      </c>
      <c r="AV569">
        <v>1259</v>
      </c>
      <c r="AW569">
        <v>259</v>
      </c>
      <c r="AX569">
        <v>62.3</v>
      </c>
    </row>
    <row r="570" spans="1:50" x14ac:dyDescent="0.3">
      <c r="A570" s="4">
        <f>HYPERLINK("http://legacy.baseballprospectus.com/p/46755",46755)</f>
        <v>46755</v>
      </c>
      <c r="B570" t="s">
        <v>2203</v>
      </c>
      <c r="C570" t="s">
        <v>261</v>
      </c>
      <c r="D570" s="10">
        <v>30750</v>
      </c>
      <c r="E570" t="s">
        <v>33</v>
      </c>
      <c r="F570" t="s">
        <v>33</v>
      </c>
      <c r="G570">
        <v>76</v>
      </c>
      <c r="H570">
        <v>230</v>
      </c>
      <c r="I570">
        <v>2018</v>
      </c>
      <c r="J570" s="4" t="str">
        <f>HYPERLINK("http://legacy.baseballprospectus.com/fantasy/dc/index.php?tm=SDN","SDN")</f>
        <v>SDN</v>
      </c>
      <c r="K570" t="s">
        <v>100</v>
      </c>
      <c r="L570" t="s">
        <v>34</v>
      </c>
      <c r="M570">
        <v>34</v>
      </c>
      <c r="N570">
        <v>2.7</v>
      </c>
      <c r="O570">
        <v>2.7</v>
      </c>
      <c r="P570">
        <v>0</v>
      </c>
      <c r="Q570">
        <v>0</v>
      </c>
      <c r="R570">
        <v>2</v>
      </c>
      <c r="S570">
        <v>4</v>
      </c>
      <c r="T570">
        <v>54</v>
      </c>
      <c r="U570">
        <v>0</v>
      </c>
      <c r="V570" s="9">
        <v>56.666699999999999</v>
      </c>
      <c r="W570">
        <v>250</v>
      </c>
      <c r="X570">
        <v>56</v>
      </c>
      <c r="Y570">
        <v>7</v>
      </c>
      <c r="Z570">
        <v>27</v>
      </c>
      <c r="AA570">
        <v>2</v>
      </c>
      <c r="AB570">
        <v>2</v>
      </c>
      <c r="AC570">
        <v>49</v>
      </c>
      <c r="AD570">
        <v>4.2</v>
      </c>
      <c r="AE570">
        <v>7.7</v>
      </c>
      <c r="AF570" s="5">
        <v>0.49399999999999999</v>
      </c>
      <c r="AG570">
        <v>0.29699999999999999</v>
      </c>
      <c r="AH570">
        <v>1.46</v>
      </c>
      <c r="AI570">
        <v>4.79</v>
      </c>
      <c r="AJ570">
        <v>5.04</v>
      </c>
      <c r="AK570">
        <v>-0.2</v>
      </c>
      <c r="AL570">
        <v>0</v>
      </c>
      <c r="AM570">
        <v>19</v>
      </c>
      <c r="AN570">
        <v>31</v>
      </c>
      <c r="AO570">
        <v>29</v>
      </c>
      <c r="AP570">
        <v>7</v>
      </c>
      <c r="AQ570" t="s">
        <v>3322</v>
      </c>
      <c r="AR570">
        <v>77</v>
      </c>
      <c r="AS570" t="s">
        <v>35</v>
      </c>
      <c r="AT570" t="s">
        <v>36</v>
      </c>
      <c r="AU570" s="4">
        <f>HYPERLINK("http://mlb.mlb.com/team/player.jsp?player_id=489334",489334)</f>
        <v>489334</v>
      </c>
      <c r="AV570">
        <v>1234</v>
      </c>
      <c r="AW570">
        <v>234</v>
      </c>
      <c r="AX570">
        <v>80.3</v>
      </c>
    </row>
    <row r="571" spans="1:50" x14ac:dyDescent="0.3">
      <c r="A571" s="4">
        <f>HYPERLINK("http://legacy.baseballprospectus.com/p/47658",47658)</f>
        <v>47658</v>
      </c>
      <c r="B571" t="s">
        <v>789</v>
      </c>
      <c r="C571" t="s">
        <v>625</v>
      </c>
      <c r="D571" s="10">
        <v>30502</v>
      </c>
      <c r="E571" t="s">
        <v>33</v>
      </c>
      <c r="F571" t="s">
        <v>33</v>
      </c>
      <c r="G571">
        <v>72</v>
      </c>
      <c r="H571">
        <v>180</v>
      </c>
      <c r="I571">
        <v>2018</v>
      </c>
      <c r="J571" s="4" t="str">
        <f>HYPERLINK("http://legacy.baseballprospectus.com/fantasy/dc/index.php?tm=TOR","TOR")</f>
        <v>TOR</v>
      </c>
      <c r="K571" t="s">
        <v>95</v>
      </c>
      <c r="L571" t="s">
        <v>34</v>
      </c>
      <c r="M571">
        <v>34</v>
      </c>
      <c r="N571">
        <v>9.3000000000000007</v>
      </c>
      <c r="O571">
        <v>10.6</v>
      </c>
      <c r="P571">
        <v>10</v>
      </c>
      <c r="Q571">
        <v>0</v>
      </c>
      <c r="R571">
        <v>0</v>
      </c>
      <c r="S571">
        <v>0</v>
      </c>
      <c r="T571">
        <v>27</v>
      </c>
      <c r="U571">
        <v>27</v>
      </c>
      <c r="V571" s="9">
        <v>162</v>
      </c>
      <c r="W571">
        <v>706</v>
      </c>
      <c r="X571">
        <v>161</v>
      </c>
      <c r="Y571">
        <v>29</v>
      </c>
      <c r="Z571">
        <v>66</v>
      </c>
      <c r="AA571">
        <v>2</v>
      </c>
      <c r="AB571">
        <v>6</v>
      </c>
      <c r="AC571">
        <v>130</v>
      </c>
      <c r="AD571">
        <v>3.6</v>
      </c>
      <c r="AE571">
        <v>7.2</v>
      </c>
      <c r="AF571" s="5">
        <v>0.35699999999999998</v>
      </c>
      <c r="AG571">
        <v>0.27800000000000002</v>
      </c>
      <c r="AH571">
        <v>1.38</v>
      </c>
      <c r="AI571">
        <v>5.09</v>
      </c>
      <c r="AJ571">
        <v>5.54</v>
      </c>
      <c r="AK571">
        <v>-0.1</v>
      </c>
      <c r="AL571">
        <v>0</v>
      </c>
      <c r="AM571">
        <v>11</v>
      </c>
      <c r="AN571">
        <v>40</v>
      </c>
      <c r="AO571">
        <v>26</v>
      </c>
      <c r="AP571">
        <v>14</v>
      </c>
      <c r="AQ571" t="s">
        <v>2833</v>
      </c>
      <c r="AR571">
        <v>89</v>
      </c>
      <c r="AS571" t="s">
        <v>35</v>
      </c>
      <c r="AT571" t="s">
        <v>36</v>
      </c>
      <c r="AU571" s="4">
        <f>HYPERLINK("http://mlb.mlb.com/team/player.jsp?player_id=462136",462136)</f>
        <v>462136</v>
      </c>
      <c r="AV571">
        <v>13</v>
      </c>
      <c r="AW571">
        <v>1013</v>
      </c>
      <c r="AX571">
        <v>186</v>
      </c>
    </row>
    <row r="572" spans="1:50" x14ac:dyDescent="0.3">
      <c r="A572" s="4">
        <f>HYPERLINK("http://legacy.baseballprospectus.com/p/49218",49218)</f>
        <v>49218</v>
      </c>
      <c r="B572" t="s">
        <v>989</v>
      </c>
      <c r="C572" t="s">
        <v>285</v>
      </c>
      <c r="D572" s="10">
        <v>29138</v>
      </c>
      <c r="E572" t="s">
        <v>33</v>
      </c>
      <c r="F572" t="s">
        <v>33</v>
      </c>
      <c r="G572">
        <v>76</v>
      </c>
      <c r="H572">
        <v>220</v>
      </c>
      <c r="I572">
        <v>2018</v>
      </c>
      <c r="J572" s="4" t="str">
        <f>HYPERLINK("http://legacy.baseballprospectus.com/fantasy/dc/index.php?tm=MIA","MIA")</f>
        <v>MIA</v>
      </c>
      <c r="K572" t="s">
        <v>100</v>
      </c>
      <c r="L572" t="s">
        <v>34</v>
      </c>
      <c r="M572">
        <v>38</v>
      </c>
      <c r="N572">
        <v>2.5</v>
      </c>
      <c r="O572">
        <v>3.1</v>
      </c>
      <c r="P572">
        <v>0</v>
      </c>
      <c r="Q572">
        <v>0</v>
      </c>
      <c r="R572">
        <v>30</v>
      </c>
      <c r="S572">
        <v>5</v>
      </c>
      <c r="T572">
        <v>56</v>
      </c>
      <c r="U572">
        <v>0</v>
      </c>
      <c r="V572" s="9">
        <v>59.666699999999999</v>
      </c>
      <c r="W572">
        <v>268</v>
      </c>
      <c r="X572">
        <v>61</v>
      </c>
      <c r="Y572">
        <v>5</v>
      </c>
      <c r="Z572">
        <v>30</v>
      </c>
      <c r="AA572">
        <v>5</v>
      </c>
      <c r="AB572">
        <v>4</v>
      </c>
      <c r="AC572">
        <v>36</v>
      </c>
      <c r="AD572">
        <v>4.5999999999999996</v>
      </c>
      <c r="AE572">
        <v>5.4</v>
      </c>
      <c r="AF572" s="5">
        <v>0.59599999999999997</v>
      </c>
      <c r="AG572">
        <v>0.29199999999999998</v>
      </c>
      <c r="AH572">
        <v>1.53</v>
      </c>
      <c r="AI572">
        <v>5.05</v>
      </c>
      <c r="AJ572">
        <v>5.0599999999999996</v>
      </c>
      <c r="AK572">
        <v>-0.4</v>
      </c>
      <c r="AL572">
        <v>0</v>
      </c>
      <c r="AM572">
        <v>25</v>
      </c>
      <c r="AN572">
        <v>37</v>
      </c>
      <c r="AO572">
        <v>23</v>
      </c>
      <c r="AP572">
        <v>5</v>
      </c>
      <c r="AQ572" t="s">
        <v>3141</v>
      </c>
      <c r="AR572">
        <v>87</v>
      </c>
      <c r="AS572" t="s">
        <v>35</v>
      </c>
      <c r="AT572" t="s">
        <v>36</v>
      </c>
      <c r="AU572" s="4">
        <f>HYPERLINK("http://mlb.mlb.com/team/player.jsp?player_id=446899",446899)</f>
        <v>446899</v>
      </c>
      <c r="AV572">
        <v>1702</v>
      </c>
      <c r="AW572">
        <v>702</v>
      </c>
      <c r="AX572">
        <v>47</v>
      </c>
    </row>
    <row r="573" spans="1:50" x14ac:dyDescent="0.3">
      <c r="A573" s="4">
        <f>HYPERLINK("http://legacy.baseballprospectus.com/p/49614",49614)</f>
        <v>49614</v>
      </c>
      <c r="B573" t="s">
        <v>1607</v>
      </c>
      <c r="C573" t="s">
        <v>192</v>
      </c>
      <c r="D573" s="10">
        <v>28826</v>
      </c>
      <c r="E573" t="s">
        <v>33</v>
      </c>
      <c r="F573" t="s">
        <v>33</v>
      </c>
      <c r="G573">
        <v>74</v>
      </c>
      <c r="H573">
        <v>225</v>
      </c>
      <c r="I573">
        <v>2018</v>
      </c>
      <c r="J573" s="4" t="str">
        <f>HYPERLINK("http://legacy.baseballprospectus.com/fantasy/dc/index.php?tm=ATL","ATL")</f>
        <v>ATL</v>
      </c>
      <c r="K573" t="s">
        <v>100</v>
      </c>
      <c r="L573" t="s">
        <v>34</v>
      </c>
      <c r="M573">
        <v>39</v>
      </c>
      <c r="N573">
        <v>2.4</v>
      </c>
      <c r="O573">
        <v>2.2999999999999998</v>
      </c>
      <c r="P573">
        <v>0</v>
      </c>
      <c r="Q573">
        <v>0</v>
      </c>
      <c r="R573">
        <v>0</v>
      </c>
      <c r="S573">
        <v>0</v>
      </c>
      <c r="T573">
        <v>47</v>
      </c>
      <c r="U573">
        <v>0</v>
      </c>
      <c r="V573" s="9">
        <v>49.333300000000001</v>
      </c>
      <c r="W573">
        <v>220</v>
      </c>
      <c r="X573">
        <v>49</v>
      </c>
      <c r="Y573">
        <v>5</v>
      </c>
      <c r="Z573">
        <v>23</v>
      </c>
      <c r="AA573">
        <v>2</v>
      </c>
      <c r="AB573">
        <v>4</v>
      </c>
      <c r="AC573">
        <v>36</v>
      </c>
      <c r="AD573">
        <v>4.3</v>
      </c>
      <c r="AE573">
        <v>6.5</v>
      </c>
      <c r="AF573" s="5">
        <v>0.54800000000000004</v>
      </c>
      <c r="AG573">
        <v>0.29199999999999998</v>
      </c>
      <c r="AH573">
        <v>1.47</v>
      </c>
      <c r="AI573">
        <v>4.7</v>
      </c>
      <c r="AJ573">
        <v>4.97</v>
      </c>
      <c r="AK573">
        <v>0.1</v>
      </c>
      <c r="AL573">
        <v>0</v>
      </c>
      <c r="AM573">
        <v>17</v>
      </c>
      <c r="AN573">
        <v>39</v>
      </c>
      <c r="AO573">
        <v>18</v>
      </c>
      <c r="AP573">
        <v>12</v>
      </c>
      <c r="AQ573" t="s">
        <v>2863</v>
      </c>
      <c r="AR573">
        <v>76</v>
      </c>
      <c r="AS573" t="s">
        <v>35</v>
      </c>
      <c r="AT573" t="s">
        <v>36</v>
      </c>
      <c r="AU573" s="4">
        <f>HYPERLINK("http://mlb.mlb.com/team/player.jsp?player_id=493247",493247)</f>
        <v>493247</v>
      </c>
      <c r="AV573">
        <v>0</v>
      </c>
      <c r="AW573">
        <v>0</v>
      </c>
      <c r="AX573">
        <v>59.3</v>
      </c>
    </row>
    <row r="574" spans="1:50" x14ac:dyDescent="0.3">
      <c r="A574" s="4">
        <f>HYPERLINK("http://legacy.baseballprospectus.com/p/50104",50104)</f>
        <v>50104</v>
      </c>
      <c r="B574" t="s">
        <v>1608</v>
      </c>
      <c r="C574" t="s">
        <v>150</v>
      </c>
      <c r="D574" s="10">
        <v>32163</v>
      </c>
      <c r="E574" t="s">
        <v>33</v>
      </c>
      <c r="F574" t="s">
        <v>33</v>
      </c>
      <c r="G574">
        <v>76</v>
      </c>
      <c r="H574">
        <v>215</v>
      </c>
      <c r="I574">
        <v>2018</v>
      </c>
      <c r="J574" s="4" t="str">
        <f>HYPERLINK("http://legacy.baseballprospectus.com/fantasy/dc/index.php?tm=ATL","ATL")</f>
        <v>ATL</v>
      </c>
      <c r="K574" t="s">
        <v>100</v>
      </c>
      <c r="L574" t="s">
        <v>34</v>
      </c>
      <c r="M574">
        <v>30</v>
      </c>
      <c r="N574">
        <v>0.3</v>
      </c>
      <c r="O574">
        <v>0.3</v>
      </c>
      <c r="P574">
        <v>0</v>
      </c>
      <c r="Q574">
        <v>0</v>
      </c>
      <c r="R574">
        <v>0</v>
      </c>
      <c r="S574">
        <v>0</v>
      </c>
      <c r="T574">
        <v>5</v>
      </c>
      <c r="U574">
        <v>0</v>
      </c>
      <c r="V574" s="9">
        <v>5.6666999999999996</v>
      </c>
      <c r="W574">
        <v>24</v>
      </c>
      <c r="X574">
        <v>5</v>
      </c>
      <c r="Y574">
        <v>1</v>
      </c>
      <c r="Z574">
        <v>3</v>
      </c>
      <c r="AA574">
        <v>0</v>
      </c>
      <c r="AB574">
        <v>0</v>
      </c>
      <c r="AC574">
        <v>7</v>
      </c>
      <c r="AD574">
        <v>4.3</v>
      </c>
      <c r="AE574">
        <v>11</v>
      </c>
      <c r="AF574" s="5">
        <v>0.43099999999999999</v>
      </c>
      <c r="AG574">
        <v>0.29699999999999999</v>
      </c>
      <c r="AH574">
        <v>1.38</v>
      </c>
      <c r="AI574">
        <v>4.08</v>
      </c>
      <c r="AJ574">
        <v>4.47</v>
      </c>
      <c r="AK574">
        <v>0.3</v>
      </c>
      <c r="AL574">
        <v>0</v>
      </c>
      <c r="AM574">
        <v>13</v>
      </c>
      <c r="AN574">
        <v>23</v>
      </c>
      <c r="AO574">
        <v>14</v>
      </c>
      <c r="AP574">
        <v>19</v>
      </c>
      <c r="AQ574" t="s">
        <v>3240</v>
      </c>
      <c r="AR574">
        <v>42</v>
      </c>
      <c r="AS574" t="s">
        <v>35</v>
      </c>
      <c r="AT574" t="s">
        <v>35</v>
      </c>
      <c r="AU574" s="4">
        <f>HYPERLINK("http://mlb.mlb.com/team/player.jsp?player_id=502051",502051)</f>
        <v>502051</v>
      </c>
      <c r="AV574">
        <v>1331</v>
      </c>
      <c r="AW574">
        <v>331</v>
      </c>
      <c r="AX574">
        <v>16.7</v>
      </c>
    </row>
    <row r="575" spans="1:50" x14ac:dyDescent="0.3">
      <c r="A575" s="4">
        <f>HYPERLINK("http://legacy.baseballprospectus.com/p/51354",51354)</f>
        <v>51354</v>
      </c>
      <c r="B575" t="s">
        <v>1799</v>
      </c>
      <c r="C575" t="s">
        <v>1800</v>
      </c>
      <c r="D575" s="10">
        <v>30147</v>
      </c>
      <c r="E575" t="s">
        <v>33</v>
      </c>
      <c r="F575" t="s">
        <v>33</v>
      </c>
      <c r="G575">
        <v>70</v>
      </c>
      <c r="H575">
        <v>205</v>
      </c>
      <c r="I575">
        <v>2018</v>
      </c>
      <c r="J575" s="4" t="str">
        <f>HYPERLINK("http://legacy.baseballprospectus.com/fantasy/dc/index.php?tm=TOR","TOR")</f>
        <v>TOR</v>
      </c>
      <c r="K575" t="s">
        <v>95</v>
      </c>
      <c r="L575" t="s">
        <v>34</v>
      </c>
      <c r="M575">
        <v>35</v>
      </c>
      <c r="N575">
        <v>2.5</v>
      </c>
      <c r="O575">
        <v>3</v>
      </c>
      <c r="P575">
        <v>0</v>
      </c>
      <c r="Q575">
        <v>0</v>
      </c>
      <c r="R575">
        <v>2</v>
      </c>
      <c r="S575">
        <v>4</v>
      </c>
      <c r="T575">
        <v>54</v>
      </c>
      <c r="U575">
        <v>0</v>
      </c>
      <c r="V575" s="9">
        <v>57.333300000000001</v>
      </c>
      <c r="W575">
        <v>255</v>
      </c>
      <c r="X575">
        <v>59</v>
      </c>
      <c r="Y575">
        <v>10</v>
      </c>
      <c r="Z575">
        <v>24</v>
      </c>
      <c r="AA575">
        <v>4</v>
      </c>
      <c r="AB575">
        <v>3</v>
      </c>
      <c r="AC575">
        <v>52</v>
      </c>
      <c r="AD575">
        <v>3.9</v>
      </c>
      <c r="AE575">
        <v>8.1999999999999993</v>
      </c>
      <c r="AF575" s="5">
        <v>0.379</v>
      </c>
      <c r="AG575">
        <v>0.29699999999999999</v>
      </c>
      <c r="AH575">
        <v>1.47</v>
      </c>
      <c r="AI575">
        <v>5.2</v>
      </c>
      <c r="AJ575">
        <v>5.26</v>
      </c>
      <c r="AK575">
        <v>-0.1</v>
      </c>
      <c r="AL575">
        <v>0</v>
      </c>
      <c r="AM575">
        <v>23</v>
      </c>
      <c r="AN575">
        <v>42</v>
      </c>
      <c r="AO575">
        <v>29</v>
      </c>
      <c r="AP575">
        <v>14</v>
      </c>
      <c r="AQ575" t="s">
        <v>2866</v>
      </c>
      <c r="AR575">
        <v>90</v>
      </c>
      <c r="AS575" t="s">
        <v>35</v>
      </c>
      <c r="AT575" t="s">
        <v>36</v>
      </c>
      <c r="AU575" s="4">
        <f>HYPERLINK("http://mlb.mlb.com/team/player.jsp?player_id=493200",493200)</f>
        <v>493200</v>
      </c>
      <c r="AV575">
        <v>0</v>
      </c>
      <c r="AW575">
        <v>0</v>
      </c>
      <c r="AX575">
        <v>59.3</v>
      </c>
    </row>
    <row r="576" spans="1:50" x14ac:dyDescent="0.3">
      <c r="A576" s="4">
        <f>HYPERLINK("http://legacy.baseballprospectus.com/p/57286",57286)</f>
        <v>57286</v>
      </c>
      <c r="B576" t="s">
        <v>124</v>
      </c>
      <c r="C576" t="s">
        <v>200</v>
      </c>
      <c r="D576" s="10">
        <v>32174</v>
      </c>
      <c r="E576" t="s">
        <v>9</v>
      </c>
      <c r="F576" t="s">
        <v>9</v>
      </c>
      <c r="G576">
        <v>75</v>
      </c>
      <c r="H576">
        <v>230</v>
      </c>
      <c r="I576">
        <v>2018</v>
      </c>
      <c r="J576" s="4" t="str">
        <f>HYPERLINK("http://legacy.baseballprospectus.com/fantasy/dc/index.php?tm=OAK","OAK")</f>
        <v>OAK</v>
      </c>
      <c r="K576" t="s">
        <v>95</v>
      </c>
      <c r="L576" t="s">
        <v>34</v>
      </c>
      <c r="M576">
        <v>30</v>
      </c>
      <c r="N576">
        <v>1.6</v>
      </c>
      <c r="O576">
        <v>1.9</v>
      </c>
      <c r="P576">
        <v>2</v>
      </c>
      <c r="Q576">
        <v>0</v>
      </c>
      <c r="R576">
        <v>0</v>
      </c>
      <c r="S576">
        <v>0</v>
      </c>
      <c r="T576">
        <v>5</v>
      </c>
      <c r="U576">
        <v>5</v>
      </c>
      <c r="V576" s="9">
        <v>28.666699999999999</v>
      </c>
      <c r="W576">
        <v>129</v>
      </c>
      <c r="X576">
        <v>32</v>
      </c>
      <c r="Y576">
        <v>4</v>
      </c>
      <c r="Z576">
        <v>11</v>
      </c>
      <c r="AA576">
        <v>1</v>
      </c>
      <c r="AB576">
        <v>1</v>
      </c>
      <c r="AC576">
        <v>19</v>
      </c>
      <c r="AD576">
        <v>3.6</v>
      </c>
      <c r="AE576">
        <v>5.9</v>
      </c>
      <c r="AF576" s="5">
        <v>0.52600000000000002</v>
      </c>
      <c r="AG576">
        <v>0.29899999999999999</v>
      </c>
      <c r="AH576">
        <v>1.6</v>
      </c>
      <c r="AI576">
        <v>5.12</v>
      </c>
      <c r="AJ576">
        <v>5.43</v>
      </c>
      <c r="AK576">
        <v>0.3</v>
      </c>
      <c r="AL576">
        <v>0</v>
      </c>
      <c r="AM576">
        <v>20</v>
      </c>
      <c r="AN576">
        <v>49</v>
      </c>
      <c r="AO576">
        <v>12</v>
      </c>
      <c r="AP576">
        <v>17</v>
      </c>
      <c r="AQ576" t="s">
        <v>2729</v>
      </c>
      <c r="AR576">
        <v>81</v>
      </c>
      <c r="AS576" t="s">
        <v>35</v>
      </c>
      <c r="AT576" t="s">
        <v>36</v>
      </c>
      <c r="AU576" s="4">
        <f>HYPERLINK("http://mlb.mlb.com/team/player.jsp?player_id=474463",474463)</f>
        <v>474463</v>
      </c>
      <c r="AV576">
        <v>0</v>
      </c>
      <c r="AW576">
        <v>0</v>
      </c>
      <c r="AX576">
        <v>55.3</v>
      </c>
    </row>
    <row r="577" spans="1:50" x14ac:dyDescent="0.3">
      <c r="A577" s="4">
        <f>HYPERLINK("http://legacy.baseballprospectus.com/p/57985",57985)</f>
        <v>57985</v>
      </c>
      <c r="B577" t="s">
        <v>838</v>
      </c>
      <c r="C577" t="s">
        <v>408</v>
      </c>
      <c r="D577" s="10">
        <v>32002</v>
      </c>
      <c r="E577" t="s">
        <v>33</v>
      </c>
      <c r="F577" t="s">
        <v>33</v>
      </c>
      <c r="G577">
        <v>75</v>
      </c>
      <c r="H577">
        <v>240</v>
      </c>
      <c r="I577">
        <v>2018</v>
      </c>
      <c r="J577" s="4" t="str">
        <f>HYPERLINK("http://legacy.baseballprospectus.com/fantasy/dc/index.php?tm=MIL","MIL")</f>
        <v>MIL</v>
      </c>
      <c r="K577" t="s">
        <v>100</v>
      </c>
      <c r="L577" t="s">
        <v>34</v>
      </c>
      <c r="M577">
        <v>30</v>
      </c>
      <c r="N577">
        <v>1.3</v>
      </c>
      <c r="O577">
        <v>1.2</v>
      </c>
      <c r="P577">
        <v>0</v>
      </c>
      <c r="Q577">
        <v>0</v>
      </c>
      <c r="R577">
        <v>0</v>
      </c>
      <c r="S577">
        <v>1</v>
      </c>
      <c r="T577">
        <v>25</v>
      </c>
      <c r="U577">
        <v>0</v>
      </c>
      <c r="V577" s="9">
        <v>26</v>
      </c>
      <c r="W577">
        <v>114</v>
      </c>
      <c r="X577">
        <v>25</v>
      </c>
      <c r="Y577">
        <v>4</v>
      </c>
      <c r="Z577">
        <v>12</v>
      </c>
      <c r="AA577">
        <v>1</v>
      </c>
      <c r="AB577">
        <v>1</v>
      </c>
      <c r="AC577">
        <v>26</v>
      </c>
      <c r="AD577">
        <v>4.3</v>
      </c>
      <c r="AE577">
        <v>9.1</v>
      </c>
      <c r="AF577" s="5">
        <v>0.40100000000000002</v>
      </c>
      <c r="AG577">
        <v>0.29399999999999998</v>
      </c>
      <c r="AH577">
        <v>1.42</v>
      </c>
      <c r="AI577">
        <v>4.76</v>
      </c>
      <c r="AJ577">
        <v>4.8600000000000003</v>
      </c>
      <c r="AK577">
        <v>0.4</v>
      </c>
      <c r="AL577">
        <v>0</v>
      </c>
      <c r="AM577">
        <v>14</v>
      </c>
      <c r="AN577">
        <v>53</v>
      </c>
      <c r="AO577">
        <v>14</v>
      </c>
      <c r="AP577">
        <v>10</v>
      </c>
      <c r="AQ577" t="s">
        <v>3143</v>
      </c>
      <c r="AR577">
        <v>88</v>
      </c>
      <c r="AS577" t="s">
        <v>35</v>
      </c>
      <c r="AT577" t="s">
        <v>36</v>
      </c>
      <c r="AU577" s="4">
        <f>HYPERLINK("http://mlb.mlb.com/team/player.jsp?player_id=543331",543331)</f>
        <v>543331</v>
      </c>
      <c r="AV577">
        <v>0</v>
      </c>
      <c r="AW577">
        <v>0</v>
      </c>
      <c r="AX577">
        <v>41.3</v>
      </c>
    </row>
    <row r="578" spans="1:50" x14ac:dyDescent="0.3">
      <c r="A578" s="4">
        <f>HYPERLINK("http://legacy.baseballprospectus.com/p/58082",58082)</f>
        <v>58082</v>
      </c>
      <c r="B578" t="s">
        <v>2024</v>
      </c>
      <c r="C578" t="s">
        <v>1307</v>
      </c>
      <c r="D578" s="10">
        <v>32272</v>
      </c>
      <c r="E578" t="s">
        <v>9</v>
      </c>
      <c r="F578" t="s">
        <v>9</v>
      </c>
      <c r="G578">
        <v>75</v>
      </c>
      <c r="H578">
        <v>205</v>
      </c>
      <c r="I578">
        <v>2018</v>
      </c>
      <c r="J578" s="4" t="str">
        <f>HYPERLINK("http://legacy.baseballprospectus.com/fantasy/dc/index.php?tm=HOU","HOU")</f>
        <v>HOU</v>
      </c>
      <c r="K578" t="s">
        <v>95</v>
      </c>
      <c r="L578" t="s">
        <v>34</v>
      </c>
      <c r="M578">
        <v>30</v>
      </c>
      <c r="N578">
        <v>0.7</v>
      </c>
      <c r="O578">
        <v>0.7</v>
      </c>
      <c r="P578">
        <v>0</v>
      </c>
      <c r="Q578">
        <v>0</v>
      </c>
      <c r="R578">
        <v>0</v>
      </c>
      <c r="S578">
        <v>0</v>
      </c>
      <c r="T578">
        <v>14</v>
      </c>
      <c r="U578">
        <v>0</v>
      </c>
      <c r="V578" s="9">
        <v>14.666700000000001</v>
      </c>
      <c r="W578">
        <v>64</v>
      </c>
      <c r="X578">
        <v>15</v>
      </c>
      <c r="Y578">
        <v>2</v>
      </c>
      <c r="Z578">
        <v>6</v>
      </c>
      <c r="AA578">
        <v>0</v>
      </c>
      <c r="AB578">
        <v>1</v>
      </c>
      <c r="AC578">
        <v>13</v>
      </c>
      <c r="AD578">
        <v>3.9</v>
      </c>
      <c r="AE578">
        <v>8</v>
      </c>
      <c r="AF578" s="5">
        <v>0.45900000000000002</v>
      </c>
      <c r="AG578">
        <v>0.29499999999999998</v>
      </c>
      <c r="AH578">
        <v>1.44</v>
      </c>
      <c r="AI578">
        <v>4.84</v>
      </c>
      <c r="AJ578">
        <v>5.01</v>
      </c>
      <c r="AK578">
        <v>0.4</v>
      </c>
      <c r="AL578">
        <v>0</v>
      </c>
      <c r="AM578">
        <v>19</v>
      </c>
      <c r="AN578">
        <v>38</v>
      </c>
      <c r="AO578">
        <v>16</v>
      </c>
      <c r="AP578">
        <v>20</v>
      </c>
      <c r="AQ578" t="s">
        <v>2730</v>
      </c>
      <c r="AR578">
        <v>67</v>
      </c>
      <c r="AS578" t="s">
        <v>35</v>
      </c>
      <c r="AT578" t="s">
        <v>36</v>
      </c>
      <c r="AU578" s="4">
        <f>HYPERLINK("http://mlb.mlb.com/team/player.jsp?player_id=542953",542953)</f>
        <v>542953</v>
      </c>
      <c r="AV578">
        <v>0</v>
      </c>
      <c r="AW578">
        <v>0</v>
      </c>
      <c r="AX578">
        <v>35</v>
      </c>
    </row>
    <row r="579" spans="1:50" x14ac:dyDescent="0.3">
      <c r="A579" s="4">
        <f>HYPERLINK("http://legacy.baseballprospectus.com/p/58289",58289)</f>
        <v>58289</v>
      </c>
      <c r="B579" t="s">
        <v>162</v>
      </c>
      <c r="C579" t="s">
        <v>108</v>
      </c>
      <c r="D579" s="10">
        <v>31605</v>
      </c>
      <c r="E579" t="s">
        <v>33</v>
      </c>
      <c r="F579" t="s">
        <v>33</v>
      </c>
      <c r="G579">
        <v>72</v>
      </c>
      <c r="H579">
        <v>185</v>
      </c>
      <c r="I579">
        <v>2018</v>
      </c>
      <c r="J579" s="4" t="str">
        <f>HYPERLINK("http://legacy.baseballprospectus.com/fantasy/dc/index.php?tm=SEA","SEA")</f>
        <v>SEA</v>
      </c>
      <c r="K579" t="s">
        <v>95</v>
      </c>
      <c r="L579" t="s">
        <v>34</v>
      </c>
      <c r="M579">
        <v>31</v>
      </c>
      <c r="N579">
        <v>2.6</v>
      </c>
      <c r="O579">
        <v>2.9</v>
      </c>
      <c r="P579">
        <v>0</v>
      </c>
      <c r="Q579">
        <v>0</v>
      </c>
      <c r="R579">
        <v>5</v>
      </c>
      <c r="S579">
        <v>4</v>
      </c>
      <c r="T579">
        <v>55</v>
      </c>
      <c r="U579">
        <v>0</v>
      </c>
      <c r="V579" s="9">
        <v>58</v>
      </c>
      <c r="W579">
        <v>255</v>
      </c>
      <c r="X579">
        <v>60</v>
      </c>
      <c r="Y579">
        <v>10</v>
      </c>
      <c r="Z579">
        <v>24</v>
      </c>
      <c r="AA579">
        <v>3</v>
      </c>
      <c r="AB579">
        <v>2</v>
      </c>
      <c r="AC579">
        <v>53</v>
      </c>
      <c r="AD579">
        <v>3.7</v>
      </c>
      <c r="AE579">
        <v>8.1999999999999993</v>
      </c>
      <c r="AF579" s="5">
        <v>0.38500000000000001</v>
      </c>
      <c r="AG579">
        <v>0.29599999999999999</v>
      </c>
      <c r="AH579">
        <v>1.43</v>
      </c>
      <c r="AI579">
        <v>5.1100000000000003</v>
      </c>
      <c r="AJ579">
        <v>5.19</v>
      </c>
      <c r="AK579">
        <v>0.3</v>
      </c>
      <c r="AL579">
        <v>0</v>
      </c>
      <c r="AM579">
        <v>35</v>
      </c>
      <c r="AN579">
        <v>50</v>
      </c>
      <c r="AO579">
        <v>20</v>
      </c>
      <c r="AP579">
        <v>11</v>
      </c>
      <c r="AQ579" t="s">
        <v>2624</v>
      </c>
      <c r="AR579">
        <v>88</v>
      </c>
      <c r="AS579" t="s">
        <v>35</v>
      </c>
      <c r="AT579" t="s">
        <v>36</v>
      </c>
      <c r="AU579" s="4">
        <f>HYPERLINK("http://mlb.mlb.com/team/player.jsp?player_id=543883",543883)</f>
        <v>543883</v>
      </c>
      <c r="AV579">
        <v>245</v>
      </c>
      <c r="AW579">
        <v>1245</v>
      </c>
      <c r="AX579">
        <v>64.7</v>
      </c>
    </row>
    <row r="580" spans="1:50" x14ac:dyDescent="0.3">
      <c r="A580" s="4">
        <f>HYPERLINK("http://legacy.baseballprospectus.com/p/58436",58436)</f>
        <v>58436</v>
      </c>
      <c r="B580" t="s">
        <v>1174</v>
      </c>
      <c r="C580" t="s">
        <v>1175</v>
      </c>
      <c r="D580" s="10">
        <v>32667</v>
      </c>
      <c r="E580" t="s">
        <v>9</v>
      </c>
      <c r="F580" t="s">
        <v>9</v>
      </c>
      <c r="G580">
        <v>75</v>
      </c>
      <c r="H580">
        <v>220</v>
      </c>
      <c r="I580">
        <v>2018</v>
      </c>
      <c r="J580" s="4" t="str">
        <f>HYPERLINK("http://legacy.baseballprospectus.com/fantasy/dc/index.php?tm=ARI","ARI")</f>
        <v>ARI</v>
      </c>
      <c r="K580" t="s">
        <v>100</v>
      </c>
      <c r="L580" t="s">
        <v>34</v>
      </c>
      <c r="M580">
        <v>29</v>
      </c>
      <c r="N580">
        <v>2.7</v>
      </c>
      <c r="O580">
        <v>2.5</v>
      </c>
      <c r="P580">
        <v>0</v>
      </c>
      <c r="Q580">
        <v>0</v>
      </c>
      <c r="R580">
        <v>0</v>
      </c>
      <c r="S580">
        <v>0</v>
      </c>
      <c r="T580">
        <v>52</v>
      </c>
      <c r="U580">
        <v>0</v>
      </c>
      <c r="V580" s="9">
        <v>55</v>
      </c>
      <c r="W580">
        <v>248</v>
      </c>
      <c r="X580">
        <v>60</v>
      </c>
      <c r="Y580">
        <v>5</v>
      </c>
      <c r="Z580">
        <v>25</v>
      </c>
      <c r="AA580">
        <v>4</v>
      </c>
      <c r="AB580">
        <v>2</v>
      </c>
      <c r="AC580">
        <v>41</v>
      </c>
      <c r="AD580">
        <v>4.0999999999999996</v>
      </c>
      <c r="AE580">
        <v>6.6</v>
      </c>
      <c r="AF580" s="5">
        <v>0.56999999999999995</v>
      </c>
      <c r="AG580">
        <v>0.31</v>
      </c>
      <c r="AH580">
        <v>1.56</v>
      </c>
      <c r="AI580">
        <v>4.6399999999999997</v>
      </c>
      <c r="AJ580">
        <v>4.9800000000000004</v>
      </c>
      <c r="AK580">
        <v>0.1</v>
      </c>
      <c r="AL580">
        <v>0</v>
      </c>
      <c r="AM580">
        <v>39</v>
      </c>
      <c r="AN580">
        <v>51</v>
      </c>
      <c r="AO580">
        <v>29</v>
      </c>
      <c r="AP580">
        <v>27</v>
      </c>
      <c r="AQ580" t="s">
        <v>2992</v>
      </c>
      <c r="AR580">
        <v>92</v>
      </c>
      <c r="AS580" t="s">
        <v>35</v>
      </c>
      <c r="AT580" t="s">
        <v>36</v>
      </c>
      <c r="AU580" s="4">
        <f>HYPERLINK("http://mlb.mlb.com/team/player.jsp?player_id=519008",519008)</f>
        <v>519008</v>
      </c>
      <c r="AV580">
        <v>1084</v>
      </c>
      <c r="AW580">
        <v>84</v>
      </c>
      <c r="AX580">
        <v>54</v>
      </c>
    </row>
    <row r="581" spans="1:50" x14ac:dyDescent="0.3">
      <c r="A581" s="4">
        <f>HYPERLINK("http://legacy.baseballprospectus.com/p/58715",58715)</f>
        <v>58715</v>
      </c>
      <c r="B581" t="s">
        <v>654</v>
      </c>
      <c r="C581" t="s">
        <v>586</v>
      </c>
      <c r="D581" s="10">
        <v>32789</v>
      </c>
      <c r="E581" t="s">
        <v>33</v>
      </c>
      <c r="F581" t="s">
        <v>33</v>
      </c>
      <c r="G581">
        <v>75</v>
      </c>
      <c r="H581">
        <v>235</v>
      </c>
      <c r="I581">
        <v>2018</v>
      </c>
      <c r="J581" s="4" t="str">
        <f>HYPERLINK("http://legacy.baseballprospectus.com/fantasy/dc/index.php?tm=ARI","ARI")</f>
        <v>ARI</v>
      </c>
      <c r="K581" t="s">
        <v>100</v>
      </c>
      <c r="L581" t="s">
        <v>34</v>
      </c>
      <c r="M581">
        <v>28</v>
      </c>
      <c r="N581">
        <v>0.8</v>
      </c>
      <c r="O581">
        <v>0.7</v>
      </c>
      <c r="P581">
        <v>0</v>
      </c>
      <c r="Q581">
        <v>0</v>
      </c>
      <c r="R581">
        <v>0</v>
      </c>
      <c r="S581">
        <v>0</v>
      </c>
      <c r="T581">
        <v>14</v>
      </c>
      <c r="U581">
        <v>0</v>
      </c>
      <c r="V581" s="9">
        <v>15</v>
      </c>
      <c r="W581">
        <v>65</v>
      </c>
      <c r="X581">
        <v>14</v>
      </c>
      <c r="Y581">
        <v>2</v>
      </c>
      <c r="Z581">
        <v>6</v>
      </c>
      <c r="AA581">
        <v>1</v>
      </c>
      <c r="AB581">
        <v>1</v>
      </c>
      <c r="AC581">
        <v>14</v>
      </c>
      <c r="AD581">
        <v>3.7</v>
      </c>
      <c r="AE581">
        <v>8.4</v>
      </c>
      <c r="AF581" s="5">
        <v>0.44700000000000001</v>
      </c>
      <c r="AG581">
        <v>0.29599999999999999</v>
      </c>
      <c r="AH581">
        <v>1.38</v>
      </c>
      <c r="AI581">
        <v>4.5199999999999996</v>
      </c>
      <c r="AJ581">
        <v>4.88</v>
      </c>
      <c r="AK581">
        <v>0.2</v>
      </c>
      <c r="AL581">
        <v>0</v>
      </c>
      <c r="AM581">
        <v>28</v>
      </c>
      <c r="AN581">
        <v>54</v>
      </c>
      <c r="AO581">
        <v>15</v>
      </c>
      <c r="AP581">
        <v>32</v>
      </c>
      <c r="AQ581" t="s">
        <v>5017</v>
      </c>
      <c r="AR581">
        <v>77</v>
      </c>
      <c r="AS581" t="s">
        <v>35</v>
      </c>
      <c r="AT581" t="s">
        <v>36</v>
      </c>
      <c r="AU581" s="4">
        <f>HYPERLINK("http://mlb.mlb.com/team/player.jsp?player_id=544150",544150)</f>
        <v>544150</v>
      </c>
      <c r="AV581">
        <v>1100</v>
      </c>
      <c r="AW581">
        <v>100</v>
      </c>
      <c r="AX581">
        <v>31.7</v>
      </c>
    </row>
    <row r="582" spans="1:50" x14ac:dyDescent="0.3">
      <c r="A582" s="4">
        <f>HYPERLINK("http://legacy.baseballprospectus.com/p/58768",58768)</f>
        <v>58768</v>
      </c>
      <c r="B582" t="s">
        <v>1459</v>
      </c>
      <c r="C582" t="s">
        <v>859</v>
      </c>
      <c r="D582" s="10">
        <v>31228</v>
      </c>
      <c r="E582" t="s">
        <v>9</v>
      </c>
      <c r="F582" t="s">
        <v>2082</v>
      </c>
      <c r="G582">
        <v>73</v>
      </c>
      <c r="H582">
        <v>185</v>
      </c>
      <c r="I582">
        <v>2018</v>
      </c>
      <c r="J582" s="4" t="str">
        <f>HYPERLINK("http://legacy.baseballprospectus.com/fantasy/dc/index.php?tm=LAN","LAN")</f>
        <v>LAN</v>
      </c>
      <c r="K582" t="s">
        <v>100</v>
      </c>
      <c r="L582" t="s">
        <v>34</v>
      </c>
      <c r="M582">
        <v>33</v>
      </c>
      <c r="N582">
        <v>0.8</v>
      </c>
      <c r="O582">
        <v>0.7</v>
      </c>
      <c r="P582">
        <v>0</v>
      </c>
      <c r="Q582">
        <v>0</v>
      </c>
      <c r="R582">
        <v>0</v>
      </c>
      <c r="S582">
        <v>0</v>
      </c>
      <c r="T582">
        <v>15</v>
      </c>
      <c r="U582">
        <v>0</v>
      </c>
      <c r="V582" s="9">
        <v>15.666700000000001</v>
      </c>
      <c r="W582">
        <v>70</v>
      </c>
      <c r="X582">
        <v>15</v>
      </c>
      <c r="Y582">
        <v>2</v>
      </c>
      <c r="Z582">
        <v>7</v>
      </c>
      <c r="AA582">
        <v>0</v>
      </c>
      <c r="AB582">
        <v>1</v>
      </c>
      <c r="AC582">
        <v>15</v>
      </c>
      <c r="AD582">
        <v>4.2</v>
      </c>
      <c r="AE582">
        <v>8.6</v>
      </c>
      <c r="AF582" s="5">
        <v>0.39300000000000002</v>
      </c>
      <c r="AG582">
        <v>0.29299999999999998</v>
      </c>
      <c r="AH582">
        <v>1.43</v>
      </c>
      <c r="AI582">
        <v>4.96</v>
      </c>
      <c r="AJ582">
        <v>5.21</v>
      </c>
      <c r="AK582">
        <v>-0.4</v>
      </c>
      <c r="AL582">
        <v>0</v>
      </c>
      <c r="AM582">
        <v>10</v>
      </c>
      <c r="AN582">
        <v>13</v>
      </c>
      <c r="AO582">
        <v>6</v>
      </c>
      <c r="AP582">
        <v>12</v>
      </c>
      <c r="AQ582" t="s">
        <v>3144</v>
      </c>
      <c r="AR582">
        <v>22</v>
      </c>
      <c r="AS582" t="s">
        <v>35</v>
      </c>
      <c r="AT582" t="s">
        <v>36</v>
      </c>
      <c r="AU582" s="4">
        <f>HYPERLINK("http://mlb.mlb.com/team/player.jsp?player_id=519381",519381)</f>
        <v>519381</v>
      </c>
      <c r="AV582">
        <v>0</v>
      </c>
      <c r="AW582">
        <v>0</v>
      </c>
      <c r="AX582">
        <v>0</v>
      </c>
    </row>
    <row r="583" spans="1:50" x14ac:dyDescent="0.3">
      <c r="A583" s="4">
        <f>HYPERLINK("http://legacy.baseballprospectus.com/p/59978",59978)</f>
        <v>59978</v>
      </c>
      <c r="B583" t="s">
        <v>101</v>
      </c>
      <c r="C583" t="s">
        <v>136</v>
      </c>
      <c r="D583" s="10">
        <v>31643</v>
      </c>
      <c r="E583" t="s">
        <v>33</v>
      </c>
      <c r="F583" t="s">
        <v>33</v>
      </c>
      <c r="G583">
        <v>71</v>
      </c>
      <c r="H583">
        <v>200</v>
      </c>
      <c r="I583">
        <v>2018</v>
      </c>
      <c r="J583" s="4" t="str">
        <f>HYPERLINK("http://legacy.baseballprospectus.com/fantasy/dc/index.php?tm=WAS","WAS")</f>
        <v>WAS</v>
      </c>
      <c r="K583" t="s">
        <v>100</v>
      </c>
      <c r="L583" t="s">
        <v>34</v>
      </c>
      <c r="M583">
        <v>31</v>
      </c>
      <c r="N583">
        <v>1.3</v>
      </c>
      <c r="O583">
        <v>1.2</v>
      </c>
      <c r="P583">
        <v>0</v>
      </c>
      <c r="Q583">
        <v>0</v>
      </c>
      <c r="R583">
        <v>0</v>
      </c>
      <c r="S583">
        <v>1</v>
      </c>
      <c r="T583">
        <v>25</v>
      </c>
      <c r="U583">
        <v>0</v>
      </c>
      <c r="V583" s="9">
        <v>26</v>
      </c>
      <c r="W583">
        <v>118</v>
      </c>
      <c r="X583">
        <v>28</v>
      </c>
      <c r="Y583">
        <v>4</v>
      </c>
      <c r="Z583">
        <v>12</v>
      </c>
      <c r="AA583">
        <v>1</v>
      </c>
      <c r="AB583">
        <v>1</v>
      </c>
      <c r="AC583">
        <v>20</v>
      </c>
      <c r="AD583">
        <v>4.3</v>
      </c>
      <c r="AE583">
        <v>7</v>
      </c>
      <c r="AF583" s="5">
        <v>0.45100000000000001</v>
      </c>
      <c r="AG583">
        <v>0.30099999999999999</v>
      </c>
      <c r="AH583">
        <v>1.56</v>
      </c>
      <c r="AI583">
        <v>5.17</v>
      </c>
      <c r="AJ583">
        <v>5.2</v>
      </c>
      <c r="AK583">
        <v>0.1</v>
      </c>
      <c r="AL583">
        <v>0</v>
      </c>
      <c r="AM583">
        <v>5</v>
      </c>
      <c r="AN583">
        <v>15</v>
      </c>
      <c r="AO583">
        <v>8</v>
      </c>
      <c r="AP583">
        <v>8</v>
      </c>
      <c r="AQ583" t="s">
        <v>3242</v>
      </c>
      <c r="AR583">
        <v>27</v>
      </c>
      <c r="AS583" t="s">
        <v>35</v>
      </c>
      <c r="AT583" t="s">
        <v>36</v>
      </c>
      <c r="AU583" s="4">
        <f>HYPERLINK("http://mlb.mlb.com/team/player.jsp?player_id=542866",542866)</f>
        <v>542866</v>
      </c>
      <c r="AV583">
        <v>0</v>
      </c>
      <c r="AW583">
        <v>0</v>
      </c>
      <c r="AX583">
        <v>0</v>
      </c>
    </row>
    <row r="584" spans="1:50" x14ac:dyDescent="0.3">
      <c r="A584" s="4">
        <f>HYPERLINK("http://legacy.baseballprospectus.com/p/60051",60051)</f>
        <v>60051</v>
      </c>
      <c r="B584" t="s">
        <v>171</v>
      </c>
      <c r="C584" t="s">
        <v>141</v>
      </c>
      <c r="D584" s="10">
        <v>31719</v>
      </c>
      <c r="E584" t="s">
        <v>33</v>
      </c>
      <c r="F584" t="s">
        <v>33</v>
      </c>
      <c r="G584">
        <v>72</v>
      </c>
      <c r="H584">
        <v>215</v>
      </c>
      <c r="I584">
        <v>2018</v>
      </c>
      <c r="J584" s="4" t="str">
        <f>HYPERLINK("http://legacy.baseballprospectus.com/fantasy/dc/index.php?tm=DET","DET")</f>
        <v>DET</v>
      </c>
      <c r="K584" t="s">
        <v>95</v>
      </c>
      <c r="L584" t="s">
        <v>34</v>
      </c>
      <c r="M584">
        <v>31</v>
      </c>
      <c r="N584">
        <v>2.2000000000000002</v>
      </c>
      <c r="O584">
        <v>3</v>
      </c>
      <c r="P584">
        <v>0</v>
      </c>
      <c r="Q584">
        <v>0</v>
      </c>
      <c r="R584">
        <v>0</v>
      </c>
      <c r="S584">
        <v>4</v>
      </c>
      <c r="T584">
        <v>52</v>
      </c>
      <c r="U584">
        <v>0</v>
      </c>
      <c r="V584" s="9">
        <v>55.333300000000001</v>
      </c>
      <c r="W584">
        <v>248</v>
      </c>
      <c r="X584">
        <v>62</v>
      </c>
      <c r="Y584">
        <v>8</v>
      </c>
      <c r="Z584">
        <v>23</v>
      </c>
      <c r="AA584">
        <v>3</v>
      </c>
      <c r="AB584">
        <v>3</v>
      </c>
      <c r="AC584">
        <v>37</v>
      </c>
      <c r="AD584">
        <v>3.7</v>
      </c>
      <c r="AE584">
        <v>6</v>
      </c>
      <c r="AF584" s="5">
        <v>0.45</v>
      </c>
      <c r="AG584">
        <v>0.29799999999999999</v>
      </c>
      <c r="AH584">
        <v>1.52</v>
      </c>
      <c r="AI584">
        <v>5.5</v>
      </c>
      <c r="AJ584">
        <v>5.29</v>
      </c>
      <c r="AK584">
        <v>-0.2</v>
      </c>
      <c r="AL584">
        <v>0</v>
      </c>
      <c r="AM584">
        <v>29</v>
      </c>
      <c r="AN584">
        <v>46</v>
      </c>
      <c r="AO584">
        <v>21</v>
      </c>
      <c r="AP584">
        <v>16</v>
      </c>
      <c r="AQ584" t="s">
        <v>2998</v>
      </c>
      <c r="AR584">
        <v>81</v>
      </c>
      <c r="AS584" t="s">
        <v>35</v>
      </c>
      <c r="AT584" t="s">
        <v>36</v>
      </c>
      <c r="AU584" s="4">
        <f>HYPERLINK("http://mlb.mlb.com/team/player.jsp?player_id=543935",543935)</f>
        <v>543935</v>
      </c>
      <c r="AV584">
        <v>259</v>
      </c>
      <c r="AW584">
        <v>1259</v>
      </c>
      <c r="AX584">
        <v>60</v>
      </c>
    </row>
    <row r="585" spans="1:50" x14ac:dyDescent="0.3">
      <c r="A585" s="4">
        <f>HYPERLINK("http://legacy.baseballprospectus.com/p/60094",60094)</f>
        <v>60094</v>
      </c>
      <c r="B585" t="s">
        <v>298</v>
      </c>
      <c r="C585" t="s">
        <v>1267</v>
      </c>
      <c r="D585" s="10">
        <v>33385</v>
      </c>
      <c r="E585" t="s">
        <v>33</v>
      </c>
      <c r="F585" t="s">
        <v>33</v>
      </c>
      <c r="G585">
        <v>72</v>
      </c>
      <c r="H585">
        <v>200</v>
      </c>
      <c r="I585">
        <v>2018</v>
      </c>
      <c r="J585" s="4" t="str">
        <f>HYPERLINK("http://legacy.baseballprospectus.com/fantasy/dc/index.php?tm=COL","COL")</f>
        <v>COL</v>
      </c>
      <c r="K585" t="s">
        <v>100</v>
      </c>
      <c r="L585" t="s">
        <v>34</v>
      </c>
      <c r="M585">
        <v>27</v>
      </c>
      <c r="N585">
        <v>0.8</v>
      </c>
      <c r="O585">
        <v>0.8</v>
      </c>
      <c r="P585">
        <v>0</v>
      </c>
      <c r="Q585">
        <v>0</v>
      </c>
      <c r="R585">
        <v>0</v>
      </c>
      <c r="S585">
        <v>0</v>
      </c>
      <c r="T585">
        <v>16</v>
      </c>
      <c r="U585">
        <v>0</v>
      </c>
      <c r="V585" s="9">
        <v>16.666699999999999</v>
      </c>
      <c r="W585">
        <v>75</v>
      </c>
      <c r="X585">
        <v>17</v>
      </c>
      <c r="Y585">
        <v>2</v>
      </c>
      <c r="Z585">
        <v>9</v>
      </c>
      <c r="AA585">
        <v>0</v>
      </c>
      <c r="AB585">
        <v>1</v>
      </c>
      <c r="AC585">
        <v>15</v>
      </c>
      <c r="AD585">
        <v>4.5999999999999996</v>
      </c>
      <c r="AE585">
        <v>7.9</v>
      </c>
      <c r="AF585" s="5">
        <v>0.497</v>
      </c>
      <c r="AG585">
        <v>0.30499999999999999</v>
      </c>
      <c r="AH585">
        <v>1.61</v>
      </c>
      <c r="AI585">
        <v>5.3</v>
      </c>
      <c r="AJ585">
        <v>5.14</v>
      </c>
      <c r="AK585">
        <v>-0.3</v>
      </c>
      <c r="AL585">
        <v>0</v>
      </c>
      <c r="AM585">
        <v>14</v>
      </c>
      <c r="AN585">
        <v>23</v>
      </c>
      <c r="AO585">
        <v>20</v>
      </c>
      <c r="AP585">
        <v>36</v>
      </c>
      <c r="AQ585" t="s">
        <v>2999</v>
      </c>
      <c r="AR585">
        <v>52</v>
      </c>
      <c r="AS585" t="s">
        <v>35</v>
      </c>
      <c r="AT585" t="s">
        <v>35</v>
      </c>
      <c r="AU585" s="4">
        <f>HYPERLINK("http://mlb.mlb.com/team/player.jsp?player_id=545064",545064)</f>
        <v>545064</v>
      </c>
      <c r="AV585">
        <v>1349</v>
      </c>
      <c r="AW585">
        <v>349</v>
      </c>
      <c r="AX585">
        <v>5</v>
      </c>
    </row>
    <row r="586" spans="1:50" x14ac:dyDescent="0.3">
      <c r="A586" s="4">
        <f>HYPERLINK("http://legacy.baseballprospectus.com/p/60637",60637)</f>
        <v>60637</v>
      </c>
      <c r="B586" t="s">
        <v>2843</v>
      </c>
      <c r="C586" t="s">
        <v>149</v>
      </c>
      <c r="D586" s="10">
        <v>33327</v>
      </c>
      <c r="E586" t="s">
        <v>33</v>
      </c>
      <c r="F586" t="s">
        <v>33</v>
      </c>
      <c r="G586">
        <v>78</v>
      </c>
      <c r="H586">
        <v>230</v>
      </c>
      <c r="I586">
        <v>2018</v>
      </c>
      <c r="J586" s="4" t="str">
        <f>HYPERLINK("http://legacy.baseballprospectus.com/fantasy/dc/index.php?tm=MIA","MIA")</f>
        <v>MIA</v>
      </c>
      <c r="K586" t="s">
        <v>100</v>
      </c>
      <c r="L586" t="s">
        <v>34</v>
      </c>
      <c r="M586">
        <v>27</v>
      </c>
      <c r="N586">
        <v>0.8</v>
      </c>
      <c r="O586">
        <v>1.2</v>
      </c>
      <c r="P586">
        <v>1</v>
      </c>
      <c r="Q586">
        <v>0</v>
      </c>
      <c r="R586">
        <v>0</v>
      </c>
      <c r="S586">
        <v>0</v>
      </c>
      <c r="T586">
        <v>3</v>
      </c>
      <c r="U586">
        <v>3</v>
      </c>
      <c r="V586" s="9">
        <v>17</v>
      </c>
      <c r="W586">
        <v>74</v>
      </c>
      <c r="X586">
        <v>17</v>
      </c>
      <c r="Y586">
        <v>3</v>
      </c>
      <c r="Z586">
        <v>6</v>
      </c>
      <c r="AA586">
        <v>0</v>
      </c>
      <c r="AB586">
        <v>1</v>
      </c>
      <c r="AC586">
        <v>16</v>
      </c>
      <c r="AD586">
        <v>3.3</v>
      </c>
      <c r="AE586">
        <v>8.1999999999999993</v>
      </c>
      <c r="AF586" s="5">
        <v>0.41499999999999998</v>
      </c>
      <c r="AG586">
        <v>0.29599999999999999</v>
      </c>
      <c r="AH586">
        <v>1.37</v>
      </c>
      <c r="AI586">
        <v>4.7</v>
      </c>
      <c r="AJ586">
        <v>5.0199999999999996</v>
      </c>
      <c r="AK586">
        <v>0.4</v>
      </c>
      <c r="AL586">
        <v>0</v>
      </c>
      <c r="AM586">
        <v>7</v>
      </c>
      <c r="AN586">
        <v>14</v>
      </c>
      <c r="AO586">
        <v>5</v>
      </c>
      <c r="AP586">
        <v>14</v>
      </c>
      <c r="AQ586" t="s">
        <v>2844</v>
      </c>
      <c r="AR586">
        <v>22</v>
      </c>
      <c r="AS586" t="s">
        <v>35</v>
      </c>
      <c r="AT586" t="s">
        <v>35</v>
      </c>
      <c r="AU586" s="4">
        <f>HYPERLINK("http://mlb.mlb.com/team/player.jsp?player_id=571982",571982)</f>
        <v>571982</v>
      </c>
      <c r="AV586">
        <v>0</v>
      </c>
      <c r="AW586">
        <v>0</v>
      </c>
      <c r="AX586">
        <v>0</v>
      </c>
    </row>
    <row r="587" spans="1:50" x14ac:dyDescent="0.3">
      <c r="A587" s="4">
        <f>HYPERLINK("http://legacy.baseballprospectus.com/p/60879",60879)</f>
        <v>60879</v>
      </c>
      <c r="B587" t="s">
        <v>1171</v>
      </c>
      <c r="C587" t="s">
        <v>446</v>
      </c>
      <c r="D587" s="10">
        <v>31823</v>
      </c>
      <c r="E587" t="s">
        <v>9</v>
      </c>
      <c r="F587" t="s">
        <v>33</v>
      </c>
      <c r="G587">
        <v>74</v>
      </c>
      <c r="H587">
        <v>220</v>
      </c>
      <c r="I587">
        <v>2018</v>
      </c>
      <c r="J587" s="4" t="str">
        <f>HYPERLINK("http://legacy.baseballprospectus.com/fantasy/dc/index.php?tm=CHA","CHA")</f>
        <v>CHA</v>
      </c>
      <c r="K587" t="s">
        <v>95</v>
      </c>
      <c r="L587" t="s">
        <v>34</v>
      </c>
      <c r="M587">
        <v>31</v>
      </c>
      <c r="N587">
        <v>1.1000000000000001</v>
      </c>
      <c r="O587">
        <v>1.3</v>
      </c>
      <c r="P587">
        <v>0</v>
      </c>
      <c r="Q587">
        <v>0</v>
      </c>
      <c r="R587">
        <v>0</v>
      </c>
      <c r="S587">
        <v>1</v>
      </c>
      <c r="T587">
        <v>25</v>
      </c>
      <c r="U587">
        <v>0</v>
      </c>
      <c r="V587" s="9">
        <v>26.333300000000001</v>
      </c>
      <c r="W587">
        <v>119</v>
      </c>
      <c r="X587">
        <v>28</v>
      </c>
      <c r="Y587">
        <v>4</v>
      </c>
      <c r="Z587">
        <v>12</v>
      </c>
      <c r="AA587">
        <v>1</v>
      </c>
      <c r="AB587">
        <v>2</v>
      </c>
      <c r="AC587">
        <v>20</v>
      </c>
      <c r="AD587">
        <v>4.2</v>
      </c>
      <c r="AE587">
        <v>6.7</v>
      </c>
      <c r="AF587" s="5">
        <v>0.51800000000000002</v>
      </c>
      <c r="AG587">
        <v>0.29399999999999998</v>
      </c>
      <c r="AH587">
        <v>1.52</v>
      </c>
      <c r="AI587">
        <v>5.39</v>
      </c>
      <c r="AJ587">
        <v>5.33</v>
      </c>
      <c r="AK587">
        <v>-0.2</v>
      </c>
      <c r="AL587">
        <v>0</v>
      </c>
      <c r="AM587">
        <v>16</v>
      </c>
      <c r="AN587">
        <v>26</v>
      </c>
      <c r="AO587">
        <v>9</v>
      </c>
      <c r="AP587">
        <v>13</v>
      </c>
      <c r="AQ587" t="s">
        <v>3003</v>
      </c>
      <c r="AR587">
        <v>41</v>
      </c>
      <c r="AS587" t="s">
        <v>35</v>
      </c>
      <c r="AT587" t="s">
        <v>36</v>
      </c>
      <c r="AU587" s="4">
        <f>HYPERLINK("http://mlb.mlb.com/team/player.jsp?player_id=543746",543746)</f>
        <v>543746</v>
      </c>
      <c r="AV587">
        <v>0</v>
      </c>
      <c r="AW587">
        <v>0</v>
      </c>
      <c r="AX587">
        <v>22.3</v>
      </c>
    </row>
    <row r="588" spans="1:50" x14ac:dyDescent="0.3">
      <c r="A588" s="4">
        <f>HYPERLINK("http://legacy.baseballprospectus.com/p/65808",65808)</f>
        <v>65808</v>
      </c>
      <c r="B588" t="s">
        <v>2571</v>
      </c>
      <c r="C588" t="s">
        <v>2572</v>
      </c>
      <c r="D588" s="10">
        <v>31787</v>
      </c>
      <c r="E588" t="s">
        <v>33</v>
      </c>
      <c r="F588" t="s">
        <v>33</v>
      </c>
      <c r="G588">
        <v>70</v>
      </c>
      <c r="H588">
        <v>215</v>
      </c>
      <c r="I588">
        <v>2018</v>
      </c>
      <c r="J588" s="4" t="str">
        <f>HYPERLINK("http://legacy.baseballprospectus.com/fantasy/dc/index.php?tm=TEX","TEX")</f>
        <v>TEX</v>
      </c>
      <c r="K588" t="s">
        <v>95</v>
      </c>
      <c r="L588" t="s">
        <v>34</v>
      </c>
      <c r="M588">
        <v>31</v>
      </c>
      <c r="N588">
        <v>0.5</v>
      </c>
      <c r="O588">
        <v>0.8</v>
      </c>
      <c r="P588">
        <v>1</v>
      </c>
      <c r="Q588">
        <v>0</v>
      </c>
      <c r="R588">
        <v>0</v>
      </c>
      <c r="S588">
        <v>0</v>
      </c>
      <c r="T588">
        <v>2</v>
      </c>
      <c r="U588">
        <v>2</v>
      </c>
      <c r="V588" s="9">
        <v>10</v>
      </c>
      <c r="W588">
        <v>45</v>
      </c>
      <c r="X588">
        <v>12</v>
      </c>
      <c r="Y588">
        <v>2</v>
      </c>
      <c r="Z588">
        <v>4</v>
      </c>
      <c r="AA588">
        <v>0</v>
      </c>
      <c r="AB588">
        <v>1</v>
      </c>
      <c r="AC588">
        <v>7</v>
      </c>
      <c r="AD588">
        <v>3.2</v>
      </c>
      <c r="AE588">
        <v>6.7</v>
      </c>
      <c r="AF588" s="5">
        <v>0.437</v>
      </c>
      <c r="AG588">
        <v>0.29499999999999998</v>
      </c>
      <c r="AH588">
        <v>1.52</v>
      </c>
      <c r="AI588">
        <v>5.6</v>
      </c>
      <c r="AJ588">
        <v>5.66</v>
      </c>
      <c r="AK588">
        <v>-0.1</v>
      </c>
      <c r="AL588">
        <v>0</v>
      </c>
      <c r="AM588">
        <v>9</v>
      </c>
      <c r="AN588">
        <v>15</v>
      </c>
      <c r="AO588">
        <v>8</v>
      </c>
      <c r="AP588">
        <v>18</v>
      </c>
      <c r="AQ588" t="s">
        <v>2573</v>
      </c>
      <c r="AR588">
        <v>26</v>
      </c>
      <c r="AS588" t="s">
        <v>35</v>
      </c>
      <c r="AT588" t="s">
        <v>35</v>
      </c>
      <c r="AU588" s="4">
        <f>HYPERLINK("http://mlb.mlb.com/team/player.jsp?player_id=502179",502179)</f>
        <v>502179</v>
      </c>
      <c r="AV588">
        <v>0</v>
      </c>
      <c r="AW588">
        <v>0</v>
      </c>
      <c r="AX588">
        <v>24</v>
      </c>
    </row>
    <row r="589" spans="1:50" x14ac:dyDescent="0.3">
      <c r="A589" s="4">
        <f>HYPERLINK("http://legacy.baseballprospectus.com/p/65878",65878)</f>
        <v>65878</v>
      </c>
      <c r="B589" t="s">
        <v>5018</v>
      </c>
      <c r="C589" t="s">
        <v>247</v>
      </c>
      <c r="D589" s="10">
        <v>32718</v>
      </c>
      <c r="E589" t="s">
        <v>33</v>
      </c>
      <c r="F589" t="s">
        <v>9</v>
      </c>
      <c r="G589">
        <v>74</v>
      </c>
      <c r="H589">
        <v>205</v>
      </c>
      <c r="I589">
        <v>2018</v>
      </c>
      <c r="J589" s="4" t="str">
        <f>HYPERLINK("http://legacy.baseballprospectus.com/fantasy/dc/index.php?tm=OAK","OAK")</f>
        <v>OAK</v>
      </c>
      <c r="K589" t="s">
        <v>95</v>
      </c>
      <c r="L589" t="s">
        <v>34</v>
      </c>
      <c r="M589">
        <v>28</v>
      </c>
      <c r="N589">
        <v>0.8</v>
      </c>
      <c r="O589">
        <v>1.1000000000000001</v>
      </c>
      <c r="P589">
        <v>1</v>
      </c>
      <c r="Q589">
        <v>0</v>
      </c>
      <c r="R589">
        <v>0</v>
      </c>
      <c r="S589">
        <v>0</v>
      </c>
      <c r="T589">
        <v>3</v>
      </c>
      <c r="U589">
        <v>3</v>
      </c>
      <c r="V589" s="9">
        <v>15</v>
      </c>
      <c r="W589">
        <v>67</v>
      </c>
      <c r="X589">
        <v>17</v>
      </c>
      <c r="Y589">
        <v>3</v>
      </c>
      <c r="Z589">
        <v>6</v>
      </c>
      <c r="AA589">
        <v>0</v>
      </c>
      <c r="AB589">
        <v>1</v>
      </c>
      <c r="AC589">
        <v>10</v>
      </c>
      <c r="AD589">
        <v>3.5</v>
      </c>
      <c r="AE589">
        <v>5.9</v>
      </c>
      <c r="AF589" s="5">
        <v>0.49099999999999999</v>
      </c>
      <c r="AG589">
        <v>0.29499999999999998</v>
      </c>
      <c r="AH589">
        <v>1.54</v>
      </c>
      <c r="AI589">
        <v>5.45</v>
      </c>
      <c r="AJ589">
        <v>5.77</v>
      </c>
      <c r="AK589">
        <v>-0.4</v>
      </c>
      <c r="AL589">
        <v>0</v>
      </c>
      <c r="AM589">
        <v>11</v>
      </c>
      <c r="AN589">
        <v>21</v>
      </c>
      <c r="AO589">
        <v>12</v>
      </c>
      <c r="AP589">
        <v>19</v>
      </c>
      <c r="AQ589" t="s">
        <v>5019</v>
      </c>
      <c r="AR589">
        <v>35</v>
      </c>
      <c r="AS589" t="s">
        <v>35</v>
      </c>
      <c r="AT589" t="s">
        <v>35</v>
      </c>
      <c r="AU589" s="4">
        <f>HYPERLINK("http://mlb.mlb.com/team/player.jsp?player_id=518852",518852)</f>
        <v>518852</v>
      </c>
      <c r="AV589">
        <v>0</v>
      </c>
      <c r="AW589">
        <v>0</v>
      </c>
      <c r="AX589">
        <v>0</v>
      </c>
    </row>
    <row r="590" spans="1:50" x14ac:dyDescent="0.3">
      <c r="A590" s="4">
        <f>HYPERLINK("http://legacy.baseballprospectus.com/p/66565",66565)</f>
        <v>66565</v>
      </c>
      <c r="B590" t="s">
        <v>1426</v>
      </c>
      <c r="C590" t="s">
        <v>313</v>
      </c>
      <c r="D590" s="10">
        <v>31909</v>
      </c>
      <c r="E590" t="s">
        <v>9</v>
      </c>
      <c r="F590" t="s">
        <v>9</v>
      </c>
      <c r="G590">
        <v>75</v>
      </c>
      <c r="H590">
        <v>243</v>
      </c>
      <c r="I590">
        <v>2018</v>
      </c>
      <c r="J590" s="4" t="str">
        <f>HYPERLINK("http://legacy.baseballprospectus.com/fantasy/dc/index.php?tm=LAN","LAN")</f>
        <v>LAN</v>
      </c>
      <c r="K590" t="s">
        <v>100</v>
      </c>
      <c r="L590" t="s">
        <v>34</v>
      </c>
      <c r="M590">
        <v>31</v>
      </c>
      <c r="N590">
        <v>1.4</v>
      </c>
      <c r="O590">
        <v>1.1000000000000001</v>
      </c>
      <c r="P590">
        <v>0</v>
      </c>
      <c r="Q590">
        <v>0</v>
      </c>
      <c r="R590">
        <v>0</v>
      </c>
      <c r="S590">
        <v>1</v>
      </c>
      <c r="T590">
        <v>25</v>
      </c>
      <c r="U590">
        <v>0</v>
      </c>
      <c r="V590" s="9">
        <v>26.333300000000001</v>
      </c>
      <c r="W590">
        <v>115</v>
      </c>
      <c r="X590">
        <v>25</v>
      </c>
      <c r="Y590">
        <v>4</v>
      </c>
      <c r="Z590">
        <v>12</v>
      </c>
      <c r="AA590">
        <v>1</v>
      </c>
      <c r="AB590">
        <v>1</v>
      </c>
      <c r="AC590">
        <v>25</v>
      </c>
      <c r="AD590">
        <v>4</v>
      </c>
      <c r="AE590">
        <v>8.5</v>
      </c>
      <c r="AF590" s="5">
        <v>0.42599999999999999</v>
      </c>
      <c r="AG590">
        <v>0.29299999999999998</v>
      </c>
      <c r="AH590">
        <v>1.39</v>
      </c>
      <c r="AI590">
        <v>4.53</v>
      </c>
      <c r="AJ590">
        <v>4.88</v>
      </c>
      <c r="AK590">
        <v>0.3</v>
      </c>
      <c r="AL590">
        <v>0</v>
      </c>
      <c r="AM590">
        <v>24</v>
      </c>
      <c r="AN590">
        <v>33</v>
      </c>
      <c r="AO590">
        <v>24</v>
      </c>
      <c r="AP590">
        <v>20</v>
      </c>
      <c r="AQ590" t="s">
        <v>2847</v>
      </c>
      <c r="AR590">
        <v>70</v>
      </c>
      <c r="AS590" t="s">
        <v>35</v>
      </c>
      <c r="AT590" t="s">
        <v>36</v>
      </c>
      <c r="AU590" s="4">
        <f>HYPERLINK("http://mlb.mlb.com/team/player.jsp?player_id=571893",571893)</f>
        <v>571893</v>
      </c>
      <c r="AV590">
        <v>1352</v>
      </c>
      <c r="AW590">
        <v>352</v>
      </c>
      <c r="AX590">
        <v>3.3</v>
      </c>
    </row>
    <row r="591" spans="1:50" x14ac:dyDescent="0.3">
      <c r="A591" s="4">
        <f>HYPERLINK("http://legacy.baseballprospectus.com/p/66650",66650)</f>
        <v>66650</v>
      </c>
      <c r="B591" t="s">
        <v>311</v>
      </c>
      <c r="C591" t="s">
        <v>1616</v>
      </c>
      <c r="D591" s="10">
        <v>33182</v>
      </c>
      <c r="E591" t="s">
        <v>33</v>
      </c>
      <c r="F591" t="s">
        <v>33</v>
      </c>
      <c r="G591">
        <v>78</v>
      </c>
      <c r="H591">
        <v>185</v>
      </c>
      <c r="I591">
        <v>2018</v>
      </c>
      <c r="J591" s="4" t="str">
        <f>HYPERLINK("http://legacy.baseballprospectus.com/fantasy/dc/index.php?tm=SLN","SLN")</f>
        <v>SLN</v>
      </c>
      <c r="K591" t="s">
        <v>100</v>
      </c>
      <c r="L591" t="s">
        <v>34</v>
      </c>
      <c r="M591">
        <v>27</v>
      </c>
      <c r="N591">
        <v>0.7</v>
      </c>
      <c r="O591">
        <v>0.8</v>
      </c>
      <c r="P591">
        <v>0</v>
      </c>
      <c r="Q591">
        <v>0</v>
      </c>
      <c r="R591">
        <v>0</v>
      </c>
      <c r="S591">
        <v>0</v>
      </c>
      <c r="T591">
        <v>15</v>
      </c>
      <c r="U591">
        <v>0</v>
      </c>
      <c r="V591" s="9">
        <v>15.666700000000001</v>
      </c>
      <c r="W591">
        <v>68</v>
      </c>
      <c r="X591">
        <v>16</v>
      </c>
      <c r="Y591">
        <v>2</v>
      </c>
      <c r="Z591">
        <v>6</v>
      </c>
      <c r="AA591">
        <v>1</v>
      </c>
      <c r="AB591">
        <v>1</v>
      </c>
      <c r="AC591">
        <v>14</v>
      </c>
      <c r="AD591">
        <v>3.6</v>
      </c>
      <c r="AE591">
        <v>8</v>
      </c>
      <c r="AF591" s="5">
        <v>0.47899999999999998</v>
      </c>
      <c r="AG591">
        <v>0.30099999999999999</v>
      </c>
      <c r="AH591">
        <v>1.45</v>
      </c>
      <c r="AI591">
        <v>4.83</v>
      </c>
      <c r="AJ591">
        <v>4.8899999999999997</v>
      </c>
      <c r="AK591">
        <v>0.2</v>
      </c>
      <c r="AL591">
        <v>0</v>
      </c>
      <c r="AM591">
        <v>14</v>
      </c>
      <c r="AN591">
        <v>19</v>
      </c>
      <c r="AO591">
        <v>19</v>
      </c>
      <c r="AP591">
        <v>32</v>
      </c>
      <c r="AQ591" t="s">
        <v>2848</v>
      </c>
      <c r="AR591">
        <v>45</v>
      </c>
      <c r="AS591" t="s">
        <v>35</v>
      </c>
      <c r="AT591" t="s">
        <v>35</v>
      </c>
      <c r="AU591" s="4">
        <f>HYPERLINK("http://mlb.mlb.com/team/player.jsp?player_id=572998",572998)</f>
        <v>572998</v>
      </c>
      <c r="AV591">
        <v>1345</v>
      </c>
      <c r="AW591">
        <v>345</v>
      </c>
      <c r="AX591">
        <v>7.3</v>
      </c>
    </row>
    <row r="592" spans="1:50" x14ac:dyDescent="0.3">
      <c r="A592" s="4">
        <f>HYPERLINK("http://legacy.baseballprospectus.com/p/66931",66931)</f>
        <v>66931</v>
      </c>
      <c r="B592" t="s">
        <v>723</v>
      </c>
      <c r="C592" t="s">
        <v>724</v>
      </c>
      <c r="D592" s="10">
        <v>33533</v>
      </c>
      <c r="E592" t="s">
        <v>9</v>
      </c>
      <c r="F592" t="s">
        <v>9</v>
      </c>
      <c r="G592">
        <v>77</v>
      </c>
      <c r="H592">
        <v>230</v>
      </c>
      <c r="I592">
        <v>2018</v>
      </c>
      <c r="J592" s="4" t="str">
        <f>HYPERLINK("http://legacy.baseballprospectus.com/fantasy/dc/index.php?tm=ATL","ATL")</f>
        <v>ATL</v>
      </c>
      <c r="K592" t="s">
        <v>100</v>
      </c>
      <c r="L592" t="s">
        <v>34</v>
      </c>
      <c r="M592">
        <v>26</v>
      </c>
      <c r="N592">
        <v>1.3</v>
      </c>
      <c r="O592">
        <v>1.3</v>
      </c>
      <c r="P592">
        <v>0</v>
      </c>
      <c r="Q592">
        <v>0</v>
      </c>
      <c r="R592">
        <v>0</v>
      </c>
      <c r="S592">
        <v>1</v>
      </c>
      <c r="T592">
        <v>26</v>
      </c>
      <c r="U592">
        <v>0</v>
      </c>
      <c r="V592" s="9">
        <v>27.333300000000001</v>
      </c>
      <c r="W592">
        <v>121</v>
      </c>
      <c r="X592">
        <v>27</v>
      </c>
      <c r="Y592">
        <v>4</v>
      </c>
      <c r="Z592">
        <v>12</v>
      </c>
      <c r="AA592">
        <v>1</v>
      </c>
      <c r="AB592">
        <v>1</v>
      </c>
      <c r="AC592">
        <v>26</v>
      </c>
      <c r="AD592">
        <v>4</v>
      </c>
      <c r="AE592">
        <v>8.5</v>
      </c>
      <c r="AF592" s="5">
        <v>0.436</v>
      </c>
      <c r="AG592">
        <v>0.29799999999999999</v>
      </c>
      <c r="AH592">
        <v>1.44</v>
      </c>
      <c r="AI592">
        <v>4.62</v>
      </c>
      <c r="AJ592">
        <v>4.9000000000000004</v>
      </c>
      <c r="AK592">
        <v>0.3</v>
      </c>
      <c r="AL592">
        <v>0</v>
      </c>
      <c r="AM592">
        <v>12</v>
      </c>
      <c r="AN592">
        <v>20</v>
      </c>
      <c r="AO592">
        <v>11</v>
      </c>
      <c r="AP592">
        <v>28</v>
      </c>
      <c r="AQ592" t="s">
        <v>3008</v>
      </c>
      <c r="AR592">
        <v>37</v>
      </c>
      <c r="AS592" t="s">
        <v>35</v>
      </c>
      <c r="AT592" t="s">
        <v>35</v>
      </c>
      <c r="AU592" s="4">
        <f>HYPERLINK("http://mlb.mlb.com/team/player.jsp?player_id=592145",592145)</f>
        <v>592145</v>
      </c>
      <c r="AV592">
        <v>1157</v>
      </c>
      <c r="AW592">
        <v>157</v>
      </c>
      <c r="AX592">
        <v>0</v>
      </c>
    </row>
    <row r="593" spans="1:50" x14ac:dyDescent="0.3">
      <c r="A593" s="4">
        <f>HYPERLINK("http://legacy.baseballprospectus.com/p/66940",66940)</f>
        <v>66940</v>
      </c>
      <c r="B593" t="s">
        <v>1635</v>
      </c>
      <c r="C593" t="s">
        <v>136</v>
      </c>
      <c r="D593" s="10">
        <v>33774</v>
      </c>
      <c r="E593" t="s">
        <v>33</v>
      </c>
      <c r="F593" t="s">
        <v>33</v>
      </c>
      <c r="G593">
        <v>76</v>
      </c>
      <c r="H593">
        <v>235</v>
      </c>
      <c r="I593">
        <v>2018</v>
      </c>
      <c r="J593" s="4" t="str">
        <f>HYPERLINK("http://legacy.baseballprospectus.com/fantasy/dc/index.php?tm=CIN","CIN")</f>
        <v>CIN</v>
      </c>
      <c r="K593" t="s">
        <v>100</v>
      </c>
      <c r="L593" t="s">
        <v>34</v>
      </c>
      <c r="M593">
        <v>26</v>
      </c>
      <c r="N593">
        <v>2.5</v>
      </c>
      <c r="O593">
        <v>2.8</v>
      </c>
      <c r="P593">
        <v>0</v>
      </c>
      <c r="Q593">
        <v>0</v>
      </c>
      <c r="R593">
        <v>0</v>
      </c>
      <c r="S593">
        <v>1</v>
      </c>
      <c r="T593">
        <v>54</v>
      </c>
      <c r="U593">
        <v>0</v>
      </c>
      <c r="V593" s="9">
        <v>56.666699999999999</v>
      </c>
      <c r="W593">
        <v>252</v>
      </c>
      <c r="X593">
        <v>54</v>
      </c>
      <c r="Y593">
        <v>9</v>
      </c>
      <c r="Z593">
        <v>27</v>
      </c>
      <c r="AA593">
        <v>3</v>
      </c>
      <c r="AB593">
        <v>4</v>
      </c>
      <c r="AC593">
        <v>56</v>
      </c>
      <c r="AD593">
        <v>4.3</v>
      </c>
      <c r="AE593">
        <v>8.9</v>
      </c>
      <c r="AF593" s="5">
        <v>0.43</v>
      </c>
      <c r="AG593">
        <v>0.29299999999999998</v>
      </c>
      <c r="AH593">
        <v>1.43</v>
      </c>
      <c r="AI593">
        <v>5.1100000000000003</v>
      </c>
      <c r="AJ593">
        <v>4.93</v>
      </c>
      <c r="AK593">
        <v>0.4</v>
      </c>
      <c r="AL593">
        <v>0</v>
      </c>
      <c r="AM593">
        <v>15</v>
      </c>
      <c r="AN593">
        <v>25</v>
      </c>
      <c r="AO593">
        <v>14</v>
      </c>
      <c r="AP593">
        <v>34</v>
      </c>
      <c r="AQ593" t="s">
        <v>2717</v>
      </c>
      <c r="AR593">
        <v>51</v>
      </c>
      <c r="AS593" t="s">
        <v>35</v>
      </c>
      <c r="AT593" t="s">
        <v>35</v>
      </c>
      <c r="AU593" s="4">
        <f>HYPERLINK("http://mlb.mlb.com/team/player.jsp?player_id=592169",592169)</f>
        <v>592169</v>
      </c>
      <c r="AV593">
        <v>1098</v>
      </c>
      <c r="AW593">
        <v>98</v>
      </c>
      <c r="AX593">
        <v>32.700000000000003</v>
      </c>
    </row>
    <row r="594" spans="1:50" x14ac:dyDescent="0.3">
      <c r="A594" s="4">
        <f>HYPERLINK("http://legacy.baseballprospectus.com/p/37412",37412)</f>
        <v>37412</v>
      </c>
      <c r="B594" t="s">
        <v>440</v>
      </c>
      <c r="C594" t="s">
        <v>323</v>
      </c>
      <c r="D594" s="10">
        <v>30568</v>
      </c>
      <c r="E594" t="s">
        <v>33</v>
      </c>
      <c r="F594" t="s">
        <v>33</v>
      </c>
      <c r="G594">
        <v>74</v>
      </c>
      <c r="H594">
        <v>215</v>
      </c>
      <c r="I594">
        <v>2018</v>
      </c>
      <c r="J594" s="4" t="str">
        <f>HYPERLINK("http://legacy.baseballprospectus.com/fantasy/dc/index.php?tm=WAS","WAS")</f>
        <v>WAS</v>
      </c>
      <c r="K594" t="s">
        <v>100</v>
      </c>
      <c r="L594" t="s">
        <v>34</v>
      </c>
      <c r="M594">
        <v>34</v>
      </c>
      <c r="N594">
        <v>5.6</v>
      </c>
      <c r="O594">
        <v>5</v>
      </c>
      <c r="P594">
        <v>6.1</v>
      </c>
      <c r="Q594">
        <v>0</v>
      </c>
      <c r="R594">
        <v>0.2</v>
      </c>
      <c r="S594">
        <v>0</v>
      </c>
      <c r="T594">
        <v>34.4</v>
      </c>
      <c r="U594">
        <v>14.4</v>
      </c>
      <c r="V594" s="9">
        <v>94.333299999999994</v>
      </c>
      <c r="W594">
        <v>412</v>
      </c>
      <c r="X594">
        <v>103</v>
      </c>
      <c r="Y594">
        <v>15</v>
      </c>
      <c r="Z594">
        <v>41</v>
      </c>
      <c r="AA594" t="s">
        <v>1680</v>
      </c>
      <c r="AB594">
        <v>4</v>
      </c>
      <c r="AC594">
        <v>82</v>
      </c>
      <c r="AD594">
        <v>3.9</v>
      </c>
      <c r="AE594">
        <v>7.9</v>
      </c>
      <c r="AF594" s="5">
        <v>0.41507184505462602</v>
      </c>
      <c r="AG594">
        <v>0.32500000000000001</v>
      </c>
      <c r="AH594">
        <v>1.52</v>
      </c>
      <c r="AI594">
        <v>4.82</v>
      </c>
      <c r="AJ594">
        <v>5.52</v>
      </c>
      <c r="AK594">
        <v>-0.1</v>
      </c>
      <c r="AL594">
        <v>0</v>
      </c>
      <c r="AM594">
        <v>13</v>
      </c>
      <c r="AN594">
        <v>33</v>
      </c>
      <c r="AO594">
        <v>25</v>
      </c>
      <c r="AP594">
        <v>17</v>
      </c>
      <c r="AQ594" t="s">
        <v>3327</v>
      </c>
      <c r="AR594">
        <v>71</v>
      </c>
      <c r="AS594" t="s">
        <v>36</v>
      </c>
      <c r="AT594" t="s">
        <v>36</v>
      </c>
      <c r="AU594" s="4">
        <f>HYPERLINK("http://mlb.mlb.com/team/player.jsp?player_id=429719",429719)</f>
        <v>429719</v>
      </c>
      <c r="AV594">
        <v>0</v>
      </c>
      <c r="AW594">
        <v>0</v>
      </c>
      <c r="AX594">
        <v>76</v>
      </c>
    </row>
    <row r="595" spans="1:50" x14ac:dyDescent="0.3">
      <c r="A595" s="4">
        <f>HYPERLINK("http://legacy.baseballprospectus.com/p/45544",45544)</f>
        <v>45544</v>
      </c>
      <c r="B595" t="s">
        <v>845</v>
      </c>
      <c r="C595" t="s">
        <v>459</v>
      </c>
      <c r="D595" s="10">
        <v>30889</v>
      </c>
      <c r="E595" t="s">
        <v>33</v>
      </c>
      <c r="F595" t="s">
        <v>33</v>
      </c>
      <c r="G595">
        <v>75</v>
      </c>
      <c r="H595">
        <v>235</v>
      </c>
      <c r="I595">
        <v>2018</v>
      </c>
      <c r="J595" s="4" t="str">
        <f>HYPERLINK("http://legacy.baseballprospectus.com/fantasy/dc/index.php?tm=TEX","TEX")</f>
        <v>TEX</v>
      </c>
      <c r="K595" t="s">
        <v>95</v>
      </c>
      <c r="L595" t="s">
        <v>34</v>
      </c>
      <c r="M595">
        <v>33</v>
      </c>
      <c r="N595">
        <v>1.5</v>
      </c>
      <c r="O595">
        <v>0.5</v>
      </c>
      <c r="P595">
        <v>0</v>
      </c>
      <c r="Q595">
        <v>0</v>
      </c>
      <c r="R595">
        <v>2</v>
      </c>
      <c r="S595">
        <v>0</v>
      </c>
      <c r="T595">
        <v>31.9</v>
      </c>
      <c r="U595">
        <v>0</v>
      </c>
      <c r="V595" s="9">
        <v>33.666699999999999</v>
      </c>
      <c r="W595">
        <v>150</v>
      </c>
      <c r="X595">
        <v>34</v>
      </c>
      <c r="Y595">
        <v>5</v>
      </c>
      <c r="Z595">
        <v>16</v>
      </c>
      <c r="AA595" t="s">
        <v>1680</v>
      </c>
      <c r="AB595">
        <v>2</v>
      </c>
      <c r="AC595">
        <v>30</v>
      </c>
      <c r="AD595">
        <v>4.2</v>
      </c>
      <c r="AE595">
        <v>8</v>
      </c>
      <c r="AF595" s="5">
        <v>0.398011714220047</v>
      </c>
      <c r="AG595">
        <v>0.29299999999999998</v>
      </c>
      <c r="AH595">
        <v>1.47</v>
      </c>
      <c r="AI595">
        <v>5.16</v>
      </c>
      <c r="AJ595">
        <v>5.2</v>
      </c>
      <c r="AK595">
        <v>0.2</v>
      </c>
      <c r="AL595">
        <v>0</v>
      </c>
      <c r="AM595">
        <v>22</v>
      </c>
      <c r="AN595">
        <v>42</v>
      </c>
      <c r="AO595">
        <v>20</v>
      </c>
      <c r="AP595">
        <v>9</v>
      </c>
      <c r="AQ595" t="s">
        <v>3249</v>
      </c>
      <c r="AR595">
        <v>80</v>
      </c>
      <c r="AS595" t="s">
        <v>36</v>
      </c>
      <c r="AT595" t="s">
        <v>36</v>
      </c>
      <c r="AU595" s="4">
        <f>HYPERLINK("http://mlb.mlb.com/team/player.jsp?player_id=448178",448178)</f>
        <v>448178</v>
      </c>
      <c r="AV595">
        <v>0</v>
      </c>
      <c r="AW595">
        <v>0</v>
      </c>
      <c r="AX595">
        <v>0</v>
      </c>
    </row>
    <row r="596" spans="1:50" x14ac:dyDescent="0.3">
      <c r="A596" s="4">
        <f>HYPERLINK("http://legacy.baseballprospectus.com/p/46413",46413)</f>
        <v>46413</v>
      </c>
      <c r="B596" t="s">
        <v>896</v>
      </c>
      <c r="C596" t="s">
        <v>247</v>
      </c>
      <c r="D596" s="10">
        <v>31083</v>
      </c>
      <c r="E596" t="s">
        <v>9</v>
      </c>
      <c r="F596" t="s">
        <v>9</v>
      </c>
      <c r="G596">
        <v>74</v>
      </c>
      <c r="H596">
        <v>210</v>
      </c>
      <c r="I596">
        <v>2018</v>
      </c>
      <c r="J596" s="4" t="str">
        <f>HYPERLINK("http://legacy.baseballprospectus.com/fantasy/dc/index.php?tm=ATL","ATL")</f>
        <v>ATL</v>
      </c>
      <c r="K596" t="s">
        <v>100</v>
      </c>
      <c r="L596" t="s">
        <v>34</v>
      </c>
      <c r="M596">
        <v>33</v>
      </c>
      <c r="N596">
        <v>1.6</v>
      </c>
      <c r="O596">
        <v>0.6</v>
      </c>
      <c r="P596">
        <v>0</v>
      </c>
      <c r="Q596">
        <v>0</v>
      </c>
      <c r="R596">
        <v>0.1</v>
      </c>
      <c r="S596">
        <v>0</v>
      </c>
      <c r="T596">
        <v>32.299999999999997</v>
      </c>
      <c r="U596">
        <v>0</v>
      </c>
      <c r="V596" s="9">
        <v>34.333300000000001</v>
      </c>
      <c r="W596">
        <v>150</v>
      </c>
      <c r="X596">
        <v>37</v>
      </c>
      <c r="Y596">
        <v>4</v>
      </c>
      <c r="Z596">
        <v>16</v>
      </c>
      <c r="AA596" t="s">
        <v>1680</v>
      </c>
      <c r="AB596">
        <v>1</v>
      </c>
      <c r="AC596">
        <v>28</v>
      </c>
      <c r="AD596">
        <v>4.0999999999999996</v>
      </c>
      <c r="AE596">
        <v>7.4</v>
      </c>
      <c r="AF596" s="5">
        <v>0.50272214412689198</v>
      </c>
      <c r="AG596">
        <v>0.32300000000000001</v>
      </c>
      <c r="AH596">
        <v>1.53</v>
      </c>
      <c r="AI596">
        <v>4.5999999999999996</v>
      </c>
      <c r="AJ596">
        <v>5.35</v>
      </c>
      <c r="AK596">
        <v>-0.5</v>
      </c>
      <c r="AL596">
        <v>0</v>
      </c>
      <c r="AM596">
        <v>22</v>
      </c>
      <c r="AN596">
        <v>42</v>
      </c>
      <c r="AO596">
        <v>16</v>
      </c>
      <c r="AP596">
        <v>17</v>
      </c>
      <c r="AQ596" t="s">
        <v>3158</v>
      </c>
      <c r="AR596">
        <v>71</v>
      </c>
      <c r="AS596" t="s">
        <v>36</v>
      </c>
      <c r="AT596" t="s">
        <v>36</v>
      </c>
      <c r="AU596" s="4">
        <f>HYPERLINK("http://mlb.mlb.com/team/player.jsp?player_id=447714",447714)</f>
        <v>447714</v>
      </c>
      <c r="AV596">
        <v>0</v>
      </c>
      <c r="AW596">
        <v>0</v>
      </c>
      <c r="AX596">
        <v>18.3</v>
      </c>
    </row>
    <row r="597" spans="1:50" x14ac:dyDescent="0.3">
      <c r="A597" s="4">
        <f>HYPERLINK("http://legacy.baseballprospectus.com/p/47160",47160)</f>
        <v>47160</v>
      </c>
      <c r="B597" t="s">
        <v>733</v>
      </c>
      <c r="C597" t="s">
        <v>734</v>
      </c>
      <c r="D597" s="10">
        <v>30908</v>
      </c>
      <c r="E597" t="s">
        <v>9</v>
      </c>
      <c r="F597" t="s">
        <v>33</v>
      </c>
      <c r="G597">
        <v>75</v>
      </c>
      <c r="H597">
        <v>190</v>
      </c>
      <c r="I597">
        <v>2018</v>
      </c>
      <c r="J597" s="4" t="str">
        <f>HYPERLINK("http://legacy.baseballprospectus.com/fantasy/dc/index.php?tm=KCA","KCA")</f>
        <v>KCA</v>
      </c>
      <c r="K597" t="s">
        <v>100</v>
      </c>
      <c r="L597" t="s">
        <v>34</v>
      </c>
      <c r="M597">
        <v>33</v>
      </c>
      <c r="N597">
        <v>2.1</v>
      </c>
      <c r="O597">
        <v>2.2999999999999998</v>
      </c>
      <c r="P597">
        <v>2.5</v>
      </c>
      <c r="Q597">
        <v>0</v>
      </c>
      <c r="R597">
        <v>0</v>
      </c>
      <c r="S597">
        <v>0</v>
      </c>
      <c r="T597">
        <v>6.1</v>
      </c>
      <c r="U597">
        <v>6.1</v>
      </c>
      <c r="V597" s="9">
        <v>35.666699999999999</v>
      </c>
      <c r="W597">
        <v>150</v>
      </c>
      <c r="X597">
        <v>36</v>
      </c>
      <c r="Y597">
        <v>6</v>
      </c>
      <c r="Z597">
        <v>14</v>
      </c>
      <c r="AA597" t="s">
        <v>1680</v>
      </c>
      <c r="AB597">
        <v>1</v>
      </c>
      <c r="AC597">
        <v>30</v>
      </c>
      <c r="AD597">
        <v>3.7</v>
      </c>
      <c r="AE597">
        <v>7.6</v>
      </c>
      <c r="AF597" s="5">
        <v>0.42233797907829201</v>
      </c>
      <c r="AG597">
        <v>0.30299999999999999</v>
      </c>
      <c r="AH597">
        <v>1.41</v>
      </c>
      <c r="AI597">
        <v>5.01</v>
      </c>
      <c r="AJ597">
        <v>5.56</v>
      </c>
      <c r="AK597">
        <v>0.2</v>
      </c>
      <c r="AL597">
        <v>0</v>
      </c>
      <c r="AM597">
        <v>11</v>
      </c>
      <c r="AN597">
        <v>43</v>
      </c>
      <c r="AO597">
        <v>19</v>
      </c>
      <c r="AP597">
        <v>16</v>
      </c>
      <c r="AQ597" t="s">
        <v>3030</v>
      </c>
      <c r="AR597">
        <v>95</v>
      </c>
      <c r="AS597" t="s">
        <v>36</v>
      </c>
      <c r="AT597" t="s">
        <v>36</v>
      </c>
      <c r="AU597" s="4">
        <f>HYPERLINK("http://mlb.mlb.com/team/player.jsp?player_id=453329",453329)</f>
        <v>453329</v>
      </c>
      <c r="AV597">
        <v>0</v>
      </c>
      <c r="AW597">
        <v>0</v>
      </c>
      <c r="AX597">
        <v>7.3</v>
      </c>
    </row>
    <row r="598" spans="1:50" x14ac:dyDescent="0.3">
      <c r="A598" s="4">
        <f>HYPERLINK("http://legacy.baseballprospectus.com/p/49168",49168)</f>
        <v>49168</v>
      </c>
      <c r="B598" t="s">
        <v>984</v>
      </c>
      <c r="C598" t="s">
        <v>207</v>
      </c>
      <c r="D598" s="10">
        <v>31814</v>
      </c>
      <c r="E598" t="s">
        <v>33</v>
      </c>
      <c r="F598" t="s">
        <v>9</v>
      </c>
      <c r="G598">
        <v>71</v>
      </c>
      <c r="H598">
        <v>175</v>
      </c>
      <c r="I598">
        <v>2018</v>
      </c>
      <c r="J598" s="4" t="str">
        <f>HYPERLINK("http://legacy.baseballprospectus.com/fantasy/dc/index.php?tm=DET","DET")</f>
        <v>DET</v>
      </c>
      <c r="K598" t="s">
        <v>100</v>
      </c>
      <c r="L598" t="s">
        <v>34</v>
      </c>
      <c r="M598">
        <v>31</v>
      </c>
      <c r="N598">
        <v>4.0999999999999996</v>
      </c>
      <c r="O598">
        <v>4.2</v>
      </c>
      <c r="P598">
        <v>4.5</v>
      </c>
      <c r="Q598">
        <v>0</v>
      </c>
      <c r="R598">
        <v>0.3</v>
      </c>
      <c r="S598">
        <v>0</v>
      </c>
      <c r="T598">
        <v>36.1</v>
      </c>
      <c r="U598">
        <v>10.1</v>
      </c>
      <c r="V598" s="9">
        <v>80</v>
      </c>
      <c r="W598">
        <v>335</v>
      </c>
      <c r="X598">
        <v>75</v>
      </c>
      <c r="Y598">
        <v>12</v>
      </c>
      <c r="Z598">
        <v>33</v>
      </c>
      <c r="AA598" t="s">
        <v>1680</v>
      </c>
      <c r="AB598">
        <v>3</v>
      </c>
      <c r="AC598">
        <v>75</v>
      </c>
      <c r="AD598">
        <v>3.7</v>
      </c>
      <c r="AE598">
        <v>8.4</v>
      </c>
      <c r="AF598" s="5">
        <v>0.395229071378707</v>
      </c>
      <c r="AG598">
        <v>0.29599999999999999</v>
      </c>
      <c r="AH598">
        <v>1.36</v>
      </c>
      <c r="AI598">
        <v>4.68</v>
      </c>
      <c r="AJ598">
        <v>5.44</v>
      </c>
      <c r="AK598">
        <v>0.3</v>
      </c>
      <c r="AL598">
        <v>0</v>
      </c>
      <c r="AM598">
        <v>7</v>
      </c>
      <c r="AN598">
        <v>40</v>
      </c>
      <c r="AO598">
        <v>31</v>
      </c>
      <c r="AP598">
        <v>15</v>
      </c>
      <c r="AQ598" t="s">
        <v>2725</v>
      </c>
      <c r="AR598">
        <v>91</v>
      </c>
      <c r="AS598" t="s">
        <v>36</v>
      </c>
      <c r="AT598" t="s">
        <v>36</v>
      </c>
      <c r="AU598" s="4">
        <f>HYPERLINK("http://mlb.mlb.com/team/player.jsp?player_id=475243",475243)</f>
        <v>475243</v>
      </c>
      <c r="AV598">
        <v>0</v>
      </c>
      <c r="AW598">
        <v>0</v>
      </c>
      <c r="AX598">
        <v>94</v>
      </c>
    </row>
    <row r="599" spans="1:50" x14ac:dyDescent="0.3">
      <c r="A599" s="4">
        <f>HYPERLINK("http://legacy.baseballprospectus.com/p/49706",49706)</f>
        <v>49706</v>
      </c>
      <c r="B599" t="s">
        <v>693</v>
      </c>
      <c r="C599" t="s">
        <v>501</v>
      </c>
      <c r="D599" s="10">
        <v>31398</v>
      </c>
      <c r="E599" t="s">
        <v>9</v>
      </c>
      <c r="F599" t="s">
        <v>9</v>
      </c>
      <c r="G599">
        <v>73</v>
      </c>
      <c r="H599">
        <v>220</v>
      </c>
      <c r="I599">
        <v>2018</v>
      </c>
      <c r="J599" s="4" t="str">
        <f>HYPERLINK("http://legacy.baseballprospectus.com/fantasy/dc/index.php?tm=BOS","BOS")</f>
        <v>BOS</v>
      </c>
      <c r="K599" t="s">
        <v>95</v>
      </c>
      <c r="L599" t="s">
        <v>34</v>
      </c>
      <c r="M599">
        <v>32</v>
      </c>
      <c r="N599">
        <v>1.6</v>
      </c>
      <c r="O599">
        <v>0.6</v>
      </c>
      <c r="P599">
        <v>0</v>
      </c>
      <c r="Q599">
        <v>0</v>
      </c>
      <c r="R599">
        <v>0.8</v>
      </c>
      <c r="S599">
        <v>0</v>
      </c>
      <c r="T599">
        <v>33.9</v>
      </c>
      <c r="U599">
        <v>0</v>
      </c>
      <c r="V599" s="9">
        <v>36</v>
      </c>
      <c r="W599">
        <v>159</v>
      </c>
      <c r="X599">
        <v>36</v>
      </c>
      <c r="Y599">
        <v>5</v>
      </c>
      <c r="Z599">
        <v>16</v>
      </c>
      <c r="AA599" t="s">
        <v>1680</v>
      </c>
      <c r="AB599">
        <v>1</v>
      </c>
      <c r="AC599">
        <v>32</v>
      </c>
      <c r="AD599">
        <v>4.0999999999999996</v>
      </c>
      <c r="AE599">
        <v>7.9</v>
      </c>
      <c r="AF599" s="5">
        <v>0.44116839766502303</v>
      </c>
      <c r="AG599">
        <v>0.29899999999999999</v>
      </c>
      <c r="AH599">
        <v>1.47</v>
      </c>
      <c r="AI599">
        <v>4.9000000000000004</v>
      </c>
      <c r="AJ599">
        <v>5.36</v>
      </c>
      <c r="AK599">
        <v>-0.3</v>
      </c>
      <c r="AL599">
        <v>0</v>
      </c>
      <c r="AM599">
        <v>23</v>
      </c>
      <c r="AN599">
        <v>39</v>
      </c>
      <c r="AO599">
        <v>32</v>
      </c>
      <c r="AP599">
        <v>16</v>
      </c>
      <c r="AQ599" t="s">
        <v>2864</v>
      </c>
      <c r="AR599">
        <v>89</v>
      </c>
      <c r="AS599" t="s">
        <v>36</v>
      </c>
      <c r="AT599" t="s">
        <v>36</v>
      </c>
      <c r="AU599" s="4">
        <f>HYPERLINK("http://mlb.mlb.com/team/player.jsp?player_id=472551",472551)</f>
        <v>472551</v>
      </c>
      <c r="AV599">
        <v>0</v>
      </c>
      <c r="AW599">
        <v>0</v>
      </c>
      <c r="AX599">
        <v>43.7</v>
      </c>
    </row>
    <row r="600" spans="1:50" x14ac:dyDescent="0.3">
      <c r="A600" s="4">
        <f>HYPERLINK("http://legacy.baseballprospectus.com/p/55886",55886)</f>
        <v>55886</v>
      </c>
      <c r="B600" t="s">
        <v>120</v>
      </c>
      <c r="C600" t="s">
        <v>698</v>
      </c>
      <c r="D600" s="10">
        <v>32981</v>
      </c>
      <c r="E600" t="s">
        <v>33</v>
      </c>
      <c r="F600" t="s">
        <v>33</v>
      </c>
      <c r="G600">
        <v>72</v>
      </c>
      <c r="H600">
        <v>205</v>
      </c>
      <c r="I600">
        <v>2018</v>
      </c>
      <c r="J600" s="4" t="str">
        <f>HYPERLINK("http://legacy.baseballprospectus.com/fantasy/dc/index.php?tm=OAK","OAK")</f>
        <v>OAK</v>
      </c>
      <c r="K600" t="s">
        <v>95</v>
      </c>
      <c r="L600" t="s">
        <v>34</v>
      </c>
      <c r="M600">
        <v>28</v>
      </c>
      <c r="N600">
        <v>1.9</v>
      </c>
      <c r="O600">
        <v>2.4</v>
      </c>
      <c r="P600">
        <v>2.2999999999999998</v>
      </c>
      <c r="Q600">
        <v>0</v>
      </c>
      <c r="R600">
        <v>0</v>
      </c>
      <c r="S600">
        <v>0</v>
      </c>
      <c r="T600">
        <v>6.4</v>
      </c>
      <c r="U600">
        <v>6.4</v>
      </c>
      <c r="V600" s="9">
        <v>34</v>
      </c>
      <c r="W600">
        <v>150</v>
      </c>
      <c r="X600">
        <v>37</v>
      </c>
      <c r="Y600">
        <v>6</v>
      </c>
      <c r="Z600">
        <v>14</v>
      </c>
      <c r="AA600" t="s">
        <v>1680</v>
      </c>
      <c r="AB600">
        <v>1</v>
      </c>
      <c r="AC600">
        <v>22</v>
      </c>
      <c r="AD600">
        <v>3.7</v>
      </c>
      <c r="AE600">
        <v>5.9</v>
      </c>
      <c r="AF600" s="5">
        <v>0.47253245115280101</v>
      </c>
      <c r="AG600">
        <v>0.29099999999999998</v>
      </c>
      <c r="AH600">
        <v>1.49</v>
      </c>
      <c r="AI600">
        <v>5.47</v>
      </c>
      <c r="AJ600">
        <v>5.72</v>
      </c>
      <c r="AK600">
        <v>-0.1</v>
      </c>
      <c r="AL600">
        <v>0</v>
      </c>
      <c r="AM600">
        <v>11</v>
      </c>
      <c r="AN600">
        <v>39</v>
      </c>
      <c r="AO600">
        <v>30</v>
      </c>
      <c r="AP600">
        <v>14</v>
      </c>
      <c r="AQ600" t="s">
        <v>3163</v>
      </c>
      <c r="AR600">
        <v>92</v>
      </c>
      <c r="AS600" t="s">
        <v>36</v>
      </c>
      <c r="AT600" t="s">
        <v>36</v>
      </c>
      <c r="AU600" s="4">
        <f>HYPERLINK("http://mlb.mlb.com/team/player.jsp?player_id=506693",506693)</f>
        <v>506693</v>
      </c>
      <c r="AV600">
        <v>0</v>
      </c>
      <c r="AW600">
        <v>0</v>
      </c>
      <c r="AX600">
        <v>14.7</v>
      </c>
    </row>
    <row r="601" spans="1:50" x14ac:dyDescent="0.3">
      <c r="A601" s="4">
        <f>HYPERLINK("http://legacy.baseballprospectus.com/p/57866",57866)</f>
        <v>57866</v>
      </c>
      <c r="B601" t="s">
        <v>800</v>
      </c>
      <c r="C601" t="s">
        <v>172</v>
      </c>
      <c r="D601" s="10">
        <v>31966</v>
      </c>
      <c r="E601" t="s">
        <v>33</v>
      </c>
      <c r="F601" t="s">
        <v>9</v>
      </c>
      <c r="G601">
        <v>76</v>
      </c>
      <c r="H601">
        <v>222</v>
      </c>
      <c r="I601">
        <v>2018</v>
      </c>
      <c r="J601" s="4" t="str">
        <f>HYPERLINK("http://legacy.baseballprospectus.com/fantasy/dc/index.php?tm=SDN","SDN")</f>
        <v>SDN</v>
      </c>
      <c r="K601" t="s">
        <v>100</v>
      </c>
      <c r="L601" t="s">
        <v>34</v>
      </c>
      <c r="M601">
        <v>30</v>
      </c>
      <c r="N601">
        <v>1.9</v>
      </c>
      <c r="O601">
        <v>2.1</v>
      </c>
      <c r="P601">
        <v>2.2999999999999998</v>
      </c>
      <c r="Q601">
        <v>0</v>
      </c>
      <c r="R601">
        <v>0.3</v>
      </c>
      <c r="S601">
        <v>0</v>
      </c>
      <c r="T601">
        <v>14.9</v>
      </c>
      <c r="U601">
        <v>5.3</v>
      </c>
      <c r="V601" s="9">
        <v>36.666699999999999</v>
      </c>
      <c r="W601">
        <v>156</v>
      </c>
      <c r="X601">
        <v>37</v>
      </c>
      <c r="Y601">
        <v>6</v>
      </c>
      <c r="Z601">
        <v>15</v>
      </c>
      <c r="AA601" t="s">
        <v>1680</v>
      </c>
      <c r="AB601">
        <v>2</v>
      </c>
      <c r="AC601">
        <v>32</v>
      </c>
      <c r="AD601">
        <v>3.7</v>
      </c>
      <c r="AE601">
        <v>7.9</v>
      </c>
      <c r="AF601" s="5">
        <v>0.42198771238326999</v>
      </c>
      <c r="AG601">
        <v>0.309</v>
      </c>
      <c r="AH601">
        <v>1.41</v>
      </c>
      <c r="AI601">
        <v>4.76</v>
      </c>
      <c r="AJ601">
        <v>5.53</v>
      </c>
      <c r="AK601">
        <v>-0.1</v>
      </c>
      <c r="AL601">
        <v>0</v>
      </c>
      <c r="AM601">
        <v>13</v>
      </c>
      <c r="AN601">
        <v>32</v>
      </c>
      <c r="AO601">
        <v>22</v>
      </c>
      <c r="AP601">
        <v>23</v>
      </c>
      <c r="AQ601" t="s">
        <v>3165</v>
      </c>
      <c r="AR601">
        <v>68</v>
      </c>
      <c r="AS601" t="s">
        <v>36</v>
      </c>
      <c r="AT601" t="s">
        <v>36</v>
      </c>
      <c r="AU601" s="4">
        <f>HYPERLINK("http://mlb.mlb.com/team/player.jsp?player_id=543184",543184)</f>
        <v>543184</v>
      </c>
      <c r="AV601">
        <v>0</v>
      </c>
      <c r="AW601">
        <v>0</v>
      </c>
      <c r="AX601">
        <v>0</v>
      </c>
    </row>
    <row r="602" spans="1:50" x14ac:dyDescent="0.3">
      <c r="A602" s="4">
        <f>HYPERLINK("http://legacy.baseballprospectus.com/p/58195",58195)</f>
        <v>58195</v>
      </c>
      <c r="B602" t="s">
        <v>986</v>
      </c>
      <c r="C602" t="s">
        <v>987</v>
      </c>
      <c r="D602" s="10">
        <v>32045</v>
      </c>
      <c r="E602" t="s">
        <v>33</v>
      </c>
      <c r="F602" t="s">
        <v>33</v>
      </c>
      <c r="G602">
        <v>74</v>
      </c>
      <c r="H602">
        <v>250</v>
      </c>
      <c r="I602">
        <v>2018</v>
      </c>
      <c r="J602" s="4" t="str">
        <f>HYPERLINK("http://legacy.baseballprospectus.com/fantasy/dc/index.php?tm=CIN","CIN")</f>
        <v>CIN</v>
      </c>
      <c r="K602" t="s">
        <v>100</v>
      </c>
      <c r="L602" t="s">
        <v>34</v>
      </c>
      <c r="M602">
        <v>30</v>
      </c>
      <c r="N602">
        <v>5.2</v>
      </c>
      <c r="O602">
        <v>5</v>
      </c>
      <c r="P602">
        <v>5.5</v>
      </c>
      <c r="Q602">
        <v>0</v>
      </c>
      <c r="R602">
        <v>0</v>
      </c>
      <c r="S602">
        <v>0</v>
      </c>
      <c r="T602">
        <v>34.9</v>
      </c>
      <c r="U602">
        <v>12.6</v>
      </c>
      <c r="V602" s="9">
        <v>95</v>
      </c>
      <c r="W602">
        <v>410</v>
      </c>
      <c r="X602">
        <v>105</v>
      </c>
      <c r="Y602">
        <v>13</v>
      </c>
      <c r="Z602">
        <v>39</v>
      </c>
      <c r="AA602" t="s">
        <v>1680</v>
      </c>
      <c r="AB602">
        <v>5</v>
      </c>
      <c r="AC602">
        <v>73</v>
      </c>
      <c r="AD602">
        <v>3.6</v>
      </c>
      <c r="AE602">
        <v>6.9</v>
      </c>
      <c r="AF602" s="5">
        <v>0.474451184272766</v>
      </c>
      <c r="AG602">
        <v>0.32700000000000001</v>
      </c>
      <c r="AH602">
        <v>1.51</v>
      </c>
      <c r="AI602">
        <v>4.8099999999999996</v>
      </c>
      <c r="AJ602">
        <v>5.44</v>
      </c>
      <c r="AK602">
        <v>0.3</v>
      </c>
      <c r="AL602">
        <v>0</v>
      </c>
      <c r="AM602">
        <v>12</v>
      </c>
      <c r="AN602">
        <v>34</v>
      </c>
      <c r="AO602">
        <v>22</v>
      </c>
      <c r="AP602">
        <v>18</v>
      </c>
      <c r="AQ602" t="s">
        <v>2645</v>
      </c>
      <c r="AR602">
        <v>72</v>
      </c>
      <c r="AS602" t="s">
        <v>36</v>
      </c>
      <c r="AT602" t="s">
        <v>36</v>
      </c>
      <c r="AU602" s="4">
        <f>HYPERLINK("http://mlb.mlb.com/team/player.jsp?player_id=474699",474699)</f>
        <v>474699</v>
      </c>
      <c r="AV602">
        <v>0</v>
      </c>
      <c r="AW602">
        <v>0</v>
      </c>
      <c r="AX602">
        <v>71.7</v>
      </c>
    </row>
    <row r="603" spans="1:50" x14ac:dyDescent="0.3">
      <c r="A603" s="4">
        <f>HYPERLINK("http://legacy.baseballprospectus.com/p/58646",58646)</f>
        <v>58646</v>
      </c>
      <c r="B603" t="s">
        <v>1497</v>
      </c>
      <c r="C603" t="s">
        <v>1403</v>
      </c>
      <c r="D603" s="10">
        <v>31315</v>
      </c>
      <c r="E603" t="s">
        <v>33</v>
      </c>
      <c r="F603" t="s">
        <v>33</v>
      </c>
      <c r="G603">
        <v>75</v>
      </c>
      <c r="H603">
        <v>230</v>
      </c>
      <c r="I603">
        <v>2018</v>
      </c>
      <c r="J603" s="4" t="str">
        <f>HYPERLINK("http://legacy.baseballprospectus.com/fantasy/dc/index.php?tm=PIT","PIT")</f>
        <v>PIT</v>
      </c>
      <c r="K603" t="s">
        <v>95</v>
      </c>
      <c r="L603" t="s">
        <v>34</v>
      </c>
      <c r="M603">
        <v>32</v>
      </c>
      <c r="N603">
        <v>1.7</v>
      </c>
      <c r="O603">
        <v>1.4</v>
      </c>
      <c r="P603">
        <v>1.1000000000000001</v>
      </c>
      <c r="Q603">
        <v>0</v>
      </c>
      <c r="R603">
        <v>0.3</v>
      </c>
      <c r="S603">
        <v>0</v>
      </c>
      <c r="T603">
        <v>19.5</v>
      </c>
      <c r="U603">
        <v>3</v>
      </c>
      <c r="V603" s="9">
        <v>33.666699999999999</v>
      </c>
      <c r="W603">
        <v>150</v>
      </c>
      <c r="X603">
        <v>36</v>
      </c>
      <c r="Y603">
        <v>5</v>
      </c>
      <c r="Z603">
        <v>15</v>
      </c>
      <c r="AA603" t="s">
        <v>1680</v>
      </c>
      <c r="AB603">
        <v>1</v>
      </c>
      <c r="AC603">
        <v>26</v>
      </c>
      <c r="AD603">
        <v>3.9</v>
      </c>
      <c r="AE603">
        <v>6.9</v>
      </c>
      <c r="AF603" s="5">
        <v>0.46814429759979198</v>
      </c>
      <c r="AG603">
        <v>0.29699999999999999</v>
      </c>
      <c r="AH603">
        <v>1.5</v>
      </c>
      <c r="AI603">
        <v>5.31</v>
      </c>
      <c r="AJ603">
        <v>5.56</v>
      </c>
      <c r="AK603">
        <v>-0.4</v>
      </c>
      <c r="AL603">
        <v>0</v>
      </c>
      <c r="AM603">
        <v>11</v>
      </c>
      <c r="AN603">
        <v>21</v>
      </c>
      <c r="AO603">
        <v>5</v>
      </c>
      <c r="AP603">
        <v>16</v>
      </c>
      <c r="AQ603" t="s">
        <v>2871</v>
      </c>
      <c r="AR603">
        <v>31</v>
      </c>
      <c r="AS603" t="s">
        <v>36</v>
      </c>
      <c r="AT603" t="s">
        <v>36</v>
      </c>
      <c r="AU603" s="4">
        <f>HYPERLINK("http://mlb.mlb.com/team/player.jsp?player_id=544759",544759)</f>
        <v>544759</v>
      </c>
      <c r="AV603">
        <v>0</v>
      </c>
      <c r="AW603">
        <v>0</v>
      </c>
      <c r="AX603">
        <v>0</v>
      </c>
    </row>
    <row r="604" spans="1:50" x14ac:dyDescent="0.3">
      <c r="A604" s="4">
        <f>HYPERLINK("http://legacy.baseballprospectus.com/p/59985",59985)</f>
        <v>59985</v>
      </c>
      <c r="B604" t="s">
        <v>2036</v>
      </c>
      <c r="C604" t="s">
        <v>434</v>
      </c>
      <c r="D604" s="10">
        <v>32876</v>
      </c>
      <c r="E604" t="s">
        <v>9</v>
      </c>
      <c r="F604" t="s">
        <v>9</v>
      </c>
      <c r="G604">
        <v>73</v>
      </c>
      <c r="H604">
        <v>245</v>
      </c>
      <c r="I604">
        <v>2018</v>
      </c>
      <c r="J604" s="4" t="str">
        <f>HYPERLINK("http://legacy.baseballprospectus.com/fantasy/dc/index.php?tm=BAL","BAL")</f>
        <v>BAL</v>
      </c>
      <c r="K604" t="s">
        <v>100</v>
      </c>
      <c r="L604" t="s">
        <v>34</v>
      </c>
      <c r="M604">
        <v>28</v>
      </c>
      <c r="N604">
        <v>1</v>
      </c>
      <c r="O604">
        <v>0.4</v>
      </c>
      <c r="P604">
        <v>0</v>
      </c>
      <c r="Q604">
        <v>0</v>
      </c>
      <c r="R604">
        <v>0</v>
      </c>
      <c r="S604">
        <v>0</v>
      </c>
      <c r="T604">
        <v>20.399999999999999</v>
      </c>
      <c r="U604">
        <v>0</v>
      </c>
      <c r="V604" s="9">
        <v>21.666699999999999</v>
      </c>
      <c r="W604">
        <v>93</v>
      </c>
      <c r="X604">
        <v>19</v>
      </c>
      <c r="Y604">
        <v>3</v>
      </c>
      <c r="Z604">
        <v>11</v>
      </c>
      <c r="AA604" t="s">
        <v>1680</v>
      </c>
      <c r="AB604">
        <v>1</v>
      </c>
      <c r="AC604">
        <v>23</v>
      </c>
      <c r="AD604">
        <v>4.8</v>
      </c>
      <c r="AE604">
        <v>9.5</v>
      </c>
      <c r="AF604" s="5">
        <v>0.45715549588203402</v>
      </c>
      <c r="AG604">
        <v>0.308</v>
      </c>
      <c r="AH604">
        <v>1.43</v>
      </c>
      <c r="AI604">
        <v>4.43</v>
      </c>
      <c r="AJ604">
        <v>5.01</v>
      </c>
      <c r="AK604">
        <v>0.4</v>
      </c>
      <c r="AL604">
        <v>0</v>
      </c>
      <c r="AM604">
        <v>17</v>
      </c>
      <c r="AN604">
        <v>21</v>
      </c>
      <c r="AO604">
        <v>16</v>
      </c>
      <c r="AP604">
        <v>23</v>
      </c>
      <c r="AQ604" t="s">
        <v>3243</v>
      </c>
      <c r="AR604">
        <v>43</v>
      </c>
      <c r="AS604" t="s">
        <v>36</v>
      </c>
      <c r="AT604" t="s">
        <v>35</v>
      </c>
      <c r="AU604" s="4">
        <f>HYPERLINK("http://mlb.mlb.com/team/player.jsp?player_id=543017",543017)</f>
        <v>543017</v>
      </c>
      <c r="AV604">
        <v>0</v>
      </c>
      <c r="AW604">
        <v>0</v>
      </c>
      <c r="AX604">
        <v>4.7</v>
      </c>
    </row>
    <row r="605" spans="1:50" x14ac:dyDescent="0.3">
      <c r="A605" s="4">
        <f>HYPERLINK("http://legacy.baseballprospectus.com/p/65830",65830)</f>
        <v>65830</v>
      </c>
      <c r="B605" t="s">
        <v>908</v>
      </c>
      <c r="C605" t="s">
        <v>344</v>
      </c>
      <c r="D605" s="10">
        <v>32299</v>
      </c>
      <c r="E605" t="s">
        <v>33</v>
      </c>
      <c r="F605" t="s">
        <v>33</v>
      </c>
      <c r="G605">
        <v>77</v>
      </c>
      <c r="H605">
        <v>220</v>
      </c>
      <c r="I605">
        <v>2018</v>
      </c>
      <c r="J605" s="4" t="str">
        <f>HYPERLINK("http://legacy.baseballprospectus.com/fantasy/dc/index.php?tm=TOR","TOR")</f>
        <v>TOR</v>
      </c>
      <c r="K605" t="s">
        <v>95</v>
      </c>
      <c r="L605" t="s">
        <v>34</v>
      </c>
      <c r="M605">
        <v>30</v>
      </c>
      <c r="N605">
        <v>1.5</v>
      </c>
      <c r="O605">
        <v>0.5</v>
      </c>
      <c r="P605">
        <v>0</v>
      </c>
      <c r="Q605">
        <v>0</v>
      </c>
      <c r="R605">
        <v>0.7</v>
      </c>
      <c r="S605">
        <v>0</v>
      </c>
      <c r="T605">
        <v>32</v>
      </c>
      <c r="U605">
        <v>0</v>
      </c>
      <c r="V605" s="9">
        <v>34</v>
      </c>
      <c r="W605">
        <v>150</v>
      </c>
      <c r="X605">
        <v>34</v>
      </c>
      <c r="Y605">
        <v>5</v>
      </c>
      <c r="Z605">
        <v>16</v>
      </c>
      <c r="AA605" t="s">
        <v>1680</v>
      </c>
      <c r="AB605">
        <v>1</v>
      </c>
      <c r="AC605">
        <v>28</v>
      </c>
      <c r="AD605">
        <v>4.4000000000000004</v>
      </c>
      <c r="AE605">
        <v>7.5</v>
      </c>
      <c r="AF605" s="5">
        <v>0.52267110347747803</v>
      </c>
      <c r="AG605">
        <v>0.3</v>
      </c>
      <c r="AH605">
        <v>1.5</v>
      </c>
      <c r="AI605">
        <v>5</v>
      </c>
      <c r="AJ605">
        <v>5.15</v>
      </c>
      <c r="AK605">
        <v>0.4</v>
      </c>
      <c r="AL605">
        <v>0</v>
      </c>
      <c r="AM605">
        <v>30</v>
      </c>
      <c r="AN605">
        <v>54</v>
      </c>
      <c r="AO605">
        <v>24</v>
      </c>
      <c r="AP605">
        <v>19</v>
      </c>
      <c r="AQ605" t="s">
        <v>3166</v>
      </c>
      <c r="AR605">
        <v>84</v>
      </c>
      <c r="AS605" t="s">
        <v>36</v>
      </c>
      <c r="AT605" t="s">
        <v>36</v>
      </c>
      <c r="AU605" s="4">
        <f>HYPERLINK("http://mlb.mlb.com/team/player.jsp?player_id=502593",502593)</f>
        <v>502593</v>
      </c>
      <c r="AV605">
        <v>0</v>
      </c>
      <c r="AW605">
        <v>0</v>
      </c>
      <c r="AX605">
        <v>25.7</v>
      </c>
    </row>
    <row r="606" spans="1:50" x14ac:dyDescent="0.3">
      <c r="A606" s="4">
        <f>HYPERLINK("http://legacy.baseballprospectus.com/p/66639",66639)</f>
        <v>66639</v>
      </c>
      <c r="B606" t="s">
        <v>1147</v>
      </c>
      <c r="C606" t="s">
        <v>150</v>
      </c>
      <c r="D606" s="10">
        <v>31763</v>
      </c>
      <c r="E606" t="s">
        <v>33</v>
      </c>
      <c r="F606" t="s">
        <v>9</v>
      </c>
      <c r="G606">
        <v>73</v>
      </c>
      <c r="H606">
        <v>245</v>
      </c>
      <c r="I606">
        <v>2018</v>
      </c>
      <c r="J606" s="4" t="str">
        <f>HYPERLINK("http://legacy.baseballprospectus.com/fantasy/dc/index.php?tm=NYN","NYN")</f>
        <v>NYN</v>
      </c>
      <c r="K606" t="s">
        <v>100</v>
      </c>
      <c r="L606" t="s">
        <v>34</v>
      </c>
      <c r="M606">
        <v>31</v>
      </c>
      <c r="N606">
        <v>1.3</v>
      </c>
      <c r="O606">
        <v>0.5</v>
      </c>
      <c r="P606">
        <v>0</v>
      </c>
      <c r="Q606">
        <v>0</v>
      </c>
      <c r="R606">
        <v>0</v>
      </c>
      <c r="S606">
        <v>0</v>
      </c>
      <c r="T606">
        <v>26.3</v>
      </c>
      <c r="U606">
        <v>0</v>
      </c>
      <c r="V606" s="9">
        <v>27.666699999999999</v>
      </c>
      <c r="W606">
        <v>122</v>
      </c>
      <c r="X606">
        <v>29</v>
      </c>
      <c r="Y606">
        <v>4</v>
      </c>
      <c r="Z606">
        <v>14</v>
      </c>
      <c r="AA606" t="s">
        <v>1680</v>
      </c>
      <c r="AB606">
        <v>2</v>
      </c>
      <c r="AC606">
        <v>25</v>
      </c>
      <c r="AD606">
        <v>4.4000000000000004</v>
      </c>
      <c r="AE606">
        <v>8.1</v>
      </c>
      <c r="AF606" s="5">
        <v>0.46901261806487998</v>
      </c>
      <c r="AG606">
        <v>0.32500000000000001</v>
      </c>
      <c r="AH606">
        <v>1.53</v>
      </c>
      <c r="AI606">
        <v>4.8</v>
      </c>
      <c r="AJ606">
        <v>5.33</v>
      </c>
      <c r="AK606">
        <v>-0.3</v>
      </c>
      <c r="AL606">
        <v>0</v>
      </c>
      <c r="AM606">
        <v>21</v>
      </c>
      <c r="AN606">
        <v>26</v>
      </c>
      <c r="AO606">
        <v>11</v>
      </c>
      <c r="AP606">
        <v>14</v>
      </c>
      <c r="AQ606" t="s">
        <v>3145</v>
      </c>
      <c r="AR606">
        <v>44</v>
      </c>
      <c r="AS606" t="s">
        <v>36</v>
      </c>
      <c r="AT606" t="s">
        <v>36</v>
      </c>
      <c r="AU606" s="4">
        <f>HYPERLINK("http://mlb.mlb.com/team/player.jsp?player_id=572831",572831)</f>
        <v>572831</v>
      </c>
      <c r="AV606">
        <v>0</v>
      </c>
      <c r="AW606">
        <v>0</v>
      </c>
      <c r="AX606">
        <v>37</v>
      </c>
    </row>
    <row r="607" spans="1:50" x14ac:dyDescent="0.3">
      <c r="A607" s="4">
        <f>HYPERLINK("http://legacy.baseballprospectus.com/p/67031",67031)</f>
        <v>67031</v>
      </c>
      <c r="B607" t="s">
        <v>851</v>
      </c>
      <c r="C607" t="s">
        <v>108</v>
      </c>
      <c r="D607" s="10">
        <v>33550</v>
      </c>
      <c r="E607" t="s">
        <v>33</v>
      </c>
      <c r="F607" t="s">
        <v>33</v>
      </c>
      <c r="G607">
        <v>77</v>
      </c>
      <c r="H607">
        <v>225</v>
      </c>
      <c r="I607">
        <v>2018</v>
      </c>
      <c r="J607" s="4" t="str">
        <f>HYPERLINK("http://legacy.baseballprospectus.com/fantasy/dc/index.php?tm=PIT","PIT")</f>
        <v>PIT</v>
      </c>
      <c r="K607" t="s">
        <v>100</v>
      </c>
      <c r="L607" t="s">
        <v>34</v>
      </c>
      <c r="M607">
        <v>26</v>
      </c>
      <c r="N607">
        <v>1.3</v>
      </c>
      <c r="O607">
        <v>1.6</v>
      </c>
      <c r="P607">
        <v>1</v>
      </c>
      <c r="Q607">
        <v>0</v>
      </c>
      <c r="R607">
        <v>0</v>
      </c>
      <c r="S607">
        <v>0</v>
      </c>
      <c r="T607">
        <v>17</v>
      </c>
      <c r="U607">
        <v>2</v>
      </c>
      <c r="V607" s="9">
        <v>26.333300000000001</v>
      </c>
      <c r="W607">
        <v>114</v>
      </c>
      <c r="X607">
        <v>27</v>
      </c>
      <c r="Y607">
        <v>4</v>
      </c>
      <c r="Z607">
        <v>9</v>
      </c>
      <c r="AA607">
        <v>1</v>
      </c>
      <c r="AB607">
        <v>1</v>
      </c>
      <c r="AC607">
        <v>22</v>
      </c>
      <c r="AD607">
        <v>3.1</v>
      </c>
      <c r="AE607">
        <v>7.5</v>
      </c>
      <c r="AF607" s="5">
        <v>0.44600000000000001</v>
      </c>
      <c r="AG607">
        <v>0.29399999999999998</v>
      </c>
      <c r="AH607">
        <v>1.36</v>
      </c>
      <c r="AI607">
        <v>4.87</v>
      </c>
      <c r="AJ607">
        <v>5.04</v>
      </c>
      <c r="AK607">
        <v>0.2</v>
      </c>
      <c r="AL607">
        <v>0</v>
      </c>
      <c r="AM607">
        <v>20</v>
      </c>
      <c r="AN607">
        <v>34</v>
      </c>
      <c r="AO607">
        <v>11</v>
      </c>
      <c r="AP607">
        <v>27</v>
      </c>
      <c r="AQ607" t="s">
        <v>3009</v>
      </c>
      <c r="AR607">
        <v>60</v>
      </c>
      <c r="AS607" t="s">
        <v>35</v>
      </c>
      <c r="AT607" t="s">
        <v>35</v>
      </c>
      <c r="AU607" s="4">
        <f>HYPERLINK("http://mlb.mlb.com/team/player.jsp?player_id=592468",592468)</f>
        <v>592468</v>
      </c>
      <c r="AV607">
        <v>1195</v>
      </c>
      <c r="AW607">
        <v>195</v>
      </c>
      <c r="AX607">
        <v>0</v>
      </c>
    </row>
    <row r="608" spans="1:50" x14ac:dyDescent="0.3">
      <c r="A608" s="4">
        <f>HYPERLINK("http://legacy.baseballprospectus.com/p/67050",67050)</f>
        <v>67050</v>
      </c>
      <c r="B608" t="s">
        <v>4942</v>
      </c>
      <c r="C608" t="s">
        <v>181</v>
      </c>
      <c r="D608" s="10">
        <v>32436</v>
      </c>
      <c r="E608" t="s">
        <v>33</v>
      </c>
      <c r="F608" t="s">
        <v>33</v>
      </c>
      <c r="G608">
        <v>72</v>
      </c>
      <c r="H608">
        <v>190</v>
      </c>
      <c r="I608">
        <v>2018</v>
      </c>
      <c r="J608" s="4" t="str">
        <f>HYPERLINK("http://legacy.baseballprospectus.com/fantasy/dc/index.php?tm=SDN","SDN")</f>
        <v>SDN</v>
      </c>
      <c r="K608" t="s">
        <v>100</v>
      </c>
      <c r="L608" t="s">
        <v>34</v>
      </c>
      <c r="M608">
        <v>29</v>
      </c>
      <c r="N608">
        <v>0.5</v>
      </c>
      <c r="O608">
        <v>0.6</v>
      </c>
      <c r="P608">
        <v>0</v>
      </c>
      <c r="Q608">
        <v>0</v>
      </c>
      <c r="R608">
        <v>0</v>
      </c>
      <c r="S608">
        <v>0</v>
      </c>
      <c r="T608">
        <v>11</v>
      </c>
      <c r="U608">
        <v>0</v>
      </c>
      <c r="V608" s="9">
        <v>11.333299999999999</v>
      </c>
      <c r="W608">
        <v>50</v>
      </c>
      <c r="X608">
        <v>11</v>
      </c>
      <c r="Y608">
        <v>2</v>
      </c>
      <c r="Z608">
        <v>5</v>
      </c>
      <c r="AA608">
        <v>0</v>
      </c>
      <c r="AB608">
        <v>0</v>
      </c>
      <c r="AC608">
        <v>12</v>
      </c>
      <c r="AD608">
        <v>3.9</v>
      </c>
      <c r="AE608">
        <v>9.3000000000000007</v>
      </c>
      <c r="AF608" s="5">
        <v>0.38800000000000001</v>
      </c>
      <c r="AG608">
        <v>0.29599999999999999</v>
      </c>
      <c r="AH608">
        <v>1.39</v>
      </c>
      <c r="AI608">
        <v>4.93</v>
      </c>
      <c r="AJ608">
        <v>5.14</v>
      </c>
      <c r="AK608">
        <v>-0.2</v>
      </c>
      <c r="AL608">
        <v>0</v>
      </c>
      <c r="AM608">
        <v>16</v>
      </c>
      <c r="AN608">
        <v>21</v>
      </c>
      <c r="AO608">
        <v>14</v>
      </c>
      <c r="AP608">
        <v>21</v>
      </c>
      <c r="AQ608" t="s">
        <v>4943</v>
      </c>
      <c r="AR608">
        <v>39</v>
      </c>
      <c r="AS608" t="s">
        <v>35</v>
      </c>
      <c r="AT608" t="s">
        <v>35</v>
      </c>
      <c r="AU608" s="4">
        <f>HYPERLINK("http://mlb.mlb.com/team/player.jsp?player_id=592527",592527)</f>
        <v>592527</v>
      </c>
      <c r="AV608">
        <v>0</v>
      </c>
      <c r="AW608">
        <v>0</v>
      </c>
      <c r="AX608">
        <v>0</v>
      </c>
    </row>
    <row r="609" spans="1:50" x14ac:dyDescent="0.3">
      <c r="A609" s="4">
        <f>HYPERLINK("http://legacy.baseballprospectus.com/p/67057",67057)</f>
        <v>67057</v>
      </c>
      <c r="B609" t="s">
        <v>527</v>
      </c>
      <c r="C609" t="s">
        <v>1571</v>
      </c>
      <c r="D609" s="10">
        <v>33922</v>
      </c>
      <c r="E609" t="s">
        <v>33</v>
      </c>
      <c r="F609" t="s">
        <v>33</v>
      </c>
      <c r="G609">
        <v>73</v>
      </c>
      <c r="H609">
        <v>195</v>
      </c>
      <c r="I609">
        <v>2018</v>
      </c>
      <c r="J609" s="4" t="str">
        <f>HYPERLINK("http://legacy.baseballprospectus.com/fantasy/dc/index.php?tm=ATL","ATL")</f>
        <v>ATL</v>
      </c>
      <c r="K609" t="s">
        <v>100</v>
      </c>
      <c r="L609" t="s">
        <v>34</v>
      </c>
      <c r="M609">
        <v>25</v>
      </c>
      <c r="N609">
        <v>0.8</v>
      </c>
      <c r="O609">
        <v>0.8</v>
      </c>
      <c r="P609">
        <v>0</v>
      </c>
      <c r="Q609">
        <v>0</v>
      </c>
      <c r="R609">
        <v>0</v>
      </c>
      <c r="S609">
        <v>0</v>
      </c>
      <c r="T609">
        <v>15</v>
      </c>
      <c r="U609">
        <v>0</v>
      </c>
      <c r="V609" s="9">
        <v>16.333300000000001</v>
      </c>
      <c r="W609">
        <v>72</v>
      </c>
      <c r="X609">
        <v>15</v>
      </c>
      <c r="Y609">
        <v>3</v>
      </c>
      <c r="Z609">
        <v>8</v>
      </c>
      <c r="AA609">
        <v>0</v>
      </c>
      <c r="AB609">
        <v>0</v>
      </c>
      <c r="AC609">
        <v>20</v>
      </c>
      <c r="AD609">
        <v>4.5</v>
      </c>
      <c r="AE609">
        <v>10.8</v>
      </c>
      <c r="AF609" s="5">
        <v>0.38600000000000001</v>
      </c>
      <c r="AG609">
        <v>0.29499999999999998</v>
      </c>
      <c r="AH609">
        <v>1.39</v>
      </c>
      <c r="AI609">
        <v>4.49</v>
      </c>
      <c r="AJ609">
        <v>4.79</v>
      </c>
      <c r="AK609">
        <v>0.3</v>
      </c>
      <c r="AL609">
        <v>0</v>
      </c>
      <c r="AM609">
        <v>14</v>
      </c>
      <c r="AN609">
        <v>21</v>
      </c>
      <c r="AO609">
        <v>12</v>
      </c>
      <c r="AP609">
        <v>29</v>
      </c>
      <c r="AQ609" t="s">
        <v>3010</v>
      </c>
      <c r="AR609">
        <v>41</v>
      </c>
      <c r="AS609" t="s">
        <v>35</v>
      </c>
      <c r="AT609" t="s">
        <v>35</v>
      </c>
      <c r="AU609" s="4">
        <f>HYPERLINK("http://mlb.mlb.com/team/player.jsp?player_id=592570",592570)</f>
        <v>592570</v>
      </c>
      <c r="AV609">
        <v>1344</v>
      </c>
      <c r="AW609">
        <v>344</v>
      </c>
      <c r="AX609">
        <v>7.3</v>
      </c>
    </row>
    <row r="610" spans="1:50" x14ac:dyDescent="0.3">
      <c r="A610" s="4">
        <f>HYPERLINK("http://legacy.baseballprospectus.com/p/67237",67237)</f>
        <v>67237</v>
      </c>
      <c r="B610" t="s">
        <v>1194</v>
      </c>
      <c r="C610" t="s">
        <v>436</v>
      </c>
      <c r="D610" s="10">
        <v>33942</v>
      </c>
      <c r="E610" t="s">
        <v>33</v>
      </c>
      <c r="F610" t="s">
        <v>33</v>
      </c>
      <c r="G610">
        <v>76</v>
      </c>
      <c r="H610">
        <v>220</v>
      </c>
      <c r="I610">
        <v>2018</v>
      </c>
      <c r="J610" s="4" t="str">
        <f>HYPERLINK("http://legacy.baseballprospectus.com/fantasy/dc/index.php?tm=OAK","OAK")</f>
        <v>OAK</v>
      </c>
      <c r="K610" t="s">
        <v>95</v>
      </c>
      <c r="L610" t="s">
        <v>34</v>
      </c>
      <c r="M610">
        <v>25</v>
      </c>
      <c r="N610">
        <v>1.4</v>
      </c>
      <c r="O610">
        <v>1.8</v>
      </c>
      <c r="P610">
        <v>0</v>
      </c>
      <c r="Q610">
        <v>0</v>
      </c>
      <c r="R610">
        <v>0</v>
      </c>
      <c r="S610">
        <v>1</v>
      </c>
      <c r="T610">
        <v>31</v>
      </c>
      <c r="U610">
        <v>0</v>
      </c>
      <c r="V610" s="9">
        <v>33</v>
      </c>
      <c r="W610">
        <v>143</v>
      </c>
      <c r="X610">
        <v>34</v>
      </c>
      <c r="Y610">
        <v>6</v>
      </c>
      <c r="Z610">
        <v>12</v>
      </c>
      <c r="AA610">
        <v>1</v>
      </c>
      <c r="AB610">
        <v>1</v>
      </c>
      <c r="AC610">
        <v>26</v>
      </c>
      <c r="AD610">
        <v>3.4</v>
      </c>
      <c r="AE610">
        <v>7.2</v>
      </c>
      <c r="AF610" s="5">
        <v>0.442</v>
      </c>
      <c r="AG610">
        <v>0.28999999999999998</v>
      </c>
      <c r="AH610">
        <v>1.4</v>
      </c>
      <c r="AI610">
        <v>5.34</v>
      </c>
      <c r="AJ610">
        <v>5.26</v>
      </c>
      <c r="AK610">
        <v>0</v>
      </c>
      <c r="AL610">
        <v>0</v>
      </c>
      <c r="AM610">
        <v>24</v>
      </c>
      <c r="AN610">
        <v>34</v>
      </c>
      <c r="AO610">
        <v>14</v>
      </c>
      <c r="AP610">
        <v>42</v>
      </c>
      <c r="AQ610" t="s">
        <v>2718</v>
      </c>
      <c r="AR610">
        <v>62</v>
      </c>
      <c r="AS610" t="s">
        <v>35</v>
      </c>
      <c r="AT610" t="s">
        <v>35</v>
      </c>
      <c r="AU610" s="4">
        <f>HYPERLINK("http://mlb.mlb.com/team/player.jsp?player_id=593417",593417)</f>
        <v>593417</v>
      </c>
      <c r="AV610">
        <v>102</v>
      </c>
      <c r="AW610">
        <v>1102</v>
      </c>
      <c r="AX610">
        <v>24</v>
      </c>
    </row>
    <row r="611" spans="1:50" x14ac:dyDescent="0.3">
      <c r="A611" s="4">
        <f>HYPERLINK("http://legacy.baseballprospectus.com/p/67560",67560)</f>
        <v>67560</v>
      </c>
      <c r="B611" t="s">
        <v>3011</v>
      </c>
      <c r="C611" t="s">
        <v>3012</v>
      </c>
      <c r="D611" s="10">
        <v>33496</v>
      </c>
      <c r="E611" t="s">
        <v>33</v>
      </c>
      <c r="F611" t="s">
        <v>33</v>
      </c>
      <c r="G611">
        <v>75</v>
      </c>
      <c r="H611">
        <v>195</v>
      </c>
      <c r="I611">
        <v>2018</v>
      </c>
      <c r="J611" s="4" t="str">
        <f>HYPERLINK("http://legacy.baseballprospectus.com/fantasy/dc/index.php?tm=WAS","WAS")</f>
        <v>WAS</v>
      </c>
      <c r="K611" t="s">
        <v>100</v>
      </c>
      <c r="L611" t="s">
        <v>34</v>
      </c>
      <c r="M611">
        <v>26</v>
      </c>
      <c r="N611">
        <v>0.5</v>
      </c>
      <c r="O611">
        <v>0.5</v>
      </c>
      <c r="P611">
        <v>0</v>
      </c>
      <c r="Q611">
        <v>0</v>
      </c>
      <c r="R611">
        <v>0</v>
      </c>
      <c r="S611">
        <v>0</v>
      </c>
      <c r="T611">
        <v>10</v>
      </c>
      <c r="U611">
        <v>0</v>
      </c>
      <c r="V611" s="9">
        <v>10.333299999999999</v>
      </c>
      <c r="W611">
        <v>47</v>
      </c>
      <c r="X611">
        <v>11</v>
      </c>
      <c r="Y611">
        <v>2</v>
      </c>
      <c r="Z611">
        <v>5</v>
      </c>
      <c r="AA611">
        <v>0</v>
      </c>
      <c r="AB611">
        <v>1</v>
      </c>
      <c r="AC611">
        <v>10</v>
      </c>
      <c r="AD611">
        <v>3.9</v>
      </c>
      <c r="AE611">
        <v>8.1999999999999993</v>
      </c>
      <c r="AF611" s="5">
        <v>0.42499999999999999</v>
      </c>
      <c r="AG611">
        <v>0.3</v>
      </c>
      <c r="AH611">
        <v>1.5</v>
      </c>
      <c r="AI611">
        <v>5.28</v>
      </c>
      <c r="AJ611">
        <v>5.29</v>
      </c>
      <c r="AK611">
        <v>-0.3</v>
      </c>
      <c r="AL611">
        <v>0</v>
      </c>
      <c r="AM611">
        <v>13</v>
      </c>
      <c r="AN611">
        <v>17</v>
      </c>
      <c r="AO611">
        <v>5</v>
      </c>
      <c r="AP611">
        <v>20</v>
      </c>
      <c r="AQ611" t="s">
        <v>3013</v>
      </c>
      <c r="AR611">
        <v>26</v>
      </c>
      <c r="AS611" t="s">
        <v>35</v>
      </c>
      <c r="AT611" t="s">
        <v>35</v>
      </c>
      <c r="AU611" s="4">
        <f>HYPERLINK("http://mlb.mlb.com/team/player.jsp?player_id=593833",593833)</f>
        <v>593833</v>
      </c>
      <c r="AV611">
        <v>0</v>
      </c>
      <c r="AW611">
        <v>0</v>
      </c>
      <c r="AX611">
        <v>0</v>
      </c>
    </row>
    <row r="612" spans="1:50" x14ac:dyDescent="0.3">
      <c r="A612" s="4">
        <f>HYPERLINK("http://legacy.baseballprospectus.com/p/67656",67656)</f>
        <v>67656</v>
      </c>
      <c r="B612" t="s">
        <v>1661</v>
      </c>
      <c r="C612" t="s">
        <v>1662</v>
      </c>
      <c r="D612" s="10">
        <v>33679</v>
      </c>
      <c r="E612" t="s">
        <v>9</v>
      </c>
      <c r="F612" t="s">
        <v>9</v>
      </c>
      <c r="G612">
        <v>76</v>
      </c>
      <c r="H612">
        <v>205</v>
      </c>
      <c r="I612">
        <v>2018</v>
      </c>
      <c r="J612" s="4" t="str">
        <f>HYPERLINK("http://legacy.baseballprospectus.com/fantasy/dc/index.php?tm=HOU","HOU")</f>
        <v>HOU</v>
      </c>
      <c r="K612" t="s">
        <v>95</v>
      </c>
      <c r="L612" t="s">
        <v>34</v>
      </c>
      <c r="M612">
        <v>26</v>
      </c>
      <c r="N612">
        <v>0.7</v>
      </c>
      <c r="O612">
        <v>0.7</v>
      </c>
      <c r="P612">
        <v>0</v>
      </c>
      <c r="Q612">
        <v>0</v>
      </c>
      <c r="R612">
        <v>0</v>
      </c>
      <c r="S612">
        <v>0</v>
      </c>
      <c r="T612">
        <v>14</v>
      </c>
      <c r="U612">
        <v>0</v>
      </c>
      <c r="V612" s="9">
        <v>14.666700000000001</v>
      </c>
      <c r="W612">
        <v>65</v>
      </c>
      <c r="X612">
        <v>14</v>
      </c>
      <c r="Y612">
        <v>2</v>
      </c>
      <c r="Z612">
        <v>7</v>
      </c>
      <c r="AA612">
        <v>0</v>
      </c>
      <c r="AB612">
        <v>0</v>
      </c>
      <c r="AC612">
        <v>14</v>
      </c>
      <c r="AD612">
        <v>4.5999999999999996</v>
      </c>
      <c r="AE612">
        <v>9</v>
      </c>
      <c r="AF612" s="5">
        <v>0.47599999999999998</v>
      </c>
      <c r="AG612">
        <v>0.30199999999999999</v>
      </c>
      <c r="AH612">
        <v>1.56</v>
      </c>
      <c r="AI612">
        <v>5.09</v>
      </c>
      <c r="AJ612">
        <v>5.2</v>
      </c>
      <c r="AK612">
        <v>0.1</v>
      </c>
      <c r="AL612">
        <v>0</v>
      </c>
      <c r="AM612">
        <v>20</v>
      </c>
      <c r="AN612">
        <v>25</v>
      </c>
      <c r="AO612">
        <v>15</v>
      </c>
      <c r="AP612">
        <v>22</v>
      </c>
      <c r="AQ612" t="s">
        <v>2852</v>
      </c>
      <c r="AR612">
        <v>47</v>
      </c>
      <c r="AS612" t="s">
        <v>35</v>
      </c>
      <c r="AT612" t="s">
        <v>35</v>
      </c>
      <c r="AU612" s="4">
        <f>HYPERLINK("http://mlb.mlb.com/team/player.jsp?player_id=594056",594056)</f>
        <v>594056</v>
      </c>
      <c r="AV612">
        <v>325</v>
      </c>
      <c r="AW612">
        <v>1325</v>
      </c>
      <c r="AX612">
        <v>16</v>
      </c>
    </row>
    <row r="613" spans="1:50" x14ac:dyDescent="0.3">
      <c r="A613" s="4">
        <f>HYPERLINK("http://legacy.baseballprospectus.com/p/67687",67687)</f>
        <v>67687</v>
      </c>
      <c r="B613" t="s">
        <v>1530</v>
      </c>
      <c r="C613" t="s">
        <v>1531</v>
      </c>
      <c r="D613" s="10">
        <v>33889</v>
      </c>
      <c r="E613" t="s">
        <v>33</v>
      </c>
      <c r="F613" t="s">
        <v>33</v>
      </c>
      <c r="G613">
        <v>74</v>
      </c>
      <c r="H613">
        <v>210</v>
      </c>
      <c r="I613">
        <v>2018</v>
      </c>
      <c r="J613" s="4" t="str">
        <f>HYPERLINK("http://legacy.baseballprospectus.com/fantasy/dc/index.php?tm=HOU","HOU")</f>
        <v>HOU</v>
      </c>
      <c r="K613" t="s">
        <v>95</v>
      </c>
      <c r="L613" t="s">
        <v>34</v>
      </c>
      <c r="M613">
        <v>25</v>
      </c>
      <c r="N613">
        <v>0.7</v>
      </c>
      <c r="O613">
        <v>0.7</v>
      </c>
      <c r="P613">
        <v>0</v>
      </c>
      <c r="Q613">
        <v>0</v>
      </c>
      <c r="R613">
        <v>0</v>
      </c>
      <c r="S613">
        <v>0</v>
      </c>
      <c r="T613">
        <v>14</v>
      </c>
      <c r="U613">
        <v>0</v>
      </c>
      <c r="V613" s="9">
        <v>14.666700000000001</v>
      </c>
      <c r="W613">
        <v>65</v>
      </c>
      <c r="X613">
        <v>15</v>
      </c>
      <c r="Y613">
        <v>2</v>
      </c>
      <c r="Z613">
        <v>8</v>
      </c>
      <c r="AA613">
        <v>0</v>
      </c>
      <c r="AB613">
        <v>1</v>
      </c>
      <c r="AC613">
        <v>12</v>
      </c>
      <c r="AD613">
        <v>4.7</v>
      </c>
      <c r="AE613">
        <v>7.5</v>
      </c>
      <c r="AF613" s="5">
        <v>0.47599999999999998</v>
      </c>
      <c r="AG613">
        <v>0.29699999999999999</v>
      </c>
      <c r="AH613">
        <v>1.55</v>
      </c>
      <c r="AI613">
        <v>4.9000000000000004</v>
      </c>
      <c r="AJ613">
        <v>5.05</v>
      </c>
      <c r="AK613">
        <v>0.3</v>
      </c>
      <c r="AL613">
        <v>0</v>
      </c>
      <c r="AM613">
        <v>20</v>
      </c>
      <c r="AN613">
        <v>35</v>
      </c>
      <c r="AO613">
        <v>15</v>
      </c>
      <c r="AP613">
        <v>31</v>
      </c>
      <c r="AQ613" t="s">
        <v>3014</v>
      </c>
      <c r="AR613">
        <v>59</v>
      </c>
      <c r="AS613" t="s">
        <v>35</v>
      </c>
      <c r="AT613" t="s">
        <v>35</v>
      </c>
      <c r="AU613" s="4">
        <f>HYPERLINK("http://mlb.mlb.com/team/player.jsp?player_id=594311",594311)</f>
        <v>594311</v>
      </c>
      <c r="AV613">
        <v>120</v>
      </c>
      <c r="AW613">
        <v>1120</v>
      </c>
      <c r="AX613">
        <v>5</v>
      </c>
    </row>
    <row r="614" spans="1:50" x14ac:dyDescent="0.3">
      <c r="A614" s="4">
        <f>HYPERLINK("http://legacy.baseballprospectus.com/p/68086",68086)</f>
        <v>68086</v>
      </c>
      <c r="B614" t="s">
        <v>362</v>
      </c>
      <c r="C614" t="s">
        <v>319</v>
      </c>
      <c r="D614" s="10">
        <v>33608</v>
      </c>
      <c r="E614" t="s">
        <v>33</v>
      </c>
      <c r="F614" t="s">
        <v>33</v>
      </c>
      <c r="G614">
        <v>77</v>
      </c>
      <c r="H614">
        <v>215</v>
      </c>
      <c r="I614">
        <v>2018</v>
      </c>
      <c r="J614" s="4" t="str">
        <f>HYPERLINK("http://legacy.baseballprospectus.com/fantasy/dc/index.php?tm=WAS","WAS")</f>
        <v>WAS</v>
      </c>
      <c r="K614" t="s">
        <v>100</v>
      </c>
      <c r="L614" t="s">
        <v>34</v>
      </c>
      <c r="M614">
        <v>26</v>
      </c>
      <c r="N614">
        <v>6.3</v>
      </c>
      <c r="O614">
        <v>6.7</v>
      </c>
      <c r="P614">
        <v>7</v>
      </c>
      <c r="Q614">
        <v>0</v>
      </c>
      <c r="R614">
        <v>0</v>
      </c>
      <c r="S614">
        <v>0</v>
      </c>
      <c r="T614">
        <v>33</v>
      </c>
      <c r="U614">
        <v>18</v>
      </c>
      <c r="V614" s="9">
        <v>105.66670000000001</v>
      </c>
      <c r="W614">
        <v>476</v>
      </c>
      <c r="X614">
        <v>116</v>
      </c>
      <c r="Y614">
        <v>18</v>
      </c>
      <c r="Z614">
        <v>43</v>
      </c>
      <c r="AA614">
        <v>4</v>
      </c>
      <c r="AB614">
        <v>4</v>
      </c>
      <c r="AC614">
        <v>92</v>
      </c>
      <c r="AD614">
        <v>3.7</v>
      </c>
      <c r="AE614">
        <v>7.9</v>
      </c>
      <c r="AF614" s="5">
        <v>0.40799999999999997</v>
      </c>
      <c r="AG614">
        <v>0.307</v>
      </c>
      <c r="AH614">
        <v>1.53</v>
      </c>
      <c r="AI614">
        <v>4.95</v>
      </c>
      <c r="AJ614">
        <v>5.24</v>
      </c>
      <c r="AK614">
        <v>-0.2</v>
      </c>
      <c r="AL614">
        <v>0</v>
      </c>
      <c r="AM614">
        <v>20</v>
      </c>
      <c r="AN614">
        <v>39</v>
      </c>
      <c r="AO614">
        <v>22</v>
      </c>
      <c r="AP614">
        <v>43</v>
      </c>
      <c r="AQ614" t="s">
        <v>2719</v>
      </c>
      <c r="AR614">
        <v>73</v>
      </c>
      <c r="AS614" t="s">
        <v>35</v>
      </c>
      <c r="AT614" t="s">
        <v>36</v>
      </c>
      <c r="AU614" s="4">
        <f>HYPERLINK("http://mlb.mlb.com/team/player.jsp?player_id=595918",595918)</f>
        <v>595918</v>
      </c>
      <c r="AV614">
        <v>1085</v>
      </c>
      <c r="AW614">
        <v>85</v>
      </c>
      <c r="AX614">
        <v>52</v>
      </c>
    </row>
    <row r="615" spans="1:50" x14ac:dyDescent="0.3">
      <c r="A615" s="4">
        <f>HYPERLINK("http://legacy.baseballprospectus.com/p/68099",68099)</f>
        <v>68099</v>
      </c>
      <c r="B615" t="s">
        <v>3267</v>
      </c>
      <c r="C615" t="s">
        <v>177</v>
      </c>
      <c r="D615" s="10">
        <v>32078</v>
      </c>
      <c r="E615" t="s">
        <v>33</v>
      </c>
      <c r="F615" t="s">
        <v>33</v>
      </c>
      <c r="G615">
        <v>74</v>
      </c>
      <c r="H615">
        <v>170</v>
      </c>
      <c r="I615">
        <v>2018</v>
      </c>
      <c r="J615" s="4" t="str">
        <f>HYPERLINK("http://legacy.baseballprospectus.com/fantasy/dc/index.php?tm=SEA","SEA")</f>
        <v>SEA</v>
      </c>
      <c r="K615" t="s">
        <v>95</v>
      </c>
      <c r="L615" t="s">
        <v>34</v>
      </c>
      <c r="M615">
        <v>30</v>
      </c>
      <c r="N615">
        <v>1.2</v>
      </c>
      <c r="O615">
        <v>1.3</v>
      </c>
      <c r="P615">
        <v>0</v>
      </c>
      <c r="Q615">
        <v>0</v>
      </c>
      <c r="R615">
        <v>0</v>
      </c>
      <c r="S615">
        <v>1</v>
      </c>
      <c r="T615">
        <v>25</v>
      </c>
      <c r="U615">
        <v>0</v>
      </c>
      <c r="V615" s="9">
        <v>26.333300000000001</v>
      </c>
      <c r="W615">
        <v>117</v>
      </c>
      <c r="X615">
        <v>29</v>
      </c>
      <c r="Y615">
        <v>4</v>
      </c>
      <c r="Z615">
        <v>10</v>
      </c>
      <c r="AA615">
        <v>1</v>
      </c>
      <c r="AB615">
        <v>1</v>
      </c>
      <c r="AC615">
        <v>20</v>
      </c>
      <c r="AD615">
        <v>3.4</v>
      </c>
      <c r="AE615">
        <v>6.8</v>
      </c>
      <c r="AF615" s="5">
        <v>0.46100000000000002</v>
      </c>
      <c r="AG615">
        <v>0.29899999999999999</v>
      </c>
      <c r="AH615">
        <v>1.47</v>
      </c>
      <c r="AI615">
        <v>5.21</v>
      </c>
      <c r="AJ615">
        <v>5.3</v>
      </c>
      <c r="AK615">
        <v>-0.1</v>
      </c>
      <c r="AL615">
        <v>0</v>
      </c>
      <c r="AM615">
        <v>8</v>
      </c>
      <c r="AN615">
        <v>15</v>
      </c>
      <c r="AO615">
        <v>5</v>
      </c>
      <c r="AP615">
        <v>16</v>
      </c>
      <c r="AQ615" t="s">
        <v>3268</v>
      </c>
      <c r="AR615">
        <v>24</v>
      </c>
      <c r="AS615" t="s">
        <v>35</v>
      </c>
      <c r="AT615" t="s">
        <v>36</v>
      </c>
      <c r="AU615" s="4">
        <f>HYPERLINK("http://mlb.mlb.com/team/player.jsp?player_id=596271",596271)</f>
        <v>596271</v>
      </c>
      <c r="AV615">
        <v>0</v>
      </c>
      <c r="AW615">
        <v>0</v>
      </c>
      <c r="AX615">
        <v>55.3</v>
      </c>
    </row>
    <row r="616" spans="1:50" x14ac:dyDescent="0.3">
      <c r="A616" s="4">
        <f>HYPERLINK("http://legacy.baseballprospectus.com/p/68174",68174)</f>
        <v>68174</v>
      </c>
      <c r="B616" t="s">
        <v>378</v>
      </c>
      <c r="C616" t="s">
        <v>3017</v>
      </c>
      <c r="D616" s="10">
        <v>32723</v>
      </c>
      <c r="E616" t="s">
        <v>37</v>
      </c>
      <c r="F616" t="s">
        <v>33</v>
      </c>
      <c r="G616">
        <v>77</v>
      </c>
      <c r="H616">
        <v>180</v>
      </c>
      <c r="I616">
        <v>2018</v>
      </c>
      <c r="J616" s="4" t="str">
        <f>HYPERLINK("http://legacy.baseballprospectus.com/fantasy/dc/index.php?tm=SFN","SFN")</f>
        <v>SFN</v>
      </c>
      <c r="K616" t="s">
        <v>100</v>
      </c>
      <c r="L616" t="s">
        <v>34</v>
      </c>
      <c r="M616">
        <v>28</v>
      </c>
      <c r="N616">
        <v>0.5</v>
      </c>
      <c r="O616">
        <v>0.5</v>
      </c>
      <c r="P616">
        <v>0</v>
      </c>
      <c r="Q616">
        <v>0</v>
      </c>
      <c r="R616">
        <v>0</v>
      </c>
      <c r="S616">
        <v>0</v>
      </c>
      <c r="T616">
        <v>10</v>
      </c>
      <c r="U616">
        <v>0</v>
      </c>
      <c r="V616" s="9">
        <v>10.333299999999999</v>
      </c>
      <c r="W616">
        <v>45</v>
      </c>
      <c r="X616">
        <v>10</v>
      </c>
      <c r="Y616">
        <v>1</v>
      </c>
      <c r="Z616">
        <v>4</v>
      </c>
      <c r="AA616">
        <v>0</v>
      </c>
      <c r="AB616">
        <v>0</v>
      </c>
      <c r="AC616">
        <v>10</v>
      </c>
      <c r="AD616">
        <v>3.7</v>
      </c>
      <c r="AE616">
        <v>8.5</v>
      </c>
      <c r="AF616" s="5">
        <v>0.44800000000000001</v>
      </c>
      <c r="AG616">
        <v>0.29899999999999999</v>
      </c>
      <c r="AH616">
        <v>1.4</v>
      </c>
      <c r="AI616">
        <v>4.08</v>
      </c>
      <c r="AJ616">
        <v>4.6900000000000004</v>
      </c>
      <c r="AK616">
        <v>0.3</v>
      </c>
      <c r="AL616">
        <v>0</v>
      </c>
      <c r="AM616">
        <v>15</v>
      </c>
      <c r="AN616">
        <v>25</v>
      </c>
      <c r="AO616">
        <v>2</v>
      </c>
      <c r="AP616">
        <v>22</v>
      </c>
      <c r="AQ616" t="s">
        <v>3018</v>
      </c>
      <c r="AR616">
        <v>28</v>
      </c>
      <c r="AS616" t="s">
        <v>35</v>
      </c>
      <c r="AT616" t="s">
        <v>35</v>
      </c>
      <c r="AU616" s="4">
        <f>HYPERLINK("http://mlb.mlb.com/team/player.jsp?player_id=596816",596816)</f>
        <v>596816</v>
      </c>
      <c r="AV616">
        <v>1129</v>
      </c>
      <c r="AW616">
        <v>129</v>
      </c>
      <c r="AX616">
        <v>5.3</v>
      </c>
    </row>
    <row r="617" spans="1:50" x14ac:dyDescent="0.3">
      <c r="A617" s="4">
        <f>HYPERLINK("http://legacy.baseballprospectus.com/p/68506",68506)</f>
        <v>68506</v>
      </c>
      <c r="B617" t="s">
        <v>1638</v>
      </c>
      <c r="C617" t="s">
        <v>148</v>
      </c>
      <c r="D617" s="10">
        <v>33796</v>
      </c>
      <c r="E617" t="s">
        <v>33</v>
      </c>
      <c r="F617" t="s">
        <v>33</v>
      </c>
      <c r="G617">
        <v>73</v>
      </c>
      <c r="H617">
        <v>235</v>
      </c>
      <c r="I617">
        <v>2018</v>
      </c>
      <c r="J617" s="4" t="str">
        <f>HYPERLINK("http://legacy.baseballprospectus.com/fantasy/dc/index.php?tm=DET","DET")</f>
        <v>DET</v>
      </c>
      <c r="K617" t="s">
        <v>95</v>
      </c>
      <c r="L617" t="s">
        <v>34</v>
      </c>
      <c r="M617">
        <v>25</v>
      </c>
      <c r="N617">
        <v>1.1000000000000001</v>
      </c>
      <c r="O617">
        <v>1.5</v>
      </c>
      <c r="P617">
        <v>0</v>
      </c>
      <c r="Q617">
        <v>0</v>
      </c>
      <c r="R617">
        <v>0</v>
      </c>
      <c r="S617">
        <v>1</v>
      </c>
      <c r="T617">
        <v>26</v>
      </c>
      <c r="U617">
        <v>0</v>
      </c>
      <c r="V617" s="9">
        <v>27.666699999999999</v>
      </c>
      <c r="W617">
        <v>123</v>
      </c>
      <c r="X617">
        <v>28</v>
      </c>
      <c r="Y617">
        <v>5</v>
      </c>
      <c r="Z617">
        <v>13</v>
      </c>
      <c r="AA617">
        <v>1</v>
      </c>
      <c r="AB617">
        <v>1</v>
      </c>
      <c r="AC617">
        <v>26</v>
      </c>
      <c r="AD617">
        <v>4.0999999999999996</v>
      </c>
      <c r="AE617">
        <v>8.5</v>
      </c>
      <c r="AF617" s="5">
        <v>0.41399999999999998</v>
      </c>
      <c r="AG617">
        <v>0.29599999999999999</v>
      </c>
      <c r="AH617">
        <v>1.48</v>
      </c>
      <c r="AI617">
        <v>5.48</v>
      </c>
      <c r="AJ617">
        <v>5.27</v>
      </c>
      <c r="AK617">
        <v>-0.1</v>
      </c>
      <c r="AL617">
        <v>0</v>
      </c>
      <c r="AM617">
        <v>20</v>
      </c>
      <c r="AN617">
        <v>25</v>
      </c>
      <c r="AO617">
        <v>17</v>
      </c>
      <c r="AP617">
        <v>32</v>
      </c>
      <c r="AQ617" t="s">
        <v>3041</v>
      </c>
      <c r="AR617">
        <v>46</v>
      </c>
      <c r="AS617" t="s">
        <v>35</v>
      </c>
      <c r="AT617" t="s">
        <v>35</v>
      </c>
      <c r="AU617" s="4">
        <f>HYPERLINK("http://mlb.mlb.com/team/player.jsp?player_id=592127",592127)</f>
        <v>592127</v>
      </c>
      <c r="AV617">
        <v>311</v>
      </c>
      <c r="AW617">
        <v>1311</v>
      </c>
      <c r="AX617">
        <v>28.7</v>
      </c>
    </row>
    <row r="618" spans="1:50" x14ac:dyDescent="0.3">
      <c r="A618" s="4">
        <f>HYPERLINK("http://legacy.baseballprospectus.com/p/68590",68590)</f>
        <v>68590</v>
      </c>
      <c r="B618" t="s">
        <v>1315</v>
      </c>
      <c r="C618" t="s">
        <v>156</v>
      </c>
      <c r="D618" s="10">
        <v>33513</v>
      </c>
      <c r="E618" t="s">
        <v>33</v>
      </c>
      <c r="F618" t="s">
        <v>33</v>
      </c>
      <c r="G618">
        <v>75</v>
      </c>
      <c r="H618">
        <v>200</v>
      </c>
      <c r="I618">
        <v>2018</v>
      </c>
      <c r="J618" s="4" t="str">
        <f>HYPERLINK("http://legacy.baseballprospectus.com/fantasy/dc/index.php?tm=ATL","ATL")</f>
        <v>ATL</v>
      </c>
      <c r="K618" t="s">
        <v>100</v>
      </c>
      <c r="L618" t="s">
        <v>34</v>
      </c>
      <c r="M618">
        <v>26</v>
      </c>
      <c r="N618">
        <v>0.8</v>
      </c>
      <c r="O618">
        <v>0.8</v>
      </c>
      <c r="P618">
        <v>0</v>
      </c>
      <c r="Q618">
        <v>0</v>
      </c>
      <c r="R618">
        <v>0</v>
      </c>
      <c r="S618">
        <v>0</v>
      </c>
      <c r="T618">
        <v>15</v>
      </c>
      <c r="U618">
        <v>0</v>
      </c>
      <c r="V618" s="9">
        <v>16.333300000000001</v>
      </c>
      <c r="W618">
        <v>73</v>
      </c>
      <c r="X618">
        <v>16</v>
      </c>
      <c r="Y618">
        <v>2</v>
      </c>
      <c r="Z618">
        <v>7</v>
      </c>
      <c r="AA618">
        <v>1</v>
      </c>
      <c r="AB618">
        <v>1</v>
      </c>
      <c r="AC618">
        <v>14</v>
      </c>
      <c r="AD618">
        <v>4</v>
      </c>
      <c r="AE618">
        <v>7.7</v>
      </c>
      <c r="AF618" s="5">
        <v>0.51700000000000002</v>
      </c>
      <c r="AG618">
        <v>0.30299999999999999</v>
      </c>
      <c r="AH618">
        <v>1.5</v>
      </c>
      <c r="AI618">
        <v>4.57</v>
      </c>
      <c r="AJ618">
        <v>4.8600000000000003</v>
      </c>
      <c r="AK618">
        <v>0.2</v>
      </c>
      <c r="AL618">
        <v>0</v>
      </c>
      <c r="AM618">
        <v>20</v>
      </c>
      <c r="AN618">
        <v>28</v>
      </c>
      <c r="AO618">
        <v>8</v>
      </c>
      <c r="AP618">
        <v>29</v>
      </c>
      <c r="AQ618" t="s">
        <v>3042</v>
      </c>
      <c r="AR618">
        <v>41</v>
      </c>
      <c r="AS618" t="s">
        <v>35</v>
      </c>
      <c r="AT618" t="s">
        <v>35</v>
      </c>
      <c r="AU618" s="4">
        <f>HYPERLINK("http://mlb.mlb.com/team/player.jsp?player_id=592422",592422)</f>
        <v>592422</v>
      </c>
      <c r="AV618">
        <v>1123</v>
      </c>
      <c r="AW618">
        <v>123</v>
      </c>
      <c r="AX618">
        <v>10.7</v>
      </c>
    </row>
    <row r="619" spans="1:50" x14ac:dyDescent="0.3">
      <c r="A619" s="4">
        <f>HYPERLINK("http://legacy.baseballprospectus.com/p/68643",68643)</f>
        <v>68643</v>
      </c>
      <c r="B619" t="s">
        <v>1615</v>
      </c>
      <c r="C619" t="s">
        <v>150</v>
      </c>
      <c r="D619" s="10">
        <v>32389</v>
      </c>
      <c r="E619" t="s">
        <v>9</v>
      </c>
      <c r="F619" t="s">
        <v>9</v>
      </c>
      <c r="G619">
        <v>74</v>
      </c>
      <c r="H619">
        <v>230</v>
      </c>
      <c r="I619">
        <v>2018</v>
      </c>
      <c r="J619" s="4" t="str">
        <f>HYPERLINK("http://legacy.baseballprospectus.com/fantasy/dc/index.php?tm=SFN","SFN")</f>
        <v>SFN</v>
      </c>
      <c r="K619" t="s">
        <v>100</v>
      </c>
      <c r="L619" t="s">
        <v>34</v>
      </c>
      <c r="M619">
        <v>29</v>
      </c>
      <c r="N619">
        <v>2.4</v>
      </c>
      <c r="O619">
        <v>2.1</v>
      </c>
      <c r="P619">
        <v>0</v>
      </c>
      <c r="Q619">
        <v>0</v>
      </c>
      <c r="R619">
        <v>0</v>
      </c>
      <c r="S619">
        <v>1</v>
      </c>
      <c r="T619">
        <v>44</v>
      </c>
      <c r="U619">
        <v>0</v>
      </c>
      <c r="V619" s="9">
        <v>47</v>
      </c>
      <c r="W619">
        <v>205</v>
      </c>
      <c r="X619">
        <v>45</v>
      </c>
      <c r="Y619">
        <v>6</v>
      </c>
      <c r="Z619">
        <v>21</v>
      </c>
      <c r="AA619">
        <v>1</v>
      </c>
      <c r="AB619">
        <v>2</v>
      </c>
      <c r="AC619">
        <v>43</v>
      </c>
      <c r="AD619">
        <v>4</v>
      </c>
      <c r="AE619">
        <v>8.3000000000000007</v>
      </c>
      <c r="AF619" s="5">
        <v>0.496</v>
      </c>
      <c r="AG619">
        <v>0.29499999999999998</v>
      </c>
      <c r="AH619">
        <v>1.4</v>
      </c>
      <c r="AI619">
        <v>4.47</v>
      </c>
      <c r="AJ619">
        <v>5.01</v>
      </c>
      <c r="AK619">
        <v>0</v>
      </c>
      <c r="AL619">
        <v>0</v>
      </c>
      <c r="AM619">
        <v>20</v>
      </c>
      <c r="AN619">
        <v>39</v>
      </c>
      <c r="AO619">
        <v>21</v>
      </c>
      <c r="AP619">
        <v>24</v>
      </c>
      <c r="AQ619" t="s">
        <v>3176</v>
      </c>
      <c r="AR619">
        <v>65</v>
      </c>
      <c r="AS619" t="s">
        <v>35</v>
      </c>
      <c r="AT619" t="s">
        <v>36</v>
      </c>
      <c r="AU619" s="4">
        <f>HYPERLINK("http://mlb.mlb.com/team/player.jsp?player_id=592612",592612)</f>
        <v>592612</v>
      </c>
      <c r="AV619">
        <v>1302</v>
      </c>
      <c r="AW619">
        <v>302</v>
      </c>
      <c r="AX619">
        <v>43.3</v>
      </c>
    </row>
    <row r="620" spans="1:50" x14ac:dyDescent="0.3">
      <c r="A620" s="4">
        <f>HYPERLINK("http://legacy.baseballprospectus.com/p/68689",68689)</f>
        <v>68689</v>
      </c>
      <c r="B620" t="s">
        <v>2878</v>
      </c>
      <c r="C620" t="s">
        <v>745</v>
      </c>
      <c r="D620" s="10">
        <v>33753</v>
      </c>
      <c r="E620" t="s">
        <v>9</v>
      </c>
      <c r="F620" t="s">
        <v>9</v>
      </c>
      <c r="G620">
        <v>79</v>
      </c>
      <c r="H620">
        <v>245</v>
      </c>
      <c r="I620">
        <v>2018</v>
      </c>
      <c r="J620" s="4" t="str">
        <f>HYPERLINK("http://legacy.baseballprospectus.com/fantasy/dc/index.php?tm=SFN","SFN")</f>
        <v>SFN</v>
      </c>
      <c r="K620" t="s">
        <v>100</v>
      </c>
      <c r="L620" t="s">
        <v>34</v>
      </c>
      <c r="M620">
        <v>26</v>
      </c>
      <c r="N620">
        <v>0.5</v>
      </c>
      <c r="O620">
        <v>0.5</v>
      </c>
      <c r="P620">
        <v>0</v>
      </c>
      <c r="Q620">
        <v>0</v>
      </c>
      <c r="R620">
        <v>0</v>
      </c>
      <c r="S620">
        <v>0</v>
      </c>
      <c r="T620">
        <v>10</v>
      </c>
      <c r="U620">
        <v>0</v>
      </c>
      <c r="V620" s="9">
        <v>10.333299999999999</v>
      </c>
      <c r="W620">
        <v>45</v>
      </c>
      <c r="X620">
        <v>11</v>
      </c>
      <c r="Y620">
        <v>1</v>
      </c>
      <c r="Z620">
        <v>4</v>
      </c>
      <c r="AA620">
        <v>0</v>
      </c>
      <c r="AB620">
        <v>0</v>
      </c>
      <c r="AC620">
        <v>9</v>
      </c>
      <c r="AD620">
        <v>3.7</v>
      </c>
      <c r="AE620">
        <v>8.1999999999999993</v>
      </c>
      <c r="AF620" s="5">
        <v>0.54300000000000004</v>
      </c>
      <c r="AG620">
        <v>0.3</v>
      </c>
      <c r="AH620">
        <v>1.43</v>
      </c>
      <c r="AI620">
        <v>4.1500000000000004</v>
      </c>
      <c r="AJ620">
        <v>4.7699999999999996</v>
      </c>
      <c r="AK620">
        <v>0.2</v>
      </c>
      <c r="AL620">
        <v>0</v>
      </c>
      <c r="AM620">
        <v>25</v>
      </c>
      <c r="AN620">
        <v>37</v>
      </c>
      <c r="AO620">
        <v>9</v>
      </c>
      <c r="AP620">
        <v>24</v>
      </c>
      <c r="AQ620" t="s">
        <v>2879</v>
      </c>
      <c r="AR620">
        <v>48</v>
      </c>
      <c r="AS620" t="s">
        <v>35</v>
      </c>
      <c r="AT620" t="s">
        <v>35</v>
      </c>
      <c r="AU620" s="4">
        <f>HYPERLINK("http://mlb.mlb.com/team/player.jsp?player_id=592769",592769)</f>
        <v>592769</v>
      </c>
      <c r="AV620">
        <v>0</v>
      </c>
      <c r="AW620">
        <v>0</v>
      </c>
      <c r="AX620">
        <v>0</v>
      </c>
    </row>
    <row r="621" spans="1:50" x14ac:dyDescent="0.3">
      <c r="A621" s="4">
        <f>HYPERLINK("http://legacy.baseballprospectus.com/p/68960",68960)</f>
        <v>68960</v>
      </c>
      <c r="B621" t="s">
        <v>2039</v>
      </c>
      <c r="C621" t="s">
        <v>102</v>
      </c>
      <c r="D621" s="10">
        <v>33018</v>
      </c>
      <c r="E621" t="s">
        <v>9</v>
      </c>
      <c r="F621" t="s">
        <v>9</v>
      </c>
      <c r="G621">
        <v>73</v>
      </c>
      <c r="H621">
        <v>185</v>
      </c>
      <c r="I621">
        <v>2018</v>
      </c>
      <c r="J621" s="4" t="str">
        <f>HYPERLINK("http://legacy.baseballprospectus.com/fantasy/dc/index.php?tm=SLN","SLN")</f>
        <v>SLN</v>
      </c>
      <c r="K621" t="s">
        <v>100</v>
      </c>
      <c r="L621" t="s">
        <v>34</v>
      </c>
      <c r="M621">
        <v>28</v>
      </c>
      <c r="N621">
        <v>0.7</v>
      </c>
      <c r="O621">
        <v>0.8</v>
      </c>
      <c r="P621">
        <v>0</v>
      </c>
      <c r="Q621">
        <v>0</v>
      </c>
      <c r="R621">
        <v>0</v>
      </c>
      <c r="S621">
        <v>0</v>
      </c>
      <c r="T621">
        <v>15</v>
      </c>
      <c r="U621">
        <v>0</v>
      </c>
      <c r="V621" s="9">
        <v>15.666700000000001</v>
      </c>
      <c r="W621">
        <v>68</v>
      </c>
      <c r="X621">
        <v>16</v>
      </c>
      <c r="Y621">
        <v>2</v>
      </c>
      <c r="Z621">
        <v>7</v>
      </c>
      <c r="AA621">
        <v>1</v>
      </c>
      <c r="AB621">
        <v>1</v>
      </c>
      <c r="AC621">
        <v>13</v>
      </c>
      <c r="AD621">
        <v>3.8</v>
      </c>
      <c r="AE621">
        <v>7.8</v>
      </c>
      <c r="AF621" s="5">
        <v>0.52800000000000002</v>
      </c>
      <c r="AG621">
        <v>0.29699999999999999</v>
      </c>
      <c r="AH621">
        <v>1.44</v>
      </c>
      <c r="AI621">
        <v>4.84</v>
      </c>
      <c r="AJ621">
        <v>4.8899999999999997</v>
      </c>
      <c r="AK621">
        <v>0.2</v>
      </c>
      <c r="AL621">
        <v>0</v>
      </c>
      <c r="AM621">
        <v>12</v>
      </c>
      <c r="AN621">
        <v>18</v>
      </c>
      <c r="AO621">
        <v>14</v>
      </c>
      <c r="AP621">
        <v>17</v>
      </c>
      <c r="AQ621" t="s">
        <v>2882</v>
      </c>
      <c r="AR621">
        <v>38</v>
      </c>
      <c r="AS621" t="s">
        <v>35</v>
      </c>
      <c r="AT621" t="s">
        <v>35</v>
      </c>
      <c r="AU621" s="4">
        <f>HYPERLINK("http://mlb.mlb.com/team/player.jsp?player_id=595411",595411)</f>
        <v>595411</v>
      </c>
      <c r="AV621">
        <v>1334</v>
      </c>
      <c r="AW621">
        <v>334</v>
      </c>
      <c r="AX621">
        <v>14.3</v>
      </c>
    </row>
    <row r="622" spans="1:50" x14ac:dyDescent="0.3">
      <c r="A622" s="4">
        <f>HYPERLINK("http://legacy.baseballprospectus.com/p/69552",69552)</f>
        <v>69552</v>
      </c>
      <c r="B622" t="s">
        <v>865</v>
      </c>
      <c r="C622" t="s">
        <v>245</v>
      </c>
      <c r="D622" s="10">
        <v>32981</v>
      </c>
      <c r="E622" t="s">
        <v>33</v>
      </c>
      <c r="F622" t="s">
        <v>33</v>
      </c>
      <c r="G622">
        <v>74</v>
      </c>
      <c r="H622">
        <v>225</v>
      </c>
      <c r="I622">
        <v>2018</v>
      </c>
      <c r="J622" s="4" t="str">
        <f>HYPERLINK("http://legacy.baseballprospectus.com/fantasy/dc/index.php?tm=CLE","CLE")</f>
        <v>CLE</v>
      </c>
      <c r="K622" t="s">
        <v>95</v>
      </c>
      <c r="L622" t="s">
        <v>34</v>
      </c>
      <c r="M622">
        <v>28</v>
      </c>
      <c r="N622">
        <v>0.8</v>
      </c>
      <c r="O622">
        <v>0.6</v>
      </c>
      <c r="P622">
        <v>0</v>
      </c>
      <c r="Q622">
        <v>0</v>
      </c>
      <c r="R622">
        <v>0</v>
      </c>
      <c r="S622">
        <v>0</v>
      </c>
      <c r="T622">
        <v>14</v>
      </c>
      <c r="U622">
        <v>0</v>
      </c>
      <c r="V622" s="9">
        <v>14.666700000000001</v>
      </c>
      <c r="W622">
        <v>68</v>
      </c>
      <c r="X622">
        <v>16</v>
      </c>
      <c r="Y622">
        <v>2</v>
      </c>
      <c r="Z622">
        <v>7</v>
      </c>
      <c r="AA622">
        <v>1</v>
      </c>
      <c r="AB622">
        <v>1</v>
      </c>
      <c r="AC622">
        <v>12</v>
      </c>
      <c r="AD622">
        <v>4.5</v>
      </c>
      <c r="AE622">
        <v>7.6</v>
      </c>
      <c r="AF622" s="5">
        <v>0.49299999999999999</v>
      </c>
      <c r="AG622">
        <v>0.308</v>
      </c>
      <c r="AH622">
        <v>1.69</v>
      </c>
      <c r="AI622">
        <v>5.15</v>
      </c>
      <c r="AJ622">
        <v>5.4</v>
      </c>
      <c r="AK622">
        <v>-0.2</v>
      </c>
      <c r="AL622">
        <v>0</v>
      </c>
      <c r="AM622">
        <v>24</v>
      </c>
      <c r="AN622">
        <v>39</v>
      </c>
      <c r="AO622">
        <v>11</v>
      </c>
      <c r="AP622">
        <v>24</v>
      </c>
      <c r="AQ622" t="s">
        <v>3082</v>
      </c>
      <c r="AR622">
        <v>60</v>
      </c>
      <c r="AS622" t="s">
        <v>35</v>
      </c>
      <c r="AT622" t="s">
        <v>36</v>
      </c>
      <c r="AU622" s="4">
        <f>HYPERLINK("http://mlb.mlb.com/team/player.jsp?player_id=605359",605359)</f>
        <v>605359</v>
      </c>
      <c r="AV622">
        <v>0</v>
      </c>
      <c r="AW622">
        <v>0</v>
      </c>
      <c r="AX622">
        <v>7.7</v>
      </c>
    </row>
    <row r="623" spans="1:50" x14ac:dyDescent="0.3">
      <c r="A623" s="4">
        <f>HYPERLINK("http://legacy.baseballprospectus.com/p/69747",69747)</f>
        <v>69747</v>
      </c>
      <c r="B623" t="s">
        <v>214</v>
      </c>
      <c r="C623" t="s">
        <v>920</v>
      </c>
      <c r="D623" s="10">
        <v>34234</v>
      </c>
      <c r="E623" t="s">
        <v>33</v>
      </c>
      <c r="F623" t="s">
        <v>33</v>
      </c>
      <c r="G623">
        <v>75</v>
      </c>
      <c r="H623">
        <v>245</v>
      </c>
      <c r="I623">
        <v>2018</v>
      </c>
      <c r="J623" s="4" t="str">
        <f>HYPERLINK("http://legacy.baseballprospectus.com/fantasy/dc/index.php?tm=ATL","ATL")</f>
        <v>ATL</v>
      </c>
      <c r="K623" t="s">
        <v>100</v>
      </c>
      <c r="L623" t="s">
        <v>34</v>
      </c>
      <c r="M623">
        <v>24</v>
      </c>
      <c r="N623">
        <v>0.8</v>
      </c>
      <c r="O623">
        <v>0.8</v>
      </c>
      <c r="P623">
        <v>0</v>
      </c>
      <c r="Q623">
        <v>0</v>
      </c>
      <c r="R623">
        <v>0</v>
      </c>
      <c r="S623">
        <v>0</v>
      </c>
      <c r="T623">
        <v>15</v>
      </c>
      <c r="U623">
        <v>0</v>
      </c>
      <c r="V623" s="9">
        <v>16.333300000000001</v>
      </c>
      <c r="W623">
        <v>73</v>
      </c>
      <c r="X623">
        <v>15</v>
      </c>
      <c r="Y623">
        <v>2</v>
      </c>
      <c r="Z623">
        <v>9</v>
      </c>
      <c r="AA623">
        <v>1</v>
      </c>
      <c r="AB623">
        <v>1</v>
      </c>
      <c r="AC623">
        <v>16</v>
      </c>
      <c r="AD623">
        <v>5</v>
      </c>
      <c r="AE623">
        <v>9</v>
      </c>
      <c r="AF623" s="5">
        <v>0.46899999999999997</v>
      </c>
      <c r="AG623">
        <v>0.29599999999999999</v>
      </c>
      <c r="AH623">
        <v>1.48</v>
      </c>
      <c r="AI623">
        <v>4.5</v>
      </c>
      <c r="AJ623">
        <v>4.8</v>
      </c>
      <c r="AK623">
        <v>0.3</v>
      </c>
      <c r="AL623">
        <v>0</v>
      </c>
      <c r="AM623">
        <v>13</v>
      </c>
      <c r="AN623">
        <v>28</v>
      </c>
      <c r="AO623">
        <v>17</v>
      </c>
      <c r="AP623">
        <v>23</v>
      </c>
      <c r="AQ623" t="s">
        <v>3049</v>
      </c>
      <c r="AR623">
        <v>52</v>
      </c>
      <c r="AS623" t="s">
        <v>35</v>
      </c>
      <c r="AT623" t="s">
        <v>35</v>
      </c>
      <c r="AU623" s="4">
        <f>HYPERLINK("http://mlb.mlb.com/team/player.jsp?player_id=606291",606291)</f>
        <v>606291</v>
      </c>
      <c r="AV623">
        <v>1359</v>
      </c>
      <c r="AW623">
        <v>359</v>
      </c>
      <c r="AX623">
        <v>0</v>
      </c>
    </row>
    <row r="624" spans="1:50" x14ac:dyDescent="0.3">
      <c r="A624" s="4">
        <f>HYPERLINK("http://legacy.baseballprospectus.com/p/69826",69826)</f>
        <v>69826</v>
      </c>
      <c r="B624" t="s">
        <v>2051</v>
      </c>
      <c r="C624" t="s">
        <v>598</v>
      </c>
      <c r="D624" s="10">
        <v>33975</v>
      </c>
      <c r="E624" t="s">
        <v>33</v>
      </c>
      <c r="F624" t="s">
        <v>33</v>
      </c>
      <c r="G624">
        <v>72</v>
      </c>
      <c r="H624">
        <v>175</v>
      </c>
      <c r="I624">
        <v>2018</v>
      </c>
      <c r="J624" s="4" t="str">
        <f>HYPERLINK("http://legacy.baseballprospectus.com/fantasy/dc/index.php?tm=SFN","SFN")</f>
        <v>SFN</v>
      </c>
      <c r="K624" t="s">
        <v>100</v>
      </c>
      <c r="L624" t="s">
        <v>34</v>
      </c>
      <c r="M624">
        <v>25</v>
      </c>
      <c r="N624">
        <v>1.1000000000000001</v>
      </c>
      <c r="O624">
        <v>0.9</v>
      </c>
      <c r="P624">
        <v>0</v>
      </c>
      <c r="Q624">
        <v>0</v>
      </c>
      <c r="R624">
        <v>0</v>
      </c>
      <c r="S624">
        <v>0</v>
      </c>
      <c r="T624">
        <v>20</v>
      </c>
      <c r="U624">
        <v>0</v>
      </c>
      <c r="V624" s="9">
        <v>21</v>
      </c>
      <c r="W624">
        <v>92</v>
      </c>
      <c r="X624">
        <v>19</v>
      </c>
      <c r="Y624">
        <v>3</v>
      </c>
      <c r="Z624">
        <v>10</v>
      </c>
      <c r="AA624">
        <v>1</v>
      </c>
      <c r="AB624">
        <v>0</v>
      </c>
      <c r="AC624">
        <v>25</v>
      </c>
      <c r="AD624">
        <v>4.2</v>
      </c>
      <c r="AE624">
        <v>10.6</v>
      </c>
      <c r="AF624" s="5">
        <v>0.39200000000000002</v>
      </c>
      <c r="AG624">
        <v>0.30599999999999999</v>
      </c>
      <c r="AH624">
        <v>1.45</v>
      </c>
      <c r="AI624">
        <v>4.4800000000000004</v>
      </c>
      <c r="AJ624">
        <v>5</v>
      </c>
      <c r="AK624">
        <v>0</v>
      </c>
      <c r="AL624">
        <v>0</v>
      </c>
      <c r="AM624">
        <v>16</v>
      </c>
      <c r="AN624">
        <v>23</v>
      </c>
      <c r="AO624">
        <v>4</v>
      </c>
      <c r="AP624">
        <v>23</v>
      </c>
      <c r="AQ624" t="s">
        <v>3184</v>
      </c>
      <c r="AR624">
        <v>31</v>
      </c>
      <c r="AS624" t="s">
        <v>35</v>
      </c>
      <c r="AT624" t="s">
        <v>35</v>
      </c>
      <c r="AU624" s="4">
        <f>HYPERLINK("http://mlb.mlb.com/team/player.jsp?player_id=606625",606625)</f>
        <v>606625</v>
      </c>
      <c r="AV624">
        <v>1347</v>
      </c>
      <c r="AW624">
        <v>347</v>
      </c>
      <c r="AX624">
        <v>6.7</v>
      </c>
    </row>
    <row r="625" spans="1:50" x14ac:dyDescent="0.3">
      <c r="A625" s="4">
        <f>HYPERLINK("http://legacy.baseballprospectus.com/p/70253",70253)</f>
        <v>70253</v>
      </c>
      <c r="B625" t="s">
        <v>4944</v>
      </c>
      <c r="C625" t="s">
        <v>355</v>
      </c>
      <c r="D625" s="10">
        <v>33156</v>
      </c>
      <c r="E625" t="s">
        <v>33</v>
      </c>
      <c r="F625" t="s">
        <v>33</v>
      </c>
      <c r="G625">
        <v>72</v>
      </c>
      <c r="H625">
        <v>235</v>
      </c>
      <c r="I625">
        <v>2018</v>
      </c>
      <c r="J625" s="4" t="str">
        <f>HYPERLINK("http://legacy.baseballprospectus.com/fantasy/dc/index.php?tm=SDN","SDN")</f>
        <v>SDN</v>
      </c>
      <c r="K625" t="s">
        <v>100</v>
      </c>
      <c r="L625" t="s">
        <v>34</v>
      </c>
      <c r="M625">
        <v>27</v>
      </c>
      <c r="N625">
        <v>0.3</v>
      </c>
      <c r="O625">
        <v>0.3</v>
      </c>
      <c r="P625">
        <v>0</v>
      </c>
      <c r="Q625">
        <v>0</v>
      </c>
      <c r="R625">
        <v>0</v>
      </c>
      <c r="S625">
        <v>0</v>
      </c>
      <c r="T625">
        <v>5</v>
      </c>
      <c r="U625">
        <v>0</v>
      </c>
      <c r="V625" s="9">
        <v>5.6666999999999996</v>
      </c>
      <c r="W625">
        <v>24</v>
      </c>
      <c r="X625">
        <v>5</v>
      </c>
      <c r="Y625">
        <v>1</v>
      </c>
      <c r="Z625">
        <v>2</v>
      </c>
      <c r="AA625">
        <v>0</v>
      </c>
      <c r="AB625">
        <v>0</v>
      </c>
      <c r="AC625">
        <v>6</v>
      </c>
      <c r="AD625">
        <v>3.4</v>
      </c>
      <c r="AE625">
        <v>9</v>
      </c>
      <c r="AF625" s="5">
        <v>0.376</v>
      </c>
      <c r="AG625">
        <v>0.29399999999999998</v>
      </c>
      <c r="AH625">
        <v>1.31</v>
      </c>
      <c r="AI625">
        <v>4.46</v>
      </c>
      <c r="AJ625">
        <v>4.78</v>
      </c>
      <c r="AK625">
        <v>0.1</v>
      </c>
      <c r="AL625">
        <v>0</v>
      </c>
      <c r="AM625">
        <v>12</v>
      </c>
      <c r="AN625">
        <v>21</v>
      </c>
      <c r="AO625">
        <v>16</v>
      </c>
      <c r="AP625">
        <v>29</v>
      </c>
      <c r="AQ625" t="s">
        <v>4945</v>
      </c>
      <c r="AR625">
        <v>44</v>
      </c>
      <c r="AS625" t="s">
        <v>35</v>
      </c>
      <c r="AT625" t="s">
        <v>35</v>
      </c>
      <c r="AU625" s="4">
        <f>HYPERLINK("http://mlb.mlb.com/team/player.jsp?player_id=608167",608167)</f>
        <v>608167</v>
      </c>
      <c r="AV625">
        <v>0</v>
      </c>
      <c r="AW625">
        <v>0</v>
      </c>
      <c r="AX625">
        <v>0</v>
      </c>
    </row>
    <row r="626" spans="1:50" x14ac:dyDescent="0.3">
      <c r="A626" s="4">
        <f>HYPERLINK("http://legacy.baseballprospectus.com/p/70316",70316)</f>
        <v>70316</v>
      </c>
      <c r="B626" t="s">
        <v>2889</v>
      </c>
      <c r="C626" t="s">
        <v>648</v>
      </c>
      <c r="D626" s="10">
        <v>32800</v>
      </c>
      <c r="E626" t="s">
        <v>33</v>
      </c>
      <c r="F626" t="s">
        <v>33</v>
      </c>
      <c r="G626">
        <v>73</v>
      </c>
      <c r="H626">
        <v>210</v>
      </c>
      <c r="I626">
        <v>2018</v>
      </c>
      <c r="J626" s="4" t="str">
        <f>HYPERLINK("http://legacy.baseballprospectus.com/fantasy/dc/index.php?tm=CHN","CHN")</f>
        <v>CHN</v>
      </c>
      <c r="K626" t="s">
        <v>100</v>
      </c>
      <c r="L626" t="s">
        <v>34</v>
      </c>
      <c r="M626">
        <v>28</v>
      </c>
      <c r="N626">
        <v>0.2</v>
      </c>
      <c r="O626">
        <v>0.2</v>
      </c>
      <c r="P626">
        <v>0</v>
      </c>
      <c r="Q626">
        <v>0</v>
      </c>
      <c r="R626">
        <v>0</v>
      </c>
      <c r="S626">
        <v>0</v>
      </c>
      <c r="T626">
        <v>5</v>
      </c>
      <c r="U626">
        <v>0</v>
      </c>
      <c r="V626" s="9">
        <v>5</v>
      </c>
      <c r="W626">
        <v>22</v>
      </c>
      <c r="X626">
        <v>5</v>
      </c>
      <c r="Y626">
        <v>1</v>
      </c>
      <c r="Z626">
        <v>2</v>
      </c>
      <c r="AA626">
        <v>0</v>
      </c>
      <c r="AB626">
        <v>0</v>
      </c>
      <c r="AC626">
        <v>5</v>
      </c>
      <c r="AD626">
        <v>4.0999999999999996</v>
      </c>
      <c r="AE626">
        <v>9.6</v>
      </c>
      <c r="AF626" s="5">
        <v>0.44500000000000001</v>
      </c>
      <c r="AG626">
        <v>0.29699999999999999</v>
      </c>
      <c r="AH626">
        <v>1.4</v>
      </c>
      <c r="AI626">
        <v>3.87</v>
      </c>
      <c r="AJ626">
        <v>4.3600000000000003</v>
      </c>
      <c r="AK626">
        <v>0.3</v>
      </c>
      <c r="AL626">
        <v>0</v>
      </c>
      <c r="AM626">
        <v>22</v>
      </c>
      <c r="AN626">
        <v>43</v>
      </c>
      <c r="AO626">
        <v>11</v>
      </c>
      <c r="AP626">
        <v>24</v>
      </c>
      <c r="AQ626" t="s">
        <v>2890</v>
      </c>
      <c r="AR626">
        <v>59</v>
      </c>
      <c r="AS626" t="s">
        <v>35</v>
      </c>
      <c r="AT626" t="s">
        <v>35</v>
      </c>
      <c r="AU626" s="4">
        <f>HYPERLINK("http://mlb.mlb.com/team/player.jsp?player_id=543508",543508)</f>
        <v>543508</v>
      </c>
      <c r="AV626">
        <v>1341</v>
      </c>
      <c r="AW626">
        <v>341</v>
      </c>
      <c r="AX626">
        <v>8</v>
      </c>
    </row>
    <row r="627" spans="1:50" x14ac:dyDescent="0.3">
      <c r="A627" s="4">
        <f>HYPERLINK("http://legacy.baseballprospectus.com/p/70361",70361)</f>
        <v>70361</v>
      </c>
      <c r="B627" t="s">
        <v>2052</v>
      </c>
      <c r="C627" t="s">
        <v>2053</v>
      </c>
      <c r="D627" s="10">
        <v>33251</v>
      </c>
      <c r="E627" t="s">
        <v>9</v>
      </c>
      <c r="F627" t="s">
        <v>9</v>
      </c>
      <c r="G627">
        <v>74</v>
      </c>
      <c r="H627">
        <v>165</v>
      </c>
      <c r="I627">
        <v>2018</v>
      </c>
      <c r="J627" s="4" t="str">
        <f>HYPERLINK("http://legacy.baseballprospectus.com/fantasy/dc/index.php?tm=PHI","PHI")</f>
        <v>PHI</v>
      </c>
      <c r="K627" t="s">
        <v>100</v>
      </c>
      <c r="L627" t="s">
        <v>34</v>
      </c>
      <c r="M627">
        <v>27</v>
      </c>
      <c r="N627">
        <v>1.2</v>
      </c>
      <c r="O627">
        <v>1.3</v>
      </c>
      <c r="P627">
        <v>0</v>
      </c>
      <c r="Q627">
        <v>0</v>
      </c>
      <c r="R627">
        <v>0</v>
      </c>
      <c r="S627">
        <v>1</v>
      </c>
      <c r="T627">
        <v>25</v>
      </c>
      <c r="U627">
        <v>0</v>
      </c>
      <c r="V627" s="9">
        <v>26.666699999999999</v>
      </c>
      <c r="W627">
        <v>116</v>
      </c>
      <c r="X627">
        <v>26</v>
      </c>
      <c r="Y627">
        <v>4</v>
      </c>
      <c r="Z627">
        <v>11</v>
      </c>
      <c r="AA627">
        <v>1</v>
      </c>
      <c r="AB627">
        <v>2</v>
      </c>
      <c r="AC627">
        <v>25</v>
      </c>
      <c r="AD627">
        <v>3.7</v>
      </c>
      <c r="AE627">
        <v>8.4</v>
      </c>
      <c r="AF627" s="5">
        <v>0.42399999999999999</v>
      </c>
      <c r="AG627">
        <v>0.29399999999999998</v>
      </c>
      <c r="AH627">
        <v>1.39</v>
      </c>
      <c r="AI627">
        <v>5.12</v>
      </c>
      <c r="AJ627">
        <v>5.0599999999999996</v>
      </c>
      <c r="AK627">
        <v>-0.2</v>
      </c>
      <c r="AL627">
        <v>0</v>
      </c>
      <c r="AM627">
        <v>14</v>
      </c>
      <c r="AN627">
        <v>34</v>
      </c>
      <c r="AO627">
        <v>14</v>
      </c>
      <c r="AP627">
        <v>24</v>
      </c>
      <c r="AQ627" t="s">
        <v>2749</v>
      </c>
      <c r="AR627">
        <v>54</v>
      </c>
      <c r="AS627" t="s">
        <v>35</v>
      </c>
      <c r="AT627" t="s">
        <v>35</v>
      </c>
      <c r="AU627" s="4">
        <f>HYPERLINK("http://mlb.mlb.com/team/player.jsp?player_id=571948",571948)</f>
        <v>571948</v>
      </c>
      <c r="AV627">
        <v>1312</v>
      </c>
      <c r="AW627">
        <v>312</v>
      </c>
      <c r="AX627">
        <v>31.3</v>
      </c>
    </row>
    <row r="628" spans="1:50" x14ac:dyDescent="0.3">
      <c r="A628" s="4">
        <f>HYPERLINK("http://legacy.baseballprospectus.com/p/70376",70376)</f>
        <v>70376</v>
      </c>
      <c r="B628" t="s">
        <v>262</v>
      </c>
      <c r="C628" t="s">
        <v>2020</v>
      </c>
      <c r="D628" s="10">
        <v>32749</v>
      </c>
      <c r="E628" t="s">
        <v>37</v>
      </c>
      <c r="F628" t="s">
        <v>9</v>
      </c>
      <c r="G628">
        <v>75</v>
      </c>
      <c r="H628">
        <v>220</v>
      </c>
      <c r="I628">
        <v>2018</v>
      </c>
      <c r="J628" s="4" t="str">
        <f>HYPERLINK("http://legacy.baseballprospectus.com/fantasy/dc/index.php?tm=BOS","BOS")</f>
        <v>BOS</v>
      </c>
      <c r="K628" t="s">
        <v>95</v>
      </c>
      <c r="L628" t="s">
        <v>34</v>
      </c>
      <c r="M628">
        <v>28</v>
      </c>
      <c r="N628">
        <v>1.1000000000000001</v>
      </c>
      <c r="O628">
        <v>1.2</v>
      </c>
      <c r="P628">
        <v>0</v>
      </c>
      <c r="Q628">
        <v>0</v>
      </c>
      <c r="R628">
        <v>0</v>
      </c>
      <c r="S628">
        <v>1</v>
      </c>
      <c r="T628">
        <v>22</v>
      </c>
      <c r="U628">
        <v>0</v>
      </c>
      <c r="V628" s="9">
        <v>23.333300000000001</v>
      </c>
      <c r="W628">
        <v>101</v>
      </c>
      <c r="X628">
        <v>23</v>
      </c>
      <c r="Y628">
        <v>4</v>
      </c>
      <c r="Z628">
        <v>9</v>
      </c>
      <c r="AA628">
        <v>1</v>
      </c>
      <c r="AB628">
        <v>1</v>
      </c>
      <c r="AC628">
        <v>21</v>
      </c>
      <c r="AD628">
        <v>3.5</v>
      </c>
      <c r="AE628">
        <v>8</v>
      </c>
      <c r="AF628" s="5">
        <v>0.4</v>
      </c>
      <c r="AG628">
        <v>0.29299999999999998</v>
      </c>
      <c r="AH628">
        <v>1.38</v>
      </c>
      <c r="AI628">
        <v>4.93</v>
      </c>
      <c r="AJ628">
        <v>5.24</v>
      </c>
      <c r="AK628">
        <v>0</v>
      </c>
      <c r="AL628">
        <v>0</v>
      </c>
      <c r="AM628">
        <v>15</v>
      </c>
      <c r="AN628">
        <v>24</v>
      </c>
      <c r="AO628">
        <v>11</v>
      </c>
      <c r="AP628">
        <v>24</v>
      </c>
      <c r="AQ628" t="s">
        <v>2891</v>
      </c>
      <c r="AR628">
        <v>44</v>
      </c>
      <c r="AS628" t="s">
        <v>35</v>
      </c>
      <c r="AT628" t="s">
        <v>35</v>
      </c>
      <c r="AU628" s="4">
        <f>HYPERLINK("http://mlb.mlb.com/team/player.jsp?player_id=582494",582494)</f>
        <v>582494</v>
      </c>
      <c r="AV628">
        <v>305</v>
      </c>
      <c r="AW628">
        <v>1305</v>
      </c>
      <c r="AX628">
        <v>35.700000000000003</v>
      </c>
    </row>
    <row r="629" spans="1:50" x14ac:dyDescent="0.3">
      <c r="A629" s="4">
        <f>HYPERLINK("http://legacy.baseballprospectus.com/p/70403",70403)</f>
        <v>70403</v>
      </c>
      <c r="B629" t="s">
        <v>1597</v>
      </c>
      <c r="C629" t="s">
        <v>741</v>
      </c>
      <c r="D629" s="10">
        <v>33928</v>
      </c>
      <c r="E629" t="s">
        <v>9</v>
      </c>
      <c r="F629" t="s">
        <v>9</v>
      </c>
      <c r="G629">
        <v>72</v>
      </c>
      <c r="H629">
        <v>200</v>
      </c>
      <c r="I629">
        <v>2018</v>
      </c>
      <c r="J629" s="4" t="str">
        <f>HYPERLINK("http://legacy.baseballprospectus.com/fantasy/dc/index.php?tm=CLE","CLE")</f>
        <v>CLE</v>
      </c>
      <c r="K629" t="s">
        <v>95</v>
      </c>
      <c r="L629" t="s">
        <v>34</v>
      </c>
      <c r="M629">
        <v>25</v>
      </c>
      <c r="N629">
        <v>1.6</v>
      </c>
      <c r="O629">
        <v>1.6</v>
      </c>
      <c r="P629">
        <v>2</v>
      </c>
      <c r="Q629">
        <v>0</v>
      </c>
      <c r="R629">
        <v>0</v>
      </c>
      <c r="S629">
        <v>0</v>
      </c>
      <c r="T629">
        <v>5</v>
      </c>
      <c r="U629">
        <v>5</v>
      </c>
      <c r="V629" s="9">
        <v>25</v>
      </c>
      <c r="W629">
        <v>111</v>
      </c>
      <c r="X629">
        <v>27</v>
      </c>
      <c r="Y629">
        <v>5</v>
      </c>
      <c r="Z629">
        <v>10</v>
      </c>
      <c r="AA629">
        <v>1</v>
      </c>
      <c r="AB629">
        <v>1</v>
      </c>
      <c r="AC629">
        <v>21</v>
      </c>
      <c r="AD629">
        <v>3.7</v>
      </c>
      <c r="AE629">
        <v>7.5</v>
      </c>
      <c r="AF629" s="5">
        <v>0.40799999999999997</v>
      </c>
      <c r="AG629">
        <v>0.29399999999999998</v>
      </c>
      <c r="AH629">
        <v>1.48</v>
      </c>
      <c r="AI629">
        <v>5</v>
      </c>
      <c r="AJ629">
        <v>5.61</v>
      </c>
      <c r="AK629">
        <v>-0.2</v>
      </c>
      <c r="AL629">
        <v>0</v>
      </c>
      <c r="AM629">
        <v>21</v>
      </c>
      <c r="AN629">
        <v>31</v>
      </c>
      <c r="AO629">
        <v>12</v>
      </c>
      <c r="AP629">
        <v>27</v>
      </c>
      <c r="AQ629" t="s">
        <v>3053</v>
      </c>
      <c r="AR629">
        <v>48</v>
      </c>
      <c r="AS629" t="s">
        <v>35</v>
      </c>
      <c r="AT629" t="s">
        <v>35</v>
      </c>
      <c r="AU629" s="4">
        <f>HYPERLINK("http://mlb.mlb.com/team/player.jsp?player_id=596049",596049)</f>
        <v>596049</v>
      </c>
      <c r="AV629">
        <v>139</v>
      </c>
      <c r="AW629">
        <v>1139</v>
      </c>
      <c r="AX629">
        <v>0</v>
      </c>
    </row>
    <row r="630" spans="1:50" x14ac:dyDescent="0.3">
      <c r="A630" s="4">
        <f>HYPERLINK("http://legacy.baseballprospectus.com/p/70481",70481)</f>
        <v>70481</v>
      </c>
      <c r="B630" t="s">
        <v>601</v>
      </c>
      <c r="C630" t="s">
        <v>3057</v>
      </c>
      <c r="D630" s="10">
        <v>34147</v>
      </c>
      <c r="E630" t="s">
        <v>33</v>
      </c>
      <c r="F630" t="s">
        <v>33</v>
      </c>
      <c r="G630">
        <v>75</v>
      </c>
      <c r="H630">
        <v>185</v>
      </c>
      <c r="I630">
        <v>2018</v>
      </c>
      <c r="J630" s="4" t="str">
        <f>HYPERLINK("http://legacy.baseballprospectus.com/fantasy/dc/index.php?tm=PHI","PHI")</f>
        <v>PHI</v>
      </c>
      <c r="K630" t="s">
        <v>100</v>
      </c>
      <c r="L630" t="s">
        <v>34</v>
      </c>
      <c r="M630">
        <v>25</v>
      </c>
      <c r="N630">
        <v>1</v>
      </c>
      <c r="O630">
        <v>1.1000000000000001</v>
      </c>
      <c r="P630">
        <v>0</v>
      </c>
      <c r="Q630">
        <v>0</v>
      </c>
      <c r="R630">
        <v>0</v>
      </c>
      <c r="S630">
        <v>0</v>
      </c>
      <c r="T630">
        <v>20</v>
      </c>
      <c r="U630">
        <v>0</v>
      </c>
      <c r="V630" s="9">
        <v>21.333300000000001</v>
      </c>
      <c r="W630">
        <v>92</v>
      </c>
      <c r="X630">
        <v>20</v>
      </c>
      <c r="Y630">
        <v>4</v>
      </c>
      <c r="Z630">
        <v>9</v>
      </c>
      <c r="AA630">
        <v>1</v>
      </c>
      <c r="AB630">
        <v>1</v>
      </c>
      <c r="AC630">
        <v>23</v>
      </c>
      <c r="AD630">
        <v>3.8</v>
      </c>
      <c r="AE630">
        <v>9.6999999999999993</v>
      </c>
      <c r="AF630" s="5">
        <v>0.42399999999999999</v>
      </c>
      <c r="AG630">
        <v>0.29299999999999998</v>
      </c>
      <c r="AH630">
        <v>1.36</v>
      </c>
      <c r="AI630">
        <v>5.03</v>
      </c>
      <c r="AJ630">
        <v>5</v>
      </c>
      <c r="AK630">
        <v>0</v>
      </c>
      <c r="AL630">
        <v>0</v>
      </c>
      <c r="AM630">
        <v>15</v>
      </c>
      <c r="AN630">
        <v>18</v>
      </c>
      <c r="AO630">
        <v>11</v>
      </c>
      <c r="AP630">
        <v>21</v>
      </c>
      <c r="AQ630" t="s">
        <v>3058</v>
      </c>
      <c r="AR630">
        <v>35</v>
      </c>
      <c r="AS630" t="s">
        <v>35</v>
      </c>
      <c r="AT630" t="s">
        <v>35</v>
      </c>
      <c r="AU630" s="4">
        <f>HYPERLINK("http://mlb.mlb.com/team/player.jsp?player_id=605441",605441)</f>
        <v>605441</v>
      </c>
      <c r="AV630">
        <v>1117</v>
      </c>
      <c r="AW630">
        <v>117</v>
      </c>
      <c r="AX630">
        <v>16.3</v>
      </c>
    </row>
    <row r="631" spans="1:50" x14ac:dyDescent="0.3">
      <c r="A631" s="4">
        <f>HYPERLINK("http://legacy.baseballprospectus.com/p/70486",70486)</f>
        <v>70486</v>
      </c>
      <c r="B631" t="s">
        <v>262</v>
      </c>
      <c r="C631" t="s">
        <v>3059</v>
      </c>
      <c r="D631" s="10">
        <v>33756</v>
      </c>
      <c r="E631" t="s">
        <v>33</v>
      </c>
      <c r="F631" t="s">
        <v>33</v>
      </c>
      <c r="G631">
        <v>75</v>
      </c>
      <c r="H631">
        <v>185</v>
      </c>
      <c r="I631">
        <v>2018</v>
      </c>
      <c r="J631" s="4" t="str">
        <f>HYPERLINK("http://legacy.baseballprospectus.com/fantasy/dc/index.php?tm=TEX","TEX")</f>
        <v>TEX</v>
      </c>
      <c r="K631" t="s">
        <v>95</v>
      </c>
      <c r="L631" t="s">
        <v>34</v>
      </c>
      <c r="M631">
        <v>26</v>
      </c>
      <c r="N631">
        <v>0.4</v>
      </c>
      <c r="O631">
        <v>0.5</v>
      </c>
      <c r="P631">
        <v>0</v>
      </c>
      <c r="Q631">
        <v>0</v>
      </c>
      <c r="R631">
        <v>0</v>
      </c>
      <c r="S631">
        <v>0</v>
      </c>
      <c r="T631">
        <v>10</v>
      </c>
      <c r="U631">
        <v>0</v>
      </c>
      <c r="V631" s="9">
        <v>10.666700000000001</v>
      </c>
      <c r="W631">
        <v>47</v>
      </c>
      <c r="X631">
        <v>11</v>
      </c>
      <c r="Y631">
        <v>2</v>
      </c>
      <c r="Z631">
        <v>6</v>
      </c>
      <c r="AA631">
        <v>0</v>
      </c>
      <c r="AB631">
        <v>0</v>
      </c>
      <c r="AC631">
        <v>10</v>
      </c>
      <c r="AD631">
        <v>4.8</v>
      </c>
      <c r="AE631">
        <v>8.1999999999999993</v>
      </c>
      <c r="AF631" s="5">
        <v>0.45500000000000002</v>
      </c>
      <c r="AG631">
        <v>0.29599999999999999</v>
      </c>
      <c r="AH631">
        <v>1.56</v>
      </c>
      <c r="AI631">
        <v>5.58</v>
      </c>
      <c r="AJ631">
        <v>5.23</v>
      </c>
      <c r="AK631">
        <v>0</v>
      </c>
      <c r="AL631">
        <v>0</v>
      </c>
      <c r="AM631">
        <v>2</v>
      </c>
      <c r="AN631">
        <v>7</v>
      </c>
      <c r="AO631">
        <v>1</v>
      </c>
      <c r="AP631">
        <v>5</v>
      </c>
      <c r="AQ631" t="s">
        <v>3060</v>
      </c>
      <c r="AR631">
        <v>9</v>
      </c>
      <c r="AS631" t="s">
        <v>35</v>
      </c>
      <c r="AT631" t="s">
        <v>35</v>
      </c>
      <c r="AU631" s="4">
        <f>HYPERLINK("http://mlb.mlb.com/team/player.jsp?player_id=605463",605463)</f>
        <v>605463</v>
      </c>
      <c r="AV631">
        <v>0</v>
      </c>
      <c r="AW631">
        <v>0</v>
      </c>
      <c r="AX631">
        <v>0</v>
      </c>
    </row>
    <row r="632" spans="1:50" x14ac:dyDescent="0.3">
      <c r="A632" s="4">
        <f>HYPERLINK("http://legacy.baseballprospectus.com/p/70497",70497)</f>
        <v>70497</v>
      </c>
      <c r="B632" t="s">
        <v>1165</v>
      </c>
      <c r="C632" t="s">
        <v>104</v>
      </c>
      <c r="D632" s="10">
        <v>33859</v>
      </c>
      <c r="E632" t="s">
        <v>33</v>
      </c>
      <c r="F632" t="s">
        <v>33</v>
      </c>
      <c r="G632">
        <v>75</v>
      </c>
      <c r="H632">
        <v>205</v>
      </c>
      <c r="I632">
        <v>2018</v>
      </c>
      <c r="J632" s="4" t="str">
        <f>HYPERLINK("http://legacy.baseballprospectus.com/fantasy/dc/index.php?tm=ATL","ATL")</f>
        <v>ATL</v>
      </c>
      <c r="K632" t="s">
        <v>100</v>
      </c>
      <c r="L632" t="s">
        <v>34</v>
      </c>
      <c r="M632">
        <v>25</v>
      </c>
      <c r="N632">
        <v>1.8</v>
      </c>
      <c r="O632">
        <v>2.2000000000000002</v>
      </c>
      <c r="P632">
        <v>1</v>
      </c>
      <c r="Q632">
        <v>0</v>
      </c>
      <c r="R632">
        <v>0</v>
      </c>
      <c r="S632">
        <v>0</v>
      </c>
      <c r="T632">
        <v>24</v>
      </c>
      <c r="U632">
        <v>3</v>
      </c>
      <c r="V632" s="9">
        <v>37.666699999999999</v>
      </c>
      <c r="W632">
        <v>164</v>
      </c>
      <c r="X632">
        <v>39</v>
      </c>
      <c r="Y632">
        <v>6</v>
      </c>
      <c r="Z632">
        <v>13</v>
      </c>
      <c r="AA632">
        <v>1</v>
      </c>
      <c r="AB632">
        <v>1</v>
      </c>
      <c r="AC632">
        <v>31</v>
      </c>
      <c r="AD632">
        <v>3.1</v>
      </c>
      <c r="AE632">
        <v>7.5</v>
      </c>
      <c r="AF632" s="5">
        <v>0.41099999999999998</v>
      </c>
      <c r="AG632">
        <v>0.29599999999999999</v>
      </c>
      <c r="AH632">
        <v>1.38</v>
      </c>
      <c r="AI632">
        <v>4.7</v>
      </c>
      <c r="AJ632">
        <v>5.04</v>
      </c>
      <c r="AK632">
        <v>0.3</v>
      </c>
      <c r="AL632">
        <v>0</v>
      </c>
      <c r="AM632">
        <v>31</v>
      </c>
      <c r="AN632">
        <v>51</v>
      </c>
      <c r="AO632">
        <v>21</v>
      </c>
      <c r="AP632">
        <v>26</v>
      </c>
      <c r="AQ632" t="s">
        <v>2750</v>
      </c>
      <c r="AR632">
        <v>89</v>
      </c>
      <c r="AS632" t="s">
        <v>35</v>
      </c>
      <c r="AT632" t="s">
        <v>36</v>
      </c>
      <c r="AU632" s="4">
        <f>HYPERLINK("http://mlb.mlb.com/team/player.jsp?player_id=605538",605538)</f>
        <v>605538</v>
      </c>
      <c r="AV632">
        <v>1099</v>
      </c>
      <c r="AW632">
        <v>99</v>
      </c>
      <c r="AX632">
        <v>32.299999999999997</v>
      </c>
    </row>
    <row r="633" spans="1:50" x14ac:dyDescent="0.3">
      <c r="A633" s="4">
        <f>HYPERLINK("http://legacy.baseballprospectus.com/p/70558",70558)</f>
        <v>70558</v>
      </c>
      <c r="B633" t="s">
        <v>1622</v>
      </c>
      <c r="C633" t="s">
        <v>102</v>
      </c>
      <c r="D633" s="10">
        <v>33655</v>
      </c>
      <c r="E633" t="s">
        <v>9</v>
      </c>
      <c r="F633" t="s">
        <v>9</v>
      </c>
      <c r="G633">
        <v>72</v>
      </c>
      <c r="H633">
        <v>180</v>
      </c>
      <c r="I633">
        <v>2018</v>
      </c>
      <c r="J633" s="4" t="str">
        <f>HYPERLINK("http://legacy.baseballprospectus.com/fantasy/dc/index.php?tm=CLE","CLE")</f>
        <v>CLE</v>
      </c>
      <c r="K633" t="s">
        <v>95</v>
      </c>
      <c r="L633" t="s">
        <v>34</v>
      </c>
      <c r="M633">
        <v>26</v>
      </c>
      <c r="N633">
        <v>3</v>
      </c>
      <c r="O633">
        <v>2.7</v>
      </c>
      <c r="P633">
        <v>2</v>
      </c>
      <c r="Q633">
        <v>0</v>
      </c>
      <c r="R633">
        <v>0</v>
      </c>
      <c r="S633">
        <v>0</v>
      </c>
      <c r="T633">
        <v>28</v>
      </c>
      <c r="U633">
        <v>5</v>
      </c>
      <c r="V633" s="9">
        <v>51</v>
      </c>
      <c r="W633">
        <v>221</v>
      </c>
      <c r="X633">
        <v>55</v>
      </c>
      <c r="Y633">
        <v>9</v>
      </c>
      <c r="Z633">
        <v>16</v>
      </c>
      <c r="AA633">
        <v>2</v>
      </c>
      <c r="AB633">
        <v>2</v>
      </c>
      <c r="AC633">
        <v>37</v>
      </c>
      <c r="AD633">
        <v>2.9</v>
      </c>
      <c r="AE633">
        <v>6.5</v>
      </c>
      <c r="AF633" s="5">
        <v>0.42799999999999999</v>
      </c>
      <c r="AG633">
        <v>0.29399999999999998</v>
      </c>
      <c r="AH633">
        <v>1.4</v>
      </c>
      <c r="AI633">
        <v>4.96</v>
      </c>
      <c r="AJ633">
        <v>5.33</v>
      </c>
      <c r="AK633">
        <v>0.3</v>
      </c>
      <c r="AL633">
        <v>0</v>
      </c>
      <c r="AM633">
        <v>24</v>
      </c>
      <c r="AN633">
        <v>36</v>
      </c>
      <c r="AO633">
        <v>7</v>
      </c>
      <c r="AP633">
        <v>24</v>
      </c>
      <c r="AQ633" t="s">
        <v>2751</v>
      </c>
      <c r="AR633">
        <v>60</v>
      </c>
      <c r="AS633" t="s">
        <v>35</v>
      </c>
      <c r="AT633" t="s">
        <v>35</v>
      </c>
      <c r="AU633" s="4">
        <f>HYPERLINK("http://mlb.mlb.com/team/player.jsp?player_id=607320",607320)</f>
        <v>607320</v>
      </c>
      <c r="AV633">
        <v>106</v>
      </c>
      <c r="AW633">
        <v>1106</v>
      </c>
      <c r="AX633">
        <v>20.7</v>
      </c>
    </row>
    <row r="634" spans="1:50" x14ac:dyDescent="0.3">
      <c r="A634" s="4">
        <f>HYPERLINK("http://legacy.baseballprospectus.com/p/70765",70765)</f>
        <v>70765</v>
      </c>
      <c r="B634" t="s">
        <v>900</v>
      </c>
      <c r="C634" t="s">
        <v>179</v>
      </c>
      <c r="D634" s="10">
        <v>33806</v>
      </c>
      <c r="E634" t="s">
        <v>9</v>
      </c>
      <c r="F634" t="s">
        <v>9</v>
      </c>
      <c r="G634">
        <v>78</v>
      </c>
      <c r="H634">
        <v>220</v>
      </c>
      <c r="I634">
        <v>2018</v>
      </c>
      <c r="J634" s="4" t="str">
        <f>HYPERLINK("http://legacy.baseballprospectus.com/fantasy/dc/index.php?tm=LAN","LAN")</f>
        <v>LAN</v>
      </c>
      <c r="K634" t="s">
        <v>100</v>
      </c>
      <c r="L634" t="s">
        <v>34</v>
      </c>
      <c r="M634">
        <v>25</v>
      </c>
      <c r="N634">
        <v>0.6</v>
      </c>
      <c r="O634">
        <v>0.4</v>
      </c>
      <c r="P634">
        <v>0</v>
      </c>
      <c r="Q634">
        <v>0</v>
      </c>
      <c r="R634">
        <v>0</v>
      </c>
      <c r="S634">
        <v>0</v>
      </c>
      <c r="T634">
        <v>10</v>
      </c>
      <c r="U634">
        <v>0</v>
      </c>
      <c r="V634" s="9">
        <v>10.666700000000001</v>
      </c>
      <c r="W634">
        <v>45</v>
      </c>
      <c r="X634">
        <v>9</v>
      </c>
      <c r="Y634">
        <v>1</v>
      </c>
      <c r="Z634">
        <v>6</v>
      </c>
      <c r="AA634">
        <v>0</v>
      </c>
      <c r="AB634">
        <v>1</v>
      </c>
      <c r="AC634">
        <v>12</v>
      </c>
      <c r="AD634">
        <v>4.8</v>
      </c>
      <c r="AE634">
        <v>9.9</v>
      </c>
      <c r="AF634" s="5">
        <v>0.377</v>
      </c>
      <c r="AG634">
        <v>0.28599999999999998</v>
      </c>
      <c r="AH634">
        <v>1.3</v>
      </c>
      <c r="AI634">
        <v>4.1500000000000004</v>
      </c>
      <c r="AJ634">
        <v>4.58</v>
      </c>
      <c r="AK634">
        <v>0.4</v>
      </c>
      <c r="AL634">
        <v>0</v>
      </c>
      <c r="AM634">
        <v>16</v>
      </c>
      <c r="AN634">
        <v>34</v>
      </c>
      <c r="AO634">
        <v>16</v>
      </c>
      <c r="AP634">
        <v>27</v>
      </c>
      <c r="AQ634" t="s">
        <v>3187</v>
      </c>
      <c r="AR634">
        <v>58</v>
      </c>
      <c r="AS634" t="s">
        <v>35</v>
      </c>
      <c r="AT634" t="s">
        <v>36</v>
      </c>
      <c r="AU634" s="4">
        <f>HYPERLINK("http://mlb.mlb.com/team/player.jsp?player_id=596064",596064)</f>
        <v>596064</v>
      </c>
      <c r="AV634">
        <v>1145</v>
      </c>
      <c r="AW634">
        <v>145</v>
      </c>
      <c r="AX634">
        <v>0</v>
      </c>
    </row>
    <row r="635" spans="1:50" x14ac:dyDescent="0.3">
      <c r="A635" s="4">
        <f>HYPERLINK("http://legacy.baseballprospectus.com/p/70768",70768)</f>
        <v>70768</v>
      </c>
      <c r="B635" t="s">
        <v>447</v>
      </c>
      <c r="C635" t="s">
        <v>181</v>
      </c>
      <c r="D635" s="10">
        <v>33853</v>
      </c>
      <c r="E635" t="s">
        <v>33</v>
      </c>
      <c r="F635" t="s">
        <v>33</v>
      </c>
      <c r="G635">
        <v>76</v>
      </c>
      <c r="H635">
        <v>185</v>
      </c>
      <c r="I635">
        <v>2018</v>
      </c>
      <c r="J635" s="4" t="str">
        <f>HYPERLINK("http://legacy.baseballprospectus.com/fantasy/dc/index.php?tm=BAL","BAL")</f>
        <v>BAL</v>
      </c>
      <c r="K635" t="s">
        <v>95</v>
      </c>
      <c r="L635" t="s">
        <v>34</v>
      </c>
      <c r="M635">
        <v>25</v>
      </c>
      <c r="N635">
        <v>0.6</v>
      </c>
      <c r="O635">
        <v>0.8</v>
      </c>
      <c r="P635">
        <v>0</v>
      </c>
      <c r="Q635">
        <v>0</v>
      </c>
      <c r="R635">
        <v>0</v>
      </c>
      <c r="S635">
        <v>0</v>
      </c>
      <c r="T635">
        <v>15</v>
      </c>
      <c r="U635">
        <v>0</v>
      </c>
      <c r="V635" s="9">
        <v>16.333300000000001</v>
      </c>
      <c r="W635">
        <v>72</v>
      </c>
      <c r="X635">
        <v>17</v>
      </c>
      <c r="Y635">
        <v>3</v>
      </c>
      <c r="Z635">
        <v>7</v>
      </c>
      <c r="AA635">
        <v>1</v>
      </c>
      <c r="AB635">
        <v>1</v>
      </c>
      <c r="AC635">
        <v>15</v>
      </c>
      <c r="AD635">
        <v>4</v>
      </c>
      <c r="AE635">
        <v>8.1</v>
      </c>
      <c r="AF635" s="5">
        <v>0.41899999999999998</v>
      </c>
      <c r="AG635">
        <v>0.29399999999999998</v>
      </c>
      <c r="AH635">
        <v>1.46</v>
      </c>
      <c r="AI635">
        <v>5.55</v>
      </c>
      <c r="AJ635">
        <v>5.4</v>
      </c>
      <c r="AK635">
        <v>-0.3</v>
      </c>
      <c r="AL635">
        <v>0</v>
      </c>
      <c r="AM635">
        <v>9</v>
      </c>
      <c r="AN635">
        <v>15</v>
      </c>
      <c r="AO635">
        <v>8</v>
      </c>
      <c r="AP635">
        <v>21</v>
      </c>
      <c r="AQ635" t="s">
        <v>3061</v>
      </c>
      <c r="AR635">
        <v>27</v>
      </c>
      <c r="AS635" t="s">
        <v>35</v>
      </c>
      <c r="AT635" t="s">
        <v>35</v>
      </c>
      <c r="AU635" s="4">
        <f>HYPERLINK("http://mlb.mlb.com/team/player.jsp?player_id=547184",547184)</f>
        <v>547184</v>
      </c>
      <c r="AV635">
        <v>0</v>
      </c>
      <c r="AW635">
        <v>0</v>
      </c>
      <c r="AX635">
        <v>0</v>
      </c>
    </row>
    <row r="636" spans="1:50" x14ac:dyDescent="0.3">
      <c r="A636" s="4">
        <f>HYPERLINK("http://legacy.baseballprospectus.com/p/70790",70790)</f>
        <v>70790</v>
      </c>
      <c r="B636" t="s">
        <v>2752</v>
      </c>
      <c r="C636" t="s">
        <v>2753</v>
      </c>
      <c r="D636" s="10">
        <v>33906</v>
      </c>
      <c r="E636" t="s">
        <v>33</v>
      </c>
      <c r="F636" t="s">
        <v>33</v>
      </c>
      <c r="G636">
        <v>76</v>
      </c>
      <c r="H636">
        <v>230</v>
      </c>
      <c r="I636">
        <v>2018</v>
      </c>
      <c r="J636" s="4" t="str">
        <f>HYPERLINK("http://legacy.baseballprospectus.com/fantasy/dc/index.php?tm=SDN","SDN")</f>
        <v>SDN</v>
      </c>
      <c r="K636" t="s">
        <v>100</v>
      </c>
      <c r="L636" t="s">
        <v>34</v>
      </c>
      <c r="M636">
        <v>25</v>
      </c>
      <c r="N636">
        <v>1</v>
      </c>
      <c r="O636">
        <v>1</v>
      </c>
      <c r="P636">
        <v>0</v>
      </c>
      <c r="Q636">
        <v>0</v>
      </c>
      <c r="R636">
        <v>0</v>
      </c>
      <c r="S636">
        <v>1</v>
      </c>
      <c r="T636">
        <v>21</v>
      </c>
      <c r="U636">
        <v>0</v>
      </c>
      <c r="V636" s="9">
        <v>22.666699999999999</v>
      </c>
      <c r="W636">
        <v>99</v>
      </c>
      <c r="X636">
        <v>22</v>
      </c>
      <c r="Y636">
        <v>3</v>
      </c>
      <c r="Z636">
        <v>10</v>
      </c>
      <c r="AA636">
        <v>1</v>
      </c>
      <c r="AB636">
        <v>1</v>
      </c>
      <c r="AC636">
        <v>22</v>
      </c>
      <c r="AD636">
        <v>3.8</v>
      </c>
      <c r="AE636">
        <v>8.8000000000000007</v>
      </c>
      <c r="AF636" s="5">
        <v>0.49099999999999999</v>
      </c>
      <c r="AG636">
        <v>0.29899999999999999</v>
      </c>
      <c r="AH636">
        <v>1.41</v>
      </c>
      <c r="AI636">
        <v>4.62</v>
      </c>
      <c r="AJ636">
        <v>4.92</v>
      </c>
      <c r="AK636">
        <v>0.2</v>
      </c>
      <c r="AL636">
        <v>0</v>
      </c>
      <c r="AM636">
        <v>12</v>
      </c>
      <c r="AN636">
        <v>16</v>
      </c>
      <c r="AO636">
        <v>8</v>
      </c>
      <c r="AP636">
        <v>28</v>
      </c>
      <c r="AQ636" t="s">
        <v>2754</v>
      </c>
      <c r="AR636">
        <v>34</v>
      </c>
      <c r="AS636" t="s">
        <v>35</v>
      </c>
      <c r="AT636" t="s">
        <v>35</v>
      </c>
      <c r="AU636" s="4">
        <f>HYPERLINK("http://mlb.mlb.com/team/player.jsp?player_id=605155",605155)</f>
        <v>605155</v>
      </c>
      <c r="AV636">
        <v>0</v>
      </c>
      <c r="AW636">
        <v>0</v>
      </c>
      <c r="AX636">
        <v>0</v>
      </c>
    </row>
    <row r="637" spans="1:50" x14ac:dyDescent="0.3">
      <c r="A637" s="4">
        <f>HYPERLINK("http://legacy.baseballprospectus.com/p/70803",70803)</f>
        <v>70803</v>
      </c>
      <c r="B637" t="s">
        <v>1170</v>
      </c>
      <c r="C637" t="s">
        <v>384</v>
      </c>
      <c r="D637" s="10">
        <v>32981</v>
      </c>
      <c r="E637" t="s">
        <v>33</v>
      </c>
      <c r="F637" t="s">
        <v>33</v>
      </c>
      <c r="G637">
        <v>73</v>
      </c>
      <c r="H637">
        <v>195</v>
      </c>
      <c r="I637">
        <v>2018</v>
      </c>
      <c r="J637" s="4" t="str">
        <f>HYPERLINK("http://legacy.baseballprospectus.com/fantasy/dc/index.php?tm=CIN","CIN")</f>
        <v>CIN</v>
      </c>
      <c r="K637" t="s">
        <v>100</v>
      </c>
      <c r="L637" t="s">
        <v>34</v>
      </c>
      <c r="M637">
        <v>28</v>
      </c>
      <c r="N637">
        <v>5</v>
      </c>
      <c r="O637">
        <v>6.6</v>
      </c>
      <c r="P637">
        <v>7</v>
      </c>
      <c r="Q637">
        <v>0</v>
      </c>
      <c r="R637">
        <v>0</v>
      </c>
      <c r="S637">
        <v>0</v>
      </c>
      <c r="T637">
        <v>16</v>
      </c>
      <c r="U637">
        <v>16</v>
      </c>
      <c r="V637" s="9">
        <v>96</v>
      </c>
      <c r="W637">
        <v>421</v>
      </c>
      <c r="X637">
        <v>100</v>
      </c>
      <c r="Y637">
        <v>18</v>
      </c>
      <c r="Z637">
        <v>38</v>
      </c>
      <c r="AA637">
        <v>2</v>
      </c>
      <c r="AB637">
        <v>3</v>
      </c>
      <c r="AC637">
        <v>85</v>
      </c>
      <c r="AD637">
        <v>3.5</v>
      </c>
      <c r="AE637">
        <v>8</v>
      </c>
      <c r="AF637" s="5">
        <v>0.442</v>
      </c>
      <c r="AG637">
        <v>0.29599999999999999</v>
      </c>
      <c r="AH637">
        <v>1.44</v>
      </c>
      <c r="AI637">
        <v>5.14</v>
      </c>
      <c r="AJ637">
        <v>5.24</v>
      </c>
      <c r="AK637">
        <v>0.2</v>
      </c>
      <c r="AL637">
        <v>0</v>
      </c>
      <c r="AM637">
        <v>16</v>
      </c>
      <c r="AN637">
        <v>58</v>
      </c>
      <c r="AO637">
        <v>13</v>
      </c>
      <c r="AP637">
        <v>15</v>
      </c>
      <c r="AQ637" t="s">
        <v>3472</v>
      </c>
      <c r="AR637">
        <v>94</v>
      </c>
      <c r="AS637" t="s">
        <v>35</v>
      </c>
      <c r="AT637" t="s">
        <v>36</v>
      </c>
      <c r="AU637" s="4">
        <f>HYPERLINK("http://mlb.mlb.com/team/player.jsp?player_id=543101",543101)</f>
        <v>543101</v>
      </c>
      <c r="AV637">
        <v>1141</v>
      </c>
      <c r="AW637">
        <v>141</v>
      </c>
      <c r="AX637">
        <v>0</v>
      </c>
    </row>
    <row r="638" spans="1:50" x14ac:dyDescent="0.3">
      <c r="A638" s="4">
        <f>HYPERLINK("http://legacy.baseballprospectus.com/p/70827",70827)</f>
        <v>70827</v>
      </c>
      <c r="B638" t="s">
        <v>654</v>
      </c>
      <c r="C638" t="s">
        <v>204</v>
      </c>
      <c r="D638" s="10">
        <v>33858</v>
      </c>
      <c r="E638" t="s">
        <v>9</v>
      </c>
      <c r="F638" t="s">
        <v>9</v>
      </c>
      <c r="G638">
        <v>74</v>
      </c>
      <c r="H638">
        <v>205</v>
      </c>
      <c r="I638">
        <v>2018</v>
      </c>
      <c r="J638" s="4" t="str">
        <f>HYPERLINK("http://legacy.baseballprospectus.com/fantasy/dc/index.php?tm=SFN","SFN")</f>
        <v>SFN</v>
      </c>
      <c r="K638" t="s">
        <v>100</v>
      </c>
      <c r="L638" t="s">
        <v>34</v>
      </c>
      <c r="M638">
        <v>25</v>
      </c>
      <c r="N638">
        <v>0.9</v>
      </c>
      <c r="O638">
        <v>1.1000000000000001</v>
      </c>
      <c r="P638">
        <v>1</v>
      </c>
      <c r="Q638">
        <v>0</v>
      </c>
      <c r="R638">
        <v>0</v>
      </c>
      <c r="S638">
        <v>0</v>
      </c>
      <c r="T638">
        <v>3</v>
      </c>
      <c r="U638">
        <v>3</v>
      </c>
      <c r="V638" s="9">
        <v>15</v>
      </c>
      <c r="W638">
        <v>65</v>
      </c>
      <c r="X638">
        <v>16</v>
      </c>
      <c r="Y638">
        <v>3</v>
      </c>
      <c r="Z638">
        <v>5</v>
      </c>
      <c r="AA638">
        <v>0</v>
      </c>
      <c r="AB638">
        <v>0</v>
      </c>
      <c r="AC638">
        <v>13</v>
      </c>
      <c r="AD638">
        <v>2.8</v>
      </c>
      <c r="AE638">
        <v>8</v>
      </c>
      <c r="AF638" s="5">
        <v>0.46</v>
      </c>
      <c r="AG638">
        <v>0.29799999999999999</v>
      </c>
      <c r="AH638">
        <v>1.42</v>
      </c>
      <c r="AI638">
        <v>4.63</v>
      </c>
      <c r="AJ638">
        <v>5.47</v>
      </c>
      <c r="AK638">
        <v>-0.3</v>
      </c>
      <c r="AL638">
        <v>0</v>
      </c>
      <c r="AM638">
        <v>19</v>
      </c>
      <c r="AN638">
        <v>34</v>
      </c>
      <c r="AO638">
        <v>21</v>
      </c>
      <c r="AP638">
        <v>53</v>
      </c>
      <c r="AQ638" t="s">
        <v>2897</v>
      </c>
      <c r="AR638">
        <v>68</v>
      </c>
      <c r="AS638" t="s">
        <v>35</v>
      </c>
      <c r="AT638" t="s">
        <v>35</v>
      </c>
      <c r="AU638" s="4">
        <f>HYPERLINK("http://mlb.mlb.com/team/player.jsp?player_id=605498",605498)</f>
        <v>605498</v>
      </c>
      <c r="AV638">
        <v>1215</v>
      </c>
      <c r="AW638">
        <v>215</v>
      </c>
      <c r="AX638">
        <v>0</v>
      </c>
    </row>
    <row r="639" spans="1:50" x14ac:dyDescent="0.3">
      <c r="A639" s="4">
        <f>HYPERLINK("http://legacy.baseballprospectus.com/p/70860",70860)</f>
        <v>70860</v>
      </c>
      <c r="B639" t="s">
        <v>3189</v>
      </c>
      <c r="C639" t="s">
        <v>807</v>
      </c>
      <c r="D639" s="10">
        <v>33733</v>
      </c>
      <c r="E639" t="s">
        <v>33</v>
      </c>
      <c r="F639" t="s">
        <v>33</v>
      </c>
      <c r="G639">
        <v>74</v>
      </c>
      <c r="H639">
        <v>225</v>
      </c>
      <c r="I639">
        <v>2018</v>
      </c>
      <c r="J639" s="4" t="str">
        <f>HYPERLINK("http://legacy.baseballprospectus.com/fantasy/dc/index.php?tm=CHN","CHN")</f>
        <v>CHN</v>
      </c>
      <c r="K639" t="s">
        <v>100</v>
      </c>
      <c r="L639" t="s">
        <v>34</v>
      </c>
      <c r="M639">
        <v>26</v>
      </c>
      <c r="N639">
        <v>0.9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19</v>
      </c>
      <c r="U639">
        <v>0</v>
      </c>
      <c r="V639" s="9">
        <v>20.666699999999999</v>
      </c>
      <c r="W639">
        <v>93</v>
      </c>
      <c r="X639">
        <v>20</v>
      </c>
      <c r="Y639">
        <v>3</v>
      </c>
      <c r="Z639">
        <v>11</v>
      </c>
      <c r="AA639">
        <v>1</v>
      </c>
      <c r="AB639">
        <v>2</v>
      </c>
      <c r="AC639">
        <v>20</v>
      </c>
      <c r="AD639">
        <v>4.8</v>
      </c>
      <c r="AE639">
        <v>8.8000000000000007</v>
      </c>
      <c r="AF639" s="5">
        <v>0.53100000000000003</v>
      </c>
      <c r="AG639">
        <v>0.30299999999999999</v>
      </c>
      <c r="AH639">
        <v>1.56</v>
      </c>
      <c r="AI639">
        <v>5.0199999999999996</v>
      </c>
      <c r="AJ639">
        <v>4.9400000000000004</v>
      </c>
      <c r="AK639">
        <v>0.1</v>
      </c>
      <c r="AL639">
        <v>0</v>
      </c>
      <c r="AM639">
        <v>23</v>
      </c>
      <c r="AN639">
        <v>28</v>
      </c>
      <c r="AO639">
        <v>6</v>
      </c>
      <c r="AP639">
        <v>19</v>
      </c>
      <c r="AQ639" t="s">
        <v>3190</v>
      </c>
      <c r="AR639">
        <v>37</v>
      </c>
      <c r="AS639" t="s">
        <v>35</v>
      </c>
      <c r="AT639" t="s">
        <v>35</v>
      </c>
      <c r="AU639" s="4">
        <f>HYPERLINK("http://mlb.mlb.com/team/player.jsp?player_id=596027",596027)</f>
        <v>596027</v>
      </c>
      <c r="AV639">
        <v>1348</v>
      </c>
      <c r="AW639">
        <v>348</v>
      </c>
      <c r="AX639">
        <v>5.3</v>
      </c>
    </row>
    <row r="640" spans="1:50" x14ac:dyDescent="0.3">
      <c r="A640" s="4">
        <f>HYPERLINK("http://legacy.baseballprospectus.com/p/70921",70921)</f>
        <v>70921</v>
      </c>
      <c r="B640" t="s">
        <v>2405</v>
      </c>
      <c r="C640" t="s">
        <v>807</v>
      </c>
      <c r="D640" s="10">
        <v>33847</v>
      </c>
      <c r="E640" t="s">
        <v>9</v>
      </c>
      <c r="F640" t="s">
        <v>9</v>
      </c>
      <c r="G640">
        <v>69</v>
      </c>
      <c r="H640">
        <v>195</v>
      </c>
      <c r="I640">
        <v>2018</v>
      </c>
      <c r="J640" s="4" t="str">
        <f>HYPERLINK("http://legacy.baseballprospectus.com/fantasy/dc/index.php?tm=MIA","MIA")</f>
        <v>MIA</v>
      </c>
      <c r="K640" t="s">
        <v>100</v>
      </c>
      <c r="L640" t="s">
        <v>34</v>
      </c>
      <c r="M640">
        <v>25</v>
      </c>
      <c r="N640">
        <v>5.4</v>
      </c>
      <c r="O640">
        <v>9.3000000000000007</v>
      </c>
      <c r="P640">
        <v>9</v>
      </c>
      <c r="Q640">
        <v>0</v>
      </c>
      <c r="R640">
        <v>0</v>
      </c>
      <c r="S640">
        <v>0</v>
      </c>
      <c r="T640">
        <v>21</v>
      </c>
      <c r="U640">
        <v>21</v>
      </c>
      <c r="V640" s="9">
        <v>119.66670000000001</v>
      </c>
      <c r="W640">
        <v>526</v>
      </c>
      <c r="X640">
        <v>125</v>
      </c>
      <c r="Y640">
        <v>21</v>
      </c>
      <c r="Z640">
        <v>44</v>
      </c>
      <c r="AA640">
        <v>3</v>
      </c>
      <c r="AB640">
        <v>6</v>
      </c>
      <c r="AC640">
        <v>103</v>
      </c>
      <c r="AD640">
        <v>3.3</v>
      </c>
      <c r="AE640">
        <v>7.8</v>
      </c>
      <c r="AF640" s="5">
        <v>0.49099999999999999</v>
      </c>
      <c r="AG640">
        <v>0.29799999999999999</v>
      </c>
      <c r="AH640">
        <v>1.42</v>
      </c>
      <c r="AI640">
        <v>4.93</v>
      </c>
      <c r="AJ640">
        <v>5.26</v>
      </c>
      <c r="AK640">
        <v>0</v>
      </c>
      <c r="AL640">
        <v>0</v>
      </c>
      <c r="AM640">
        <v>25</v>
      </c>
      <c r="AN640">
        <v>42</v>
      </c>
      <c r="AO640">
        <v>12</v>
      </c>
      <c r="AP640">
        <v>36</v>
      </c>
      <c r="AQ640" t="s">
        <v>2406</v>
      </c>
      <c r="AR640">
        <v>69</v>
      </c>
      <c r="AS640" t="s">
        <v>35</v>
      </c>
      <c r="AT640" t="s">
        <v>35</v>
      </c>
      <c r="AU640" s="4">
        <f>HYPERLINK("http://mlb.mlb.com/team/player.jsp?player_id=596071",596071)</f>
        <v>596071</v>
      </c>
      <c r="AV640">
        <v>1101</v>
      </c>
      <c r="AW640">
        <v>101</v>
      </c>
      <c r="AX640">
        <v>31.3</v>
      </c>
    </row>
    <row r="641" spans="1:50" x14ac:dyDescent="0.3">
      <c r="A641" s="4">
        <f>HYPERLINK("http://legacy.baseballprospectus.com/p/70964",70964)</f>
        <v>70964</v>
      </c>
      <c r="B641" t="s">
        <v>1641</v>
      </c>
      <c r="C641" t="s">
        <v>115</v>
      </c>
      <c r="D641" s="10">
        <v>34025</v>
      </c>
      <c r="E641" t="s">
        <v>33</v>
      </c>
      <c r="F641" t="s">
        <v>33</v>
      </c>
      <c r="G641">
        <v>76</v>
      </c>
      <c r="H641">
        <v>180</v>
      </c>
      <c r="I641">
        <v>2018</v>
      </c>
      <c r="J641" s="4" t="str">
        <f>HYPERLINK("http://legacy.baseballprospectus.com/fantasy/dc/index.php?tm=WAS","WAS")</f>
        <v>WAS</v>
      </c>
      <c r="K641" t="s">
        <v>100</v>
      </c>
      <c r="L641" t="s">
        <v>34</v>
      </c>
      <c r="M641">
        <v>25</v>
      </c>
      <c r="N641">
        <v>4.0999999999999996</v>
      </c>
      <c r="O641">
        <v>4.4000000000000004</v>
      </c>
      <c r="P641">
        <v>5</v>
      </c>
      <c r="Q641">
        <v>0</v>
      </c>
      <c r="R641">
        <v>0</v>
      </c>
      <c r="S641">
        <v>0</v>
      </c>
      <c r="T641">
        <v>13</v>
      </c>
      <c r="U641">
        <v>13</v>
      </c>
      <c r="V641" s="9">
        <v>65</v>
      </c>
      <c r="W641">
        <v>287</v>
      </c>
      <c r="X641">
        <v>69</v>
      </c>
      <c r="Y641">
        <v>12</v>
      </c>
      <c r="Z641">
        <v>24</v>
      </c>
      <c r="AA641">
        <v>2</v>
      </c>
      <c r="AB641">
        <v>2</v>
      </c>
      <c r="AC641">
        <v>58</v>
      </c>
      <c r="AD641">
        <v>3.3</v>
      </c>
      <c r="AE641">
        <v>8</v>
      </c>
      <c r="AF641" s="5">
        <v>0.47699999999999998</v>
      </c>
      <c r="AG641">
        <v>0.30199999999999999</v>
      </c>
      <c r="AH641">
        <v>1.47</v>
      </c>
      <c r="AI641">
        <v>4.9000000000000004</v>
      </c>
      <c r="AJ641">
        <v>5.28</v>
      </c>
      <c r="AK641">
        <v>-0.1</v>
      </c>
      <c r="AL641">
        <v>0</v>
      </c>
      <c r="AM641">
        <v>17</v>
      </c>
      <c r="AN641">
        <v>41</v>
      </c>
      <c r="AO641">
        <v>19</v>
      </c>
      <c r="AP641">
        <v>52</v>
      </c>
      <c r="AQ641" t="s">
        <v>2580</v>
      </c>
      <c r="AR641">
        <v>75</v>
      </c>
      <c r="AS641" t="s">
        <v>35</v>
      </c>
      <c r="AT641" t="s">
        <v>35</v>
      </c>
      <c r="AU641" s="4">
        <f>HYPERLINK("http://mlb.mlb.com/team/player.jsp?player_id=607200",607200)</f>
        <v>607200</v>
      </c>
      <c r="AV641">
        <v>1118</v>
      </c>
      <c r="AW641">
        <v>118</v>
      </c>
      <c r="AX641">
        <v>15.3</v>
      </c>
    </row>
    <row r="642" spans="1:50" x14ac:dyDescent="0.3">
      <c r="A642" s="4">
        <f>HYPERLINK("http://legacy.baseballprospectus.com/p/99939",99939)</f>
        <v>99939</v>
      </c>
      <c r="B642" t="s">
        <v>712</v>
      </c>
      <c r="C642" t="s">
        <v>234</v>
      </c>
      <c r="D642" s="10">
        <v>33120</v>
      </c>
      <c r="E642" t="s">
        <v>33</v>
      </c>
      <c r="F642" t="s">
        <v>33</v>
      </c>
      <c r="G642">
        <v>75</v>
      </c>
      <c r="H642">
        <v>225</v>
      </c>
      <c r="I642">
        <v>2018</v>
      </c>
      <c r="J642" s="4" t="str">
        <f>HYPERLINK("http://legacy.baseballprospectus.com/fantasy/dc/index.php?tm=CHA","CHA")</f>
        <v>CHA</v>
      </c>
      <c r="K642" t="s">
        <v>95</v>
      </c>
      <c r="L642" t="s">
        <v>34</v>
      </c>
      <c r="M642">
        <v>27</v>
      </c>
      <c r="N642">
        <v>0.7</v>
      </c>
      <c r="O642">
        <v>0.8</v>
      </c>
      <c r="P642">
        <v>0</v>
      </c>
      <c r="Q642">
        <v>0</v>
      </c>
      <c r="R642">
        <v>0</v>
      </c>
      <c r="S642">
        <v>0</v>
      </c>
      <c r="T642">
        <v>15</v>
      </c>
      <c r="U642">
        <v>0</v>
      </c>
      <c r="V642" s="9">
        <v>15.666700000000001</v>
      </c>
      <c r="W642">
        <v>70</v>
      </c>
      <c r="X642">
        <v>16</v>
      </c>
      <c r="Y642">
        <v>2</v>
      </c>
      <c r="Z642">
        <v>7</v>
      </c>
      <c r="AA642">
        <v>1</v>
      </c>
      <c r="AB642">
        <v>1</v>
      </c>
      <c r="AC642">
        <v>13</v>
      </c>
      <c r="AD642">
        <v>4.2</v>
      </c>
      <c r="AE642">
        <v>7.3</v>
      </c>
      <c r="AF642" s="5">
        <v>0.44700000000000001</v>
      </c>
      <c r="AG642">
        <v>0.29099999999999998</v>
      </c>
      <c r="AH642">
        <v>1.47</v>
      </c>
      <c r="AI642">
        <v>5.33</v>
      </c>
      <c r="AJ642">
        <v>5.28</v>
      </c>
      <c r="AK642">
        <v>-0.1</v>
      </c>
      <c r="AL642">
        <v>0</v>
      </c>
      <c r="AM642">
        <v>20</v>
      </c>
      <c r="AN642">
        <v>35</v>
      </c>
      <c r="AO642">
        <v>11</v>
      </c>
      <c r="AP642">
        <v>24</v>
      </c>
      <c r="AQ642" t="s">
        <v>3066</v>
      </c>
      <c r="AR642">
        <v>58</v>
      </c>
      <c r="AS642" t="s">
        <v>35</v>
      </c>
      <c r="AT642" t="s">
        <v>36</v>
      </c>
      <c r="AU642" s="4">
        <f>HYPERLINK("http://mlb.mlb.com/team/player.jsp?player_id=571476",571476)</f>
        <v>571476</v>
      </c>
      <c r="AV642">
        <v>0</v>
      </c>
      <c r="AW642">
        <v>0</v>
      </c>
      <c r="AX642">
        <v>64.7</v>
      </c>
    </row>
    <row r="643" spans="1:50" x14ac:dyDescent="0.3">
      <c r="A643" s="4">
        <f>HYPERLINK("http://legacy.baseballprospectus.com/p/99992",99992)</f>
        <v>99992</v>
      </c>
      <c r="B643" t="s">
        <v>1277</v>
      </c>
      <c r="C643" t="s">
        <v>142</v>
      </c>
      <c r="D643" s="10">
        <v>33361</v>
      </c>
      <c r="E643" t="s">
        <v>33</v>
      </c>
      <c r="F643" t="s">
        <v>33</v>
      </c>
      <c r="G643">
        <v>76</v>
      </c>
      <c r="H643">
        <v>220</v>
      </c>
      <c r="I643">
        <v>2018</v>
      </c>
      <c r="J643" s="4" t="str">
        <f>HYPERLINK("http://legacy.baseballprospectus.com/fantasy/dc/index.php?tm=SEA","SEA")</f>
        <v>SEA</v>
      </c>
      <c r="K643" t="s">
        <v>95</v>
      </c>
      <c r="L643" t="s">
        <v>34</v>
      </c>
      <c r="M643">
        <v>27</v>
      </c>
      <c r="N643">
        <v>0.5</v>
      </c>
      <c r="O643">
        <v>0.5</v>
      </c>
      <c r="P643">
        <v>0</v>
      </c>
      <c r="Q643">
        <v>0</v>
      </c>
      <c r="R643">
        <v>0</v>
      </c>
      <c r="S643">
        <v>0</v>
      </c>
      <c r="T643">
        <v>10</v>
      </c>
      <c r="U643">
        <v>0</v>
      </c>
      <c r="V643" s="9">
        <v>10.666700000000001</v>
      </c>
      <c r="W643">
        <v>47</v>
      </c>
      <c r="X643">
        <v>12</v>
      </c>
      <c r="Y643">
        <v>2</v>
      </c>
      <c r="Z643">
        <v>5</v>
      </c>
      <c r="AA643">
        <v>0</v>
      </c>
      <c r="AB643">
        <v>1</v>
      </c>
      <c r="AC643">
        <v>9</v>
      </c>
      <c r="AD643">
        <v>3.9</v>
      </c>
      <c r="AE643">
        <v>7.4</v>
      </c>
      <c r="AF643" s="5">
        <v>0.41899999999999998</v>
      </c>
      <c r="AG643">
        <v>0.29599999999999999</v>
      </c>
      <c r="AH643">
        <v>1.51</v>
      </c>
      <c r="AI643">
        <v>5.53</v>
      </c>
      <c r="AJ643">
        <v>5.61</v>
      </c>
      <c r="AK643">
        <v>-0.4</v>
      </c>
      <c r="AL643">
        <v>0</v>
      </c>
      <c r="AM643">
        <v>27</v>
      </c>
      <c r="AN643">
        <v>42</v>
      </c>
      <c r="AO643">
        <v>21</v>
      </c>
      <c r="AP643">
        <v>27</v>
      </c>
      <c r="AQ643" t="s">
        <v>3086</v>
      </c>
      <c r="AR643">
        <v>80</v>
      </c>
      <c r="AS643" t="s">
        <v>35</v>
      </c>
      <c r="AT643" t="s">
        <v>36</v>
      </c>
      <c r="AU643" s="4">
        <f>HYPERLINK("http://mlb.mlb.com/team/player.jsp?player_id=573046",573046)</f>
        <v>573046</v>
      </c>
      <c r="AV643">
        <v>318</v>
      </c>
      <c r="AW643">
        <v>1318</v>
      </c>
      <c r="AX643">
        <v>20</v>
      </c>
    </row>
    <row r="644" spans="1:50" x14ac:dyDescent="0.3">
      <c r="A644" s="4">
        <f>HYPERLINK("http://legacy.baseballprospectus.com/p/100288",100288)</f>
        <v>100288</v>
      </c>
      <c r="B644" t="s">
        <v>1642</v>
      </c>
      <c r="C644" t="s">
        <v>1362</v>
      </c>
      <c r="D644" s="10">
        <v>33210</v>
      </c>
      <c r="E644" t="s">
        <v>37</v>
      </c>
      <c r="F644" t="s">
        <v>33</v>
      </c>
      <c r="G644">
        <v>75</v>
      </c>
      <c r="H644">
        <v>200</v>
      </c>
      <c r="I644">
        <v>2018</v>
      </c>
      <c r="J644" s="4" t="str">
        <f>HYPERLINK("http://legacy.baseballprospectus.com/fantasy/dc/index.php?tm=LAN","LAN")</f>
        <v>LAN</v>
      </c>
      <c r="K644" t="s">
        <v>100</v>
      </c>
      <c r="L644" t="s">
        <v>34</v>
      </c>
      <c r="M644">
        <v>27</v>
      </c>
      <c r="N644">
        <v>0.6</v>
      </c>
      <c r="O644">
        <v>0.4</v>
      </c>
      <c r="P644">
        <v>0</v>
      </c>
      <c r="Q644">
        <v>0</v>
      </c>
      <c r="R644">
        <v>0</v>
      </c>
      <c r="S644">
        <v>0</v>
      </c>
      <c r="T644">
        <v>10</v>
      </c>
      <c r="U644">
        <v>0</v>
      </c>
      <c r="V644" s="9">
        <v>10.666700000000001</v>
      </c>
      <c r="W644">
        <v>46</v>
      </c>
      <c r="X644">
        <v>11</v>
      </c>
      <c r="Y644">
        <v>2</v>
      </c>
      <c r="Z644">
        <v>5</v>
      </c>
      <c r="AA644">
        <v>0</v>
      </c>
      <c r="AB644">
        <v>0</v>
      </c>
      <c r="AC644">
        <v>10</v>
      </c>
      <c r="AD644">
        <v>4.0999999999999996</v>
      </c>
      <c r="AE644">
        <v>8.4</v>
      </c>
      <c r="AF644" s="5">
        <v>0.44800000000000001</v>
      </c>
      <c r="AG644">
        <v>0.29599999999999999</v>
      </c>
      <c r="AH644">
        <v>1.46</v>
      </c>
      <c r="AI644">
        <v>4.91</v>
      </c>
      <c r="AJ644">
        <v>5.17</v>
      </c>
      <c r="AK644">
        <v>-0.2</v>
      </c>
      <c r="AL644">
        <v>0</v>
      </c>
      <c r="AM644">
        <v>14</v>
      </c>
      <c r="AN644">
        <v>28</v>
      </c>
      <c r="AO644">
        <v>19</v>
      </c>
      <c r="AP644">
        <v>32</v>
      </c>
      <c r="AQ644" t="s">
        <v>3198</v>
      </c>
      <c r="AR644">
        <v>63</v>
      </c>
      <c r="AS644" t="s">
        <v>35</v>
      </c>
      <c r="AT644" t="s">
        <v>35</v>
      </c>
      <c r="AU644" s="4">
        <f>HYPERLINK("http://mlb.mlb.com/team/player.jsp?player_id=608638",608638)</f>
        <v>608638</v>
      </c>
      <c r="AV644">
        <v>344</v>
      </c>
      <c r="AW644">
        <v>1344</v>
      </c>
      <c r="AX644">
        <v>0</v>
      </c>
    </row>
    <row r="645" spans="1:50" x14ac:dyDescent="0.3">
      <c r="A645" s="4">
        <f>HYPERLINK("http://legacy.baseballprospectus.com/p/100294",100294)</f>
        <v>100294</v>
      </c>
      <c r="B645" t="s">
        <v>2058</v>
      </c>
      <c r="C645" t="s">
        <v>300</v>
      </c>
      <c r="D645" s="10">
        <v>33374</v>
      </c>
      <c r="E645" t="s">
        <v>9</v>
      </c>
      <c r="F645" t="s">
        <v>9</v>
      </c>
      <c r="G645">
        <v>73</v>
      </c>
      <c r="H645">
        <v>210</v>
      </c>
      <c r="I645">
        <v>2018</v>
      </c>
      <c r="J645" s="4" t="str">
        <f>HYPERLINK("http://legacy.baseballprospectus.com/fantasy/dc/index.php?tm=MIN","MIN")</f>
        <v>MIN</v>
      </c>
      <c r="K645" t="s">
        <v>95</v>
      </c>
      <c r="L645" t="s">
        <v>34</v>
      </c>
      <c r="M645">
        <v>27</v>
      </c>
      <c r="N645">
        <v>1.6</v>
      </c>
      <c r="O645">
        <v>1.8</v>
      </c>
      <c r="P645">
        <v>2</v>
      </c>
      <c r="Q645">
        <v>0</v>
      </c>
      <c r="R645">
        <v>0</v>
      </c>
      <c r="S645">
        <v>0</v>
      </c>
      <c r="T645">
        <v>5</v>
      </c>
      <c r="U645">
        <v>5</v>
      </c>
      <c r="V645" s="9">
        <v>26.666699999999999</v>
      </c>
      <c r="W645">
        <v>118</v>
      </c>
      <c r="X645">
        <v>28</v>
      </c>
      <c r="Y645">
        <v>5</v>
      </c>
      <c r="Z645">
        <v>11</v>
      </c>
      <c r="AA645">
        <v>1</v>
      </c>
      <c r="AB645">
        <v>1</v>
      </c>
      <c r="AC645">
        <v>22</v>
      </c>
      <c r="AD645">
        <v>3.9</v>
      </c>
      <c r="AE645">
        <v>7.4</v>
      </c>
      <c r="AF645" s="5">
        <v>0.41499999999999998</v>
      </c>
      <c r="AG645">
        <v>0.29399999999999998</v>
      </c>
      <c r="AH645">
        <v>1.51</v>
      </c>
      <c r="AI645">
        <v>5.16</v>
      </c>
      <c r="AJ645">
        <v>5.48</v>
      </c>
      <c r="AK645">
        <v>0.1</v>
      </c>
      <c r="AL645">
        <v>0</v>
      </c>
      <c r="AM645">
        <v>13</v>
      </c>
      <c r="AN645">
        <v>26</v>
      </c>
      <c r="AO645">
        <v>19</v>
      </c>
      <c r="AP645">
        <v>23</v>
      </c>
      <c r="AQ645" t="s">
        <v>2581</v>
      </c>
      <c r="AR645">
        <v>53</v>
      </c>
      <c r="AS645" t="s">
        <v>35</v>
      </c>
      <c r="AT645" t="s">
        <v>35</v>
      </c>
      <c r="AU645" s="4">
        <f>HYPERLINK("http://mlb.mlb.com/team/player.jsp?player_id=608650",608650)</f>
        <v>608650</v>
      </c>
      <c r="AV645">
        <v>121</v>
      </c>
      <c r="AW645">
        <v>1121</v>
      </c>
      <c r="AX645">
        <v>4</v>
      </c>
    </row>
    <row r="646" spans="1:50" x14ac:dyDescent="0.3">
      <c r="A646" s="4">
        <f>HYPERLINK("http://legacy.baseballprospectus.com/p/100514",100514)</f>
        <v>100514</v>
      </c>
      <c r="B646" t="s">
        <v>2902</v>
      </c>
      <c r="C646" t="s">
        <v>1723</v>
      </c>
      <c r="D646" s="10">
        <v>34570</v>
      </c>
      <c r="E646" t="s">
        <v>33</v>
      </c>
      <c r="F646" t="s">
        <v>33</v>
      </c>
      <c r="G646">
        <v>74</v>
      </c>
      <c r="H646">
        <v>230</v>
      </c>
      <c r="I646">
        <v>2018</v>
      </c>
      <c r="J646" s="4" t="str">
        <f>HYPERLINK("http://legacy.baseballprospectus.com/fantasy/dc/index.php?tm=NYN","NYN")</f>
        <v>NYN</v>
      </c>
      <c r="K646" t="s">
        <v>100</v>
      </c>
      <c r="L646" t="s">
        <v>34</v>
      </c>
      <c r="M646">
        <v>23</v>
      </c>
      <c r="N646">
        <v>1.5</v>
      </c>
      <c r="O646">
        <v>1.5</v>
      </c>
      <c r="P646">
        <v>0</v>
      </c>
      <c r="Q646">
        <v>0</v>
      </c>
      <c r="R646">
        <v>0</v>
      </c>
      <c r="S646">
        <v>0</v>
      </c>
      <c r="T646">
        <v>29</v>
      </c>
      <c r="U646">
        <v>0</v>
      </c>
      <c r="V646" s="9">
        <v>30.333300000000001</v>
      </c>
      <c r="W646">
        <v>133</v>
      </c>
      <c r="X646">
        <v>29</v>
      </c>
      <c r="Y646">
        <v>5</v>
      </c>
      <c r="Z646">
        <v>15</v>
      </c>
      <c r="AA646">
        <v>1</v>
      </c>
      <c r="AB646">
        <v>1</v>
      </c>
      <c r="AC646">
        <v>34</v>
      </c>
      <c r="AD646">
        <v>4.4000000000000004</v>
      </c>
      <c r="AE646">
        <v>10.1</v>
      </c>
      <c r="AF646" s="5">
        <v>0.40899999999999997</v>
      </c>
      <c r="AG646">
        <v>0.30199999999999999</v>
      </c>
      <c r="AH646">
        <v>1.45</v>
      </c>
      <c r="AI646">
        <v>4.8499999999999996</v>
      </c>
      <c r="AJ646">
        <v>4.9400000000000004</v>
      </c>
      <c r="AK646">
        <v>0.2</v>
      </c>
      <c r="AL646">
        <v>0</v>
      </c>
      <c r="AM646">
        <v>12</v>
      </c>
      <c r="AN646">
        <v>13</v>
      </c>
      <c r="AO646">
        <v>4</v>
      </c>
      <c r="AP646">
        <v>10</v>
      </c>
      <c r="AQ646" t="s">
        <v>2903</v>
      </c>
      <c r="AR646">
        <v>18</v>
      </c>
      <c r="AS646" t="s">
        <v>35</v>
      </c>
      <c r="AT646" t="s">
        <v>35</v>
      </c>
      <c r="AU646" s="4">
        <f>HYPERLINK("http://mlb.mlb.com/team/player.jsp?player_id=621094",621094)</f>
        <v>621094</v>
      </c>
      <c r="AV646">
        <v>1346</v>
      </c>
      <c r="AW646">
        <v>346</v>
      </c>
      <c r="AX646">
        <v>6.7</v>
      </c>
    </row>
    <row r="647" spans="1:50" x14ac:dyDescent="0.3">
      <c r="A647" s="4">
        <f>HYPERLINK("http://legacy.baseballprospectus.com/p/100577",100577)</f>
        <v>100577</v>
      </c>
      <c r="B647" t="s">
        <v>2766</v>
      </c>
      <c r="C647" t="s">
        <v>202</v>
      </c>
      <c r="D647" s="10">
        <v>34215</v>
      </c>
      <c r="E647" t="s">
        <v>33</v>
      </c>
      <c r="F647" t="s">
        <v>33</v>
      </c>
      <c r="G647">
        <v>77</v>
      </c>
      <c r="H647">
        <v>250</v>
      </c>
      <c r="I647">
        <v>2018</v>
      </c>
      <c r="J647" s="4" t="str">
        <f>HYPERLINK("http://legacy.baseballprospectus.com/fantasy/dc/index.php?tm=NYN","NYN")</f>
        <v>NYN</v>
      </c>
      <c r="K647" t="s">
        <v>100</v>
      </c>
      <c r="L647" t="s">
        <v>34</v>
      </c>
      <c r="M647">
        <v>24</v>
      </c>
      <c r="N647">
        <v>1.5</v>
      </c>
      <c r="O647">
        <v>1.9</v>
      </c>
      <c r="P647">
        <v>2</v>
      </c>
      <c r="Q647">
        <v>0</v>
      </c>
      <c r="R647">
        <v>0</v>
      </c>
      <c r="S647">
        <v>0</v>
      </c>
      <c r="T647">
        <v>5</v>
      </c>
      <c r="U647">
        <v>5</v>
      </c>
      <c r="V647" s="9">
        <v>26.666699999999999</v>
      </c>
      <c r="W647">
        <v>115</v>
      </c>
      <c r="X647">
        <v>28</v>
      </c>
      <c r="Y647">
        <v>5</v>
      </c>
      <c r="Z647">
        <v>9</v>
      </c>
      <c r="AA647">
        <v>1</v>
      </c>
      <c r="AB647">
        <v>1</v>
      </c>
      <c r="AC647">
        <v>24</v>
      </c>
      <c r="AD647">
        <v>3</v>
      </c>
      <c r="AE647">
        <v>8.1</v>
      </c>
      <c r="AF647" s="5">
        <v>0.47299999999999998</v>
      </c>
      <c r="AG647">
        <v>0.29699999999999999</v>
      </c>
      <c r="AH647">
        <v>1.39</v>
      </c>
      <c r="AI647">
        <v>4.82</v>
      </c>
      <c r="AJ647">
        <v>5.17</v>
      </c>
      <c r="AK647">
        <v>0.2</v>
      </c>
      <c r="AL647">
        <v>0</v>
      </c>
      <c r="AM647">
        <v>13</v>
      </c>
      <c r="AN647">
        <v>27</v>
      </c>
      <c r="AO647">
        <v>9</v>
      </c>
      <c r="AP647">
        <v>28</v>
      </c>
      <c r="AQ647" t="s">
        <v>2767</v>
      </c>
      <c r="AR647">
        <v>42</v>
      </c>
      <c r="AS647" t="s">
        <v>35</v>
      </c>
      <c r="AT647" t="s">
        <v>35</v>
      </c>
      <c r="AU647" s="4">
        <f>HYPERLINK("http://mlb.mlb.com/team/player.jsp?player_id=621261",621261)</f>
        <v>621261</v>
      </c>
      <c r="AV647">
        <v>0</v>
      </c>
      <c r="AW647">
        <v>0</v>
      </c>
      <c r="AX647">
        <v>0</v>
      </c>
    </row>
    <row r="648" spans="1:50" x14ac:dyDescent="0.3">
      <c r="A648" s="4">
        <f>HYPERLINK("http://legacy.baseballprospectus.com/p/100731",100731)</f>
        <v>100731</v>
      </c>
      <c r="B648" t="s">
        <v>665</v>
      </c>
      <c r="C648" t="s">
        <v>344</v>
      </c>
      <c r="D648" s="10">
        <v>34365</v>
      </c>
      <c r="E648" t="s">
        <v>33</v>
      </c>
      <c r="F648" t="s">
        <v>33</v>
      </c>
      <c r="G648">
        <v>76</v>
      </c>
      <c r="H648">
        <v>225</v>
      </c>
      <c r="I648">
        <v>2018</v>
      </c>
      <c r="J648" s="4" t="str">
        <f>HYPERLINK("http://legacy.baseballprospectus.com/fantasy/dc/index.php?tm=PHI","PHI")</f>
        <v>PHI</v>
      </c>
      <c r="K648" t="s">
        <v>100</v>
      </c>
      <c r="L648" t="s">
        <v>34</v>
      </c>
      <c r="M648">
        <v>24</v>
      </c>
      <c r="N648">
        <v>2</v>
      </c>
      <c r="O648">
        <v>2.2999999999999998</v>
      </c>
      <c r="P648">
        <v>2</v>
      </c>
      <c r="Q648">
        <v>0</v>
      </c>
      <c r="R648">
        <v>0</v>
      </c>
      <c r="S648">
        <v>0</v>
      </c>
      <c r="T648">
        <v>15</v>
      </c>
      <c r="U648">
        <v>5</v>
      </c>
      <c r="V648" s="9">
        <v>37.333300000000001</v>
      </c>
      <c r="W648">
        <v>161</v>
      </c>
      <c r="X648">
        <v>37</v>
      </c>
      <c r="Y648">
        <v>7</v>
      </c>
      <c r="Z648">
        <v>14</v>
      </c>
      <c r="AA648">
        <v>1</v>
      </c>
      <c r="AB648">
        <v>2</v>
      </c>
      <c r="AC648">
        <v>35</v>
      </c>
      <c r="AD648">
        <v>3.4</v>
      </c>
      <c r="AE648">
        <v>8.4</v>
      </c>
      <c r="AF648" s="5">
        <v>0.44900000000000001</v>
      </c>
      <c r="AG648">
        <v>0.29499999999999998</v>
      </c>
      <c r="AH648">
        <v>1.38</v>
      </c>
      <c r="AI648">
        <v>4.96</v>
      </c>
      <c r="AJ648">
        <v>5.08</v>
      </c>
      <c r="AK648">
        <v>0.4</v>
      </c>
      <c r="AL648">
        <v>0</v>
      </c>
      <c r="AM648">
        <v>25</v>
      </c>
      <c r="AN648">
        <v>46</v>
      </c>
      <c r="AO648">
        <v>17</v>
      </c>
      <c r="AP648">
        <v>29</v>
      </c>
      <c r="AQ648" t="s">
        <v>2433</v>
      </c>
      <c r="AR648">
        <v>69</v>
      </c>
      <c r="AS648" t="s">
        <v>35</v>
      </c>
      <c r="AT648" t="s">
        <v>36</v>
      </c>
      <c r="AU648" s="4">
        <f>HYPERLINK("http://mlb.mlb.com/team/player.jsp?player_id=622097",622097)</f>
        <v>622097</v>
      </c>
      <c r="AV648">
        <v>1089</v>
      </c>
      <c r="AW648">
        <v>89</v>
      </c>
      <c r="AX648">
        <v>46.3</v>
      </c>
    </row>
    <row r="649" spans="1:50" x14ac:dyDescent="0.3">
      <c r="A649" s="4">
        <f>HYPERLINK("http://legacy.baseballprospectus.com/p/100780",100780)</f>
        <v>100780</v>
      </c>
      <c r="B649" t="s">
        <v>2770</v>
      </c>
      <c r="C649" t="s">
        <v>234</v>
      </c>
      <c r="D649" s="10">
        <v>32980</v>
      </c>
      <c r="E649" t="s">
        <v>33</v>
      </c>
      <c r="F649" t="s">
        <v>9</v>
      </c>
      <c r="G649">
        <v>76</v>
      </c>
      <c r="H649">
        <v>225</v>
      </c>
      <c r="I649">
        <v>2018</v>
      </c>
      <c r="J649" s="4" t="str">
        <f>HYPERLINK("http://legacy.baseballprospectus.com/fantasy/dc/index.php?tm=MIA","MIA")</f>
        <v>MIA</v>
      </c>
      <c r="K649" t="s">
        <v>100</v>
      </c>
      <c r="L649" t="s">
        <v>34</v>
      </c>
      <c r="M649">
        <v>28</v>
      </c>
      <c r="N649">
        <v>3.1</v>
      </c>
      <c r="O649">
        <v>5.6</v>
      </c>
      <c r="P649">
        <v>5</v>
      </c>
      <c r="Q649">
        <v>0</v>
      </c>
      <c r="R649">
        <v>0</v>
      </c>
      <c r="S649">
        <v>0</v>
      </c>
      <c r="T649">
        <v>13</v>
      </c>
      <c r="U649">
        <v>13</v>
      </c>
      <c r="V649" s="9">
        <v>69</v>
      </c>
      <c r="W649">
        <v>301</v>
      </c>
      <c r="X649">
        <v>72</v>
      </c>
      <c r="Y649">
        <v>13</v>
      </c>
      <c r="Z649">
        <v>25</v>
      </c>
      <c r="AA649">
        <v>1</v>
      </c>
      <c r="AB649">
        <v>2</v>
      </c>
      <c r="AC649">
        <v>62</v>
      </c>
      <c r="AD649">
        <v>3.3</v>
      </c>
      <c r="AE649">
        <v>8</v>
      </c>
      <c r="AF649" s="5">
        <v>0.42199999999999999</v>
      </c>
      <c r="AG649">
        <v>0.29799999999999999</v>
      </c>
      <c r="AH649">
        <v>1.42</v>
      </c>
      <c r="AI649">
        <v>4.93</v>
      </c>
      <c r="AJ649">
        <v>5.27</v>
      </c>
      <c r="AK649">
        <v>-0.1</v>
      </c>
      <c r="AL649">
        <v>0</v>
      </c>
      <c r="AM649">
        <v>20</v>
      </c>
      <c r="AN649">
        <v>34</v>
      </c>
      <c r="AO649">
        <v>13</v>
      </c>
      <c r="AP649">
        <v>22</v>
      </c>
      <c r="AQ649" t="s">
        <v>2771</v>
      </c>
      <c r="AR649">
        <v>50</v>
      </c>
      <c r="AS649" t="s">
        <v>35</v>
      </c>
      <c r="AT649" t="s">
        <v>35</v>
      </c>
      <c r="AU649" s="4">
        <f>HYPERLINK("http://mlb.mlb.com/team/player.jsp?player_id=622217",622217)</f>
        <v>622217</v>
      </c>
      <c r="AV649">
        <v>1096</v>
      </c>
      <c r="AW649">
        <v>96</v>
      </c>
      <c r="AX649">
        <v>33</v>
      </c>
    </row>
    <row r="650" spans="1:50" x14ac:dyDescent="0.3">
      <c r="A650" s="4">
        <f>HYPERLINK("http://legacy.baseballprospectus.com/p/67154",67154)</f>
        <v>67154</v>
      </c>
      <c r="B650" t="s">
        <v>3147</v>
      </c>
      <c r="C650" t="s">
        <v>983</v>
      </c>
      <c r="D650" s="10">
        <v>32498</v>
      </c>
      <c r="E650" t="s">
        <v>33</v>
      </c>
      <c r="F650" t="s">
        <v>33</v>
      </c>
      <c r="G650">
        <v>76</v>
      </c>
      <c r="H650">
        <v>235</v>
      </c>
      <c r="I650">
        <v>2018</v>
      </c>
      <c r="J650" s="4" t="str">
        <f>HYPERLINK("http://legacy.baseballprospectus.com/fantasy/dc/index.php?tm=CIN","CIN")</f>
        <v>CIN</v>
      </c>
      <c r="K650" t="s">
        <v>100</v>
      </c>
      <c r="L650" t="s">
        <v>34</v>
      </c>
      <c r="M650">
        <v>29</v>
      </c>
      <c r="N650">
        <v>0.6</v>
      </c>
      <c r="O650">
        <v>0.7</v>
      </c>
      <c r="P650">
        <v>0.7</v>
      </c>
      <c r="Q650">
        <v>0</v>
      </c>
      <c r="R650">
        <v>0</v>
      </c>
      <c r="S650">
        <v>0</v>
      </c>
      <c r="T650">
        <v>2</v>
      </c>
      <c r="U650">
        <v>2</v>
      </c>
      <c r="V650" s="9">
        <v>10.666700000000001</v>
      </c>
      <c r="W650">
        <v>45</v>
      </c>
      <c r="X650">
        <v>11</v>
      </c>
      <c r="Y650">
        <v>2</v>
      </c>
      <c r="Z650">
        <v>4</v>
      </c>
      <c r="AA650" t="s">
        <v>1680</v>
      </c>
      <c r="AB650">
        <v>1</v>
      </c>
      <c r="AC650">
        <v>10</v>
      </c>
      <c r="AD650">
        <v>3.7</v>
      </c>
      <c r="AE650">
        <v>8.4</v>
      </c>
      <c r="AF650" s="5">
        <v>0.35982397198677002</v>
      </c>
      <c r="AG650">
        <v>0.30299999999999999</v>
      </c>
      <c r="AH650">
        <v>1.43</v>
      </c>
      <c r="AI650">
        <v>5.43</v>
      </c>
      <c r="AJ650">
        <v>5.85</v>
      </c>
      <c r="AK650">
        <v>-0.3</v>
      </c>
      <c r="AL650">
        <v>0</v>
      </c>
      <c r="AM650">
        <v>14</v>
      </c>
      <c r="AN650">
        <v>22</v>
      </c>
      <c r="AO650">
        <v>12</v>
      </c>
      <c r="AP650">
        <v>27</v>
      </c>
      <c r="AQ650" t="s">
        <v>3148</v>
      </c>
      <c r="AR650">
        <v>42</v>
      </c>
      <c r="AS650" t="s">
        <v>36</v>
      </c>
      <c r="AT650" t="s">
        <v>36</v>
      </c>
      <c r="AU650" s="4">
        <f>HYPERLINK("http://mlb.mlb.com/team/player.jsp?player_id=592879",592879)</f>
        <v>592879</v>
      </c>
      <c r="AV650">
        <v>0</v>
      </c>
      <c r="AW650">
        <v>0</v>
      </c>
      <c r="AX650">
        <v>62.3</v>
      </c>
    </row>
    <row r="651" spans="1:50" x14ac:dyDescent="0.3">
      <c r="A651" s="4">
        <f>HYPERLINK("http://legacy.baseballprospectus.com/p/67410",67410)</f>
        <v>67410</v>
      </c>
      <c r="B651" t="s">
        <v>2147</v>
      </c>
      <c r="C651" t="s">
        <v>502</v>
      </c>
      <c r="D651" s="10">
        <v>33894</v>
      </c>
      <c r="E651" t="s">
        <v>9</v>
      </c>
      <c r="F651" t="s">
        <v>9</v>
      </c>
      <c r="G651">
        <v>77</v>
      </c>
      <c r="H651">
        <v>185</v>
      </c>
      <c r="I651">
        <v>2018</v>
      </c>
      <c r="J651" s="4" t="str">
        <f>HYPERLINK("http://legacy.baseballprospectus.com/fantasy/dc/index.php?tm=MIA","MIA")</f>
        <v>MIA</v>
      </c>
      <c r="K651" t="s">
        <v>100</v>
      </c>
      <c r="L651" t="s">
        <v>34</v>
      </c>
      <c r="M651">
        <v>25</v>
      </c>
      <c r="N651">
        <v>3.6</v>
      </c>
      <c r="O651">
        <v>3.8</v>
      </c>
      <c r="P651">
        <v>4.5</v>
      </c>
      <c r="Q651">
        <v>0</v>
      </c>
      <c r="R651">
        <v>0.6</v>
      </c>
      <c r="S651">
        <v>0</v>
      </c>
      <c r="T651">
        <v>24.5</v>
      </c>
      <c r="U651">
        <v>10.3</v>
      </c>
      <c r="V651" s="9">
        <v>65.666700000000006</v>
      </c>
      <c r="W651">
        <v>279</v>
      </c>
      <c r="X651">
        <v>61</v>
      </c>
      <c r="Y651">
        <v>11</v>
      </c>
      <c r="Z651">
        <v>33</v>
      </c>
      <c r="AA651" t="s">
        <v>1680</v>
      </c>
      <c r="AB651">
        <v>2</v>
      </c>
      <c r="AC651">
        <v>70</v>
      </c>
      <c r="AD651">
        <v>4.5999999999999996</v>
      </c>
      <c r="AE651">
        <v>9.6</v>
      </c>
      <c r="AF651" s="5">
        <v>0.37004593014717102</v>
      </c>
      <c r="AG651">
        <v>0.30499999999999999</v>
      </c>
      <c r="AH651">
        <v>1.43</v>
      </c>
      <c r="AI651">
        <v>4.87</v>
      </c>
      <c r="AJ651">
        <v>5.5</v>
      </c>
      <c r="AK651">
        <v>-0.1</v>
      </c>
      <c r="AL651">
        <v>0</v>
      </c>
      <c r="AM651">
        <v>14</v>
      </c>
      <c r="AN651">
        <v>22</v>
      </c>
      <c r="AO651">
        <v>11</v>
      </c>
      <c r="AP651">
        <v>23</v>
      </c>
      <c r="AQ651" t="s">
        <v>3266</v>
      </c>
      <c r="AR651">
        <v>33</v>
      </c>
      <c r="AS651" t="s">
        <v>36</v>
      </c>
      <c r="AT651" t="s">
        <v>35</v>
      </c>
      <c r="AU651" s="4">
        <f>HYPERLINK("http://mlb.mlb.com/team/player.jsp?player_id=593633",593633)</f>
        <v>593633</v>
      </c>
      <c r="AV651">
        <v>0</v>
      </c>
      <c r="AW651">
        <v>0</v>
      </c>
      <c r="AX651">
        <v>0</v>
      </c>
    </row>
    <row r="652" spans="1:50" x14ac:dyDescent="0.3">
      <c r="A652" s="4">
        <f>HYPERLINK("http://legacy.baseballprospectus.com/p/67875",67875)</f>
        <v>67875</v>
      </c>
      <c r="B652" t="s">
        <v>637</v>
      </c>
      <c r="C652" t="s">
        <v>150</v>
      </c>
      <c r="D652" s="10">
        <v>31996</v>
      </c>
      <c r="E652" t="s">
        <v>33</v>
      </c>
      <c r="F652" t="s">
        <v>33</v>
      </c>
      <c r="G652">
        <v>74</v>
      </c>
      <c r="H652">
        <v>220</v>
      </c>
      <c r="I652">
        <v>2018</v>
      </c>
      <c r="J652" s="4" t="str">
        <f>HYPERLINK("http://legacy.baseballprospectus.com/fantasy/dc/index.php?tm=SEA","SEA")</f>
        <v>SEA</v>
      </c>
      <c r="K652" t="s">
        <v>100</v>
      </c>
      <c r="L652" t="s">
        <v>34</v>
      </c>
      <c r="M652">
        <v>30</v>
      </c>
      <c r="N652">
        <v>3.7</v>
      </c>
      <c r="O652">
        <v>3.4</v>
      </c>
      <c r="P652">
        <v>3.5</v>
      </c>
      <c r="Q652">
        <v>0</v>
      </c>
      <c r="R652">
        <v>0.1</v>
      </c>
      <c r="S652">
        <v>0</v>
      </c>
      <c r="T652">
        <v>27.7</v>
      </c>
      <c r="U652">
        <v>8.6</v>
      </c>
      <c r="V652" s="9">
        <v>67.666700000000006</v>
      </c>
      <c r="W652">
        <v>292</v>
      </c>
      <c r="X652">
        <v>69</v>
      </c>
      <c r="Y652">
        <v>12</v>
      </c>
      <c r="Z652">
        <v>29</v>
      </c>
      <c r="AA652" t="s">
        <v>1680</v>
      </c>
      <c r="AB652">
        <v>3</v>
      </c>
      <c r="AC652">
        <v>60</v>
      </c>
      <c r="AD652">
        <v>3.9</v>
      </c>
      <c r="AE652">
        <v>8</v>
      </c>
      <c r="AF652" s="5">
        <v>0.42281067371368403</v>
      </c>
      <c r="AG652">
        <v>0.307</v>
      </c>
      <c r="AH652">
        <v>1.45</v>
      </c>
      <c r="AI652">
        <v>5.08</v>
      </c>
      <c r="AJ652">
        <v>5.46</v>
      </c>
      <c r="AK652">
        <v>-0.2</v>
      </c>
      <c r="AL652">
        <v>0</v>
      </c>
      <c r="AM652">
        <v>8</v>
      </c>
      <c r="AN652">
        <v>17</v>
      </c>
      <c r="AO652">
        <v>10</v>
      </c>
      <c r="AP652">
        <v>18</v>
      </c>
      <c r="AQ652" t="s">
        <v>3172</v>
      </c>
      <c r="AR652">
        <v>40</v>
      </c>
      <c r="AS652" t="s">
        <v>36</v>
      </c>
      <c r="AT652" t="s">
        <v>36</v>
      </c>
      <c r="AU652" s="4">
        <f>HYPERLINK("http://mlb.mlb.com/team/player.jsp?player_id=595001",595001)</f>
        <v>595001</v>
      </c>
      <c r="AV652">
        <v>0</v>
      </c>
      <c r="AW652">
        <v>0</v>
      </c>
      <c r="AX652">
        <v>35</v>
      </c>
    </row>
    <row r="653" spans="1:50" x14ac:dyDescent="0.3">
      <c r="A653" s="4">
        <f>HYPERLINK("http://legacy.baseballprospectus.com/p/68540",68540)</f>
        <v>68540</v>
      </c>
      <c r="B653" t="s">
        <v>2779</v>
      </c>
      <c r="C653" t="s">
        <v>2780</v>
      </c>
      <c r="D653" s="10">
        <v>34046</v>
      </c>
      <c r="E653" t="s">
        <v>33</v>
      </c>
      <c r="F653" t="s">
        <v>33</v>
      </c>
      <c r="G653">
        <v>74</v>
      </c>
      <c r="H653">
        <v>200</v>
      </c>
      <c r="I653">
        <v>2018</v>
      </c>
      <c r="J653" s="4" t="str">
        <f>HYPERLINK("http://legacy.baseballprospectus.com/fantasy/dc/index.php?tm=PHI","PHI")</f>
        <v>PHI</v>
      </c>
      <c r="K653" t="s">
        <v>100</v>
      </c>
      <c r="L653" t="s">
        <v>34</v>
      </c>
      <c r="M653">
        <v>25</v>
      </c>
      <c r="N653">
        <v>2.7</v>
      </c>
      <c r="O653">
        <v>1</v>
      </c>
      <c r="P653">
        <v>0</v>
      </c>
      <c r="Q653">
        <v>0</v>
      </c>
      <c r="R653">
        <v>1.1000000000000001</v>
      </c>
      <c r="S653">
        <v>0</v>
      </c>
      <c r="T653">
        <v>55.5</v>
      </c>
      <c r="U653">
        <v>0</v>
      </c>
      <c r="V653" s="9">
        <v>58.666699999999999</v>
      </c>
      <c r="W653">
        <v>246</v>
      </c>
      <c r="X653">
        <v>56</v>
      </c>
      <c r="Y653">
        <v>10</v>
      </c>
      <c r="Z653">
        <v>25</v>
      </c>
      <c r="AA653" t="s">
        <v>1680</v>
      </c>
      <c r="AB653">
        <v>1</v>
      </c>
      <c r="AC653">
        <v>63</v>
      </c>
      <c r="AD653">
        <v>3.8</v>
      </c>
      <c r="AE653">
        <v>9.6999999999999993</v>
      </c>
      <c r="AF653" s="5">
        <v>0.47389325499534601</v>
      </c>
      <c r="AG653">
        <v>0.313</v>
      </c>
      <c r="AH653">
        <v>1.37</v>
      </c>
      <c r="AI653">
        <v>4.63</v>
      </c>
      <c r="AJ653">
        <v>5.15</v>
      </c>
      <c r="AK653">
        <v>0.4</v>
      </c>
      <c r="AL653">
        <v>0</v>
      </c>
      <c r="AM653">
        <v>25</v>
      </c>
      <c r="AN653">
        <v>27</v>
      </c>
      <c r="AO653">
        <v>21</v>
      </c>
      <c r="AP653">
        <v>34</v>
      </c>
      <c r="AQ653" t="s">
        <v>2781</v>
      </c>
      <c r="AR653">
        <v>49</v>
      </c>
      <c r="AS653" t="s">
        <v>36</v>
      </c>
      <c r="AT653" t="s">
        <v>35</v>
      </c>
      <c r="AU653" s="4">
        <f>HYPERLINK("http://mlb.mlb.com/team/player.jsp?player_id=592279",592279)</f>
        <v>592279</v>
      </c>
      <c r="AV653">
        <v>0</v>
      </c>
      <c r="AW653">
        <v>0</v>
      </c>
      <c r="AX653">
        <v>18.3</v>
      </c>
    </row>
    <row r="654" spans="1:50" x14ac:dyDescent="0.3">
      <c r="A654" s="4">
        <f>HYPERLINK("http://legacy.baseballprospectus.com/p/68592",68592)</f>
        <v>68592</v>
      </c>
      <c r="B654" t="s">
        <v>440</v>
      </c>
      <c r="C654" t="s">
        <v>432</v>
      </c>
      <c r="D654" s="10">
        <v>33474</v>
      </c>
      <c r="E654" t="s">
        <v>33</v>
      </c>
      <c r="F654" t="s">
        <v>33</v>
      </c>
      <c r="G654">
        <v>74</v>
      </c>
      <c r="H654">
        <v>210</v>
      </c>
      <c r="I654">
        <v>2018</v>
      </c>
      <c r="J654" s="4" t="str">
        <f>HYPERLINK("http://legacy.baseballprospectus.com/fantasy/dc/index.php?tm=ATL","ATL")</f>
        <v>ATL</v>
      </c>
      <c r="K654" t="s">
        <v>100</v>
      </c>
      <c r="L654" t="s">
        <v>34</v>
      </c>
      <c r="M654">
        <v>26</v>
      </c>
      <c r="N654">
        <v>3.3</v>
      </c>
      <c r="O654">
        <v>2.7</v>
      </c>
      <c r="P654">
        <v>2.8</v>
      </c>
      <c r="Q654">
        <v>0</v>
      </c>
      <c r="R654">
        <v>0.1</v>
      </c>
      <c r="S654">
        <v>0</v>
      </c>
      <c r="T654">
        <v>37.1</v>
      </c>
      <c r="U654">
        <v>6.3</v>
      </c>
      <c r="V654" s="9">
        <v>63</v>
      </c>
      <c r="W654">
        <v>273</v>
      </c>
      <c r="X654">
        <v>63</v>
      </c>
      <c r="Y654">
        <v>10</v>
      </c>
      <c r="Z654">
        <v>30</v>
      </c>
      <c r="AA654" t="s">
        <v>1680</v>
      </c>
      <c r="AB654">
        <v>3</v>
      </c>
      <c r="AC654">
        <v>62</v>
      </c>
      <c r="AD654">
        <v>4.2</v>
      </c>
      <c r="AE654">
        <v>8.8000000000000007</v>
      </c>
      <c r="AF654" s="5">
        <v>0.43484008312225297</v>
      </c>
      <c r="AG654">
        <v>0.316</v>
      </c>
      <c r="AH654">
        <v>1.47</v>
      </c>
      <c r="AI654">
        <v>4.66</v>
      </c>
      <c r="AJ654">
        <v>5.41</v>
      </c>
      <c r="AK654">
        <v>-0.2</v>
      </c>
      <c r="AL654">
        <v>0</v>
      </c>
      <c r="AM654">
        <v>23</v>
      </c>
      <c r="AN654">
        <v>38</v>
      </c>
      <c r="AO654">
        <v>23</v>
      </c>
      <c r="AP654">
        <v>29</v>
      </c>
      <c r="AQ654" t="s">
        <v>3202</v>
      </c>
      <c r="AR654">
        <v>71</v>
      </c>
      <c r="AS654" t="s">
        <v>36</v>
      </c>
      <c r="AT654" t="s">
        <v>36</v>
      </c>
      <c r="AU654" s="4">
        <f>HYPERLINK("http://mlb.mlb.com/team/player.jsp?player_id=592426",592426)</f>
        <v>592426</v>
      </c>
      <c r="AV654">
        <v>0</v>
      </c>
      <c r="AW654">
        <v>0</v>
      </c>
      <c r="AX654">
        <v>50.7</v>
      </c>
    </row>
    <row r="655" spans="1:50" x14ac:dyDescent="0.3">
      <c r="A655" s="4">
        <f>HYPERLINK("http://legacy.baseballprospectus.com/p/70155",70155)</f>
        <v>70155</v>
      </c>
      <c r="B655" t="s">
        <v>1527</v>
      </c>
      <c r="C655" t="s">
        <v>1267</v>
      </c>
      <c r="D655" s="10">
        <v>34400</v>
      </c>
      <c r="E655" t="s">
        <v>9</v>
      </c>
      <c r="F655" t="s">
        <v>9</v>
      </c>
      <c r="G655">
        <v>76</v>
      </c>
      <c r="H655">
        <v>205</v>
      </c>
      <c r="I655">
        <v>2018</v>
      </c>
      <c r="J655" s="4" t="str">
        <f>HYPERLINK("http://legacy.baseballprospectus.com/fantasy/dc/index.php?tm=DET","DET")</f>
        <v>DET</v>
      </c>
      <c r="K655" t="s">
        <v>95</v>
      </c>
      <c r="L655" t="s">
        <v>34</v>
      </c>
      <c r="M655">
        <v>24</v>
      </c>
      <c r="N655">
        <v>1.2</v>
      </c>
      <c r="O655">
        <v>0.4</v>
      </c>
      <c r="P655">
        <v>0</v>
      </c>
      <c r="Q655">
        <v>0</v>
      </c>
      <c r="R655">
        <v>0</v>
      </c>
      <c r="S655">
        <v>0</v>
      </c>
      <c r="T655">
        <v>25.5</v>
      </c>
      <c r="U655">
        <v>0</v>
      </c>
      <c r="V655" s="9">
        <v>27</v>
      </c>
      <c r="W655">
        <v>124</v>
      </c>
      <c r="X655">
        <v>28</v>
      </c>
      <c r="Y655">
        <v>4</v>
      </c>
      <c r="Z655">
        <v>15</v>
      </c>
      <c r="AA655" t="s">
        <v>1680</v>
      </c>
      <c r="AB655">
        <v>1</v>
      </c>
      <c r="AC655">
        <v>28</v>
      </c>
      <c r="AD655">
        <v>5</v>
      </c>
      <c r="AE655">
        <v>9.4</v>
      </c>
      <c r="AF655" s="5">
        <v>0.44773605465888899</v>
      </c>
      <c r="AG655">
        <v>0.316</v>
      </c>
      <c r="AH655">
        <v>1.6</v>
      </c>
      <c r="AI655">
        <v>5.14</v>
      </c>
      <c r="AJ655">
        <v>5.19</v>
      </c>
      <c r="AK655">
        <v>0.3</v>
      </c>
      <c r="AL655">
        <v>0</v>
      </c>
      <c r="AM655">
        <v>14</v>
      </c>
      <c r="AN655">
        <v>23</v>
      </c>
      <c r="AO655">
        <v>9</v>
      </c>
      <c r="AP655">
        <v>21</v>
      </c>
      <c r="AQ655" t="s">
        <v>3051</v>
      </c>
      <c r="AR655">
        <v>33</v>
      </c>
      <c r="AS655" t="s">
        <v>36</v>
      </c>
      <c r="AT655" t="s">
        <v>35</v>
      </c>
      <c r="AU655" s="4">
        <f>HYPERLINK("http://mlb.mlb.com/team/player.jsp?player_id=607951",607951)</f>
        <v>607951</v>
      </c>
      <c r="AV655">
        <v>119</v>
      </c>
      <c r="AW655">
        <v>1119</v>
      </c>
      <c r="AX655">
        <v>6</v>
      </c>
    </row>
    <row r="656" spans="1:50" x14ac:dyDescent="0.3">
      <c r="A656" s="4">
        <f>HYPERLINK("http://legacy.baseballprospectus.com/p/70442",70442)</f>
        <v>70442</v>
      </c>
      <c r="B656" t="s">
        <v>1523</v>
      </c>
      <c r="C656" t="s">
        <v>204</v>
      </c>
      <c r="D656" s="10">
        <v>33859</v>
      </c>
      <c r="E656" t="s">
        <v>33</v>
      </c>
      <c r="F656" t="s">
        <v>9</v>
      </c>
      <c r="G656">
        <v>75</v>
      </c>
      <c r="H656">
        <v>205</v>
      </c>
      <c r="I656">
        <v>2018</v>
      </c>
      <c r="J656" s="4" t="str">
        <f>HYPERLINK("http://legacy.baseballprospectus.com/fantasy/dc/index.php?tm=BAL","BAL")</f>
        <v>BAL</v>
      </c>
      <c r="K656" t="s">
        <v>95</v>
      </c>
      <c r="L656" t="s">
        <v>34</v>
      </c>
      <c r="M656">
        <v>25</v>
      </c>
      <c r="N656">
        <v>1.8</v>
      </c>
      <c r="O656">
        <v>1.7</v>
      </c>
      <c r="P656">
        <v>1.6</v>
      </c>
      <c r="Q656">
        <v>0</v>
      </c>
      <c r="R656">
        <v>0.1</v>
      </c>
      <c r="S656">
        <v>0</v>
      </c>
      <c r="T656">
        <v>17.600000000000001</v>
      </c>
      <c r="U656">
        <v>4.0999999999999996</v>
      </c>
      <c r="V656" s="9">
        <v>34.666699999999999</v>
      </c>
      <c r="W656">
        <v>156</v>
      </c>
      <c r="X656">
        <v>35</v>
      </c>
      <c r="Y656">
        <v>6</v>
      </c>
      <c r="Z656">
        <v>18</v>
      </c>
      <c r="AA656" t="s">
        <v>1680</v>
      </c>
      <c r="AB656">
        <v>3</v>
      </c>
      <c r="AC656">
        <v>33</v>
      </c>
      <c r="AD656">
        <v>4.5999999999999996</v>
      </c>
      <c r="AE656">
        <v>8.5</v>
      </c>
      <c r="AF656" s="5">
        <v>0.425342977046966</v>
      </c>
      <c r="AG656">
        <v>0.29899999999999999</v>
      </c>
      <c r="AH656">
        <v>1.52</v>
      </c>
      <c r="AI656">
        <v>5.34</v>
      </c>
      <c r="AJ656">
        <v>5.39</v>
      </c>
      <c r="AK656">
        <v>0.5</v>
      </c>
      <c r="AL656">
        <v>0</v>
      </c>
      <c r="AM656">
        <v>15</v>
      </c>
      <c r="AN656">
        <v>30</v>
      </c>
      <c r="AO656">
        <v>15</v>
      </c>
      <c r="AP656">
        <v>30</v>
      </c>
      <c r="AQ656" t="s">
        <v>3084</v>
      </c>
      <c r="AR656">
        <v>54</v>
      </c>
      <c r="AS656" t="s">
        <v>36</v>
      </c>
      <c r="AT656" t="s">
        <v>35</v>
      </c>
      <c r="AU656" s="4">
        <f>HYPERLINK("http://mlb.mlb.com/team/player.jsp?player_id=605226",605226)</f>
        <v>605226</v>
      </c>
      <c r="AV656">
        <v>714</v>
      </c>
      <c r="AW656">
        <v>1714</v>
      </c>
      <c r="AX656">
        <v>0</v>
      </c>
    </row>
    <row r="657" spans="1:50" x14ac:dyDescent="0.3">
      <c r="A657" s="4">
        <f>HYPERLINK("http://legacy.baseballprospectus.com/p/70868",70868)</f>
        <v>70868</v>
      </c>
      <c r="B657" t="s">
        <v>3383</v>
      </c>
      <c r="C657" t="s">
        <v>313</v>
      </c>
      <c r="D657" s="10">
        <v>33969</v>
      </c>
      <c r="E657" t="s">
        <v>9</v>
      </c>
      <c r="F657" t="s">
        <v>9</v>
      </c>
      <c r="G657">
        <v>80</v>
      </c>
      <c r="H657">
        <v>195</v>
      </c>
      <c r="I657">
        <v>2018</v>
      </c>
      <c r="J657" s="4" t="str">
        <f>HYPERLINK("http://legacy.baseballprospectus.com/fantasy/dc/index.php?tm=ATL","ATL")</f>
        <v>ATL</v>
      </c>
      <c r="K657" t="s">
        <v>100</v>
      </c>
      <c r="L657" t="s">
        <v>34</v>
      </c>
      <c r="M657">
        <v>25</v>
      </c>
      <c r="N657">
        <v>2.2999999999999998</v>
      </c>
      <c r="O657">
        <v>0.9</v>
      </c>
      <c r="P657">
        <v>0</v>
      </c>
      <c r="Q657">
        <v>0</v>
      </c>
      <c r="R657">
        <v>2</v>
      </c>
      <c r="S657">
        <v>0</v>
      </c>
      <c r="T657">
        <v>47.2</v>
      </c>
      <c r="U657">
        <v>0</v>
      </c>
      <c r="V657" s="9">
        <v>50</v>
      </c>
      <c r="W657">
        <v>218</v>
      </c>
      <c r="X657">
        <v>48</v>
      </c>
      <c r="Y657">
        <v>7</v>
      </c>
      <c r="Z657">
        <v>28</v>
      </c>
      <c r="AA657" t="s">
        <v>1680</v>
      </c>
      <c r="AB657">
        <v>2</v>
      </c>
      <c r="AC657">
        <v>58</v>
      </c>
      <c r="AD657">
        <v>5.0999999999999996</v>
      </c>
      <c r="AE657">
        <v>10.4</v>
      </c>
      <c r="AF657" s="5">
        <v>0.55716937780380205</v>
      </c>
      <c r="AG657">
        <v>0.33</v>
      </c>
      <c r="AH657">
        <v>1.51</v>
      </c>
      <c r="AI657">
        <v>4.45</v>
      </c>
      <c r="AJ657">
        <v>5.16</v>
      </c>
      <c r="AK657">
        <v>0.2</v>
      </c>
      <c r="AL657">
        <v>0</v>
      </c>
      <c r="AM657">
        <v>8</v>
      </c>
      <c r="AN657">
        <v>8</v>
      </c>
      <c r="AO657">
        <v>12</v>
      </c>
      <c r="AP657">
        <v>18</v>
      </c>
      <c r="AQ657" t="s">
        <v>3384</v>
      </c>
      <c r="AR657">
        <v>20</v>
      </c>
      <c r="AS657" t="s">
        <v>36</v>
      </c>
      <c r="AT657" t="s">
        <v>35</v>
      </c>
      <c r="AU657" s="4">
        <f>HYPERLINK("http://mlb.mlb.com/team/player.jsp?player_id=607030",607030)</f>
        <v>607030</v>
      </c>
      <c r="AV657">
        <v>0</v>
      </c>
      <c r="AW657">
        <v>0</v>
      </c>
      <c r="AX657">
        <v>0</v>
      </c>
    </row>
    <row r="658" spans="1:50" x14ac:dyDescent="0.3">
      <c r="A658" s="4">
        <f>HYPERLINK("http://legacy.baseballprospectus.com/p/100508",100508)</f>
        <v>100508</v>
      </c>
      <c r="B658" t="s">
        <v>1187</v>
      </c>
      <c r="C658" t="s">
        <v>108</v>
      </c>
      <c r="D658" s="10">
        <v>34365</v>
      </c>
      <c r="E658" t="s">
        <v>33</v>
      </c>
      <c r="F658" t="s">
        <v>33</v>
      </c>
      <c r="G658">
        <v>75</v>
      </c>
      <c r="H658">
        <v>235</v>
      </c>
      <c r="I658">
        <v>2018</v>
      </c>
      <c r="J658" s="4" t="str">
        <f>HYPERLINK("http://legacy.baseballprospectus.com/fantasy/dc/index.php?tm=CIN","CIN")</f>
        <v>CIN</v>
      </c>
      <c r="K658" t="s">
        <v>100</v>
      </c>
      <c r="L658" t="s">
        <v>34</v>
      </c>
      <c r="M658">
        <v>24</v>
      </c>
      <c r="N658">
        <v>2.1</v>
      </c>
      <c r="O658">
        <v>2.4</v>
      </c>
      <c r="P658">
        <v>2.6</v>
      </c>
      <c r="Q658">
        <v>0</v>
      </c>
      <c r="R658">
        <v>0</v>
      </c>
      <c r="S658">
        <v>0</v>
      </c>
      <c r="T658">
        <v>6.8</v>
      </c>
      <c r="U658">
        <v>6.8</v>
      </c>
      <c r="V658" s="9">
        <v>35.333300000000001</v>
      </c>
      <c r="W658">
        <v>150</v>
      </c>
      <c r="X658">
        <v>35</v>
      </c>
      <c r="Y658">
        <v>7</v>
      </c>
      <c r="Z658">
        <v>14</v>
      </c>
      <c r="AA658" t="s">
        <v>1680</v>
      </c>
      <c r="AB658">
        <v>2</v>
      </c>
      <c r="AC658">
        <v>33</v>
      </c>
      <c r="AD658">
        <v>3.6</v>
      </c>
      <c r="AE658">
        <v>8.5</v>
      </c>
      <c r="AF658" s="5">
        <v>0.41704928874969399</v>
      </c>
      <c r="AG658">
        <v>0.30299999999999999</v>
      </c>
      <c r="AH658">
        <v>1.4</v>
      </c>
      <c r="AI658">
        <v>5.25</v>
      </c>
      <c r="AJ658">
        <v>5.65</v>
      </c>
      <c r="AK658">
        <v>-0.1</v>
      </c>
      <c r="AL658">
        <v>0</v>
      </c>
      <c r="AM658">
        <v>2</v>
      </c>
      <c r="AN658">
        <v>3</v>
      </c>
      <c r="AO658">
        <v>4</v>
      </c>
      <c r="AP658">
        <v>9</v>
      </c>
      <c r="AQ658" t="s">
        <v>2923</v>
      </c>
      <c r="AR658">
        <v>10</v>
      </c>
      <c r="AS658" t="s">
        <v>36</v>
      </c>
      <c r="AT658" t="s">
        <v>35</v>
      </c>
      <c r="AU658" s="4">
        <f>HYPERLINK("http://mlb.mlb.com/team/player.jsp?player_id=621072",621072)</f>
        <v>621072</v>
      </c>
      <c r="AV658">
        <v>0</v>
      </c>
      <c r="AW658">
        <v>0</v>
      </c>
      <c r="AX658">
        <v>0</v>
      </c>
    </row>
    <row r="659" spans="1:50" x14ac:dyDescent="0.3">
      <c r="A659" s="4">
        <f>HYPERLINK("http://legacy.baseballprospectus.com/p/100857",100857)</f>
        <v>100857</v>
      </c>
      <c r="B659" t="s">
        <v>1085</v>
      </c>
      <c r="C659" t="s">
        <v>1091</v>
      </c>
      <c r="D659" s="10">
        <v>34708</v>
      </c>
      <c r="E659" t="s">
        <v>9</v>
      </c>
      <c r="F659" t="s">
        <v>9</v>
      </c>
      <c r="G659">
        <v>72</v>
      </c>
      <c r="H659">
        <v>175</v>
      </c>
      <c r="I659">
        <v>2018</v>
      </c>
      <c r="J659" s="4" t="str">
        <f>HYPERLINK("http://legacy.baseballprospectus.com/fantasy/dc/index.php?tm=MIN","MIN")</f>
        <v>MIN</v>
      </c>
      <c r="K659" t="s">
        <v>95</v>
      </c>
      <c r="L659" t="s">
        <v>34</v>
      </c>
      <c r="M659">
        <v>23</v>
      </c>
      <c r="N659">
        <v>1</v>
      </c>
      <c r="O659">
        <v>1.1000000000000001</v>
      </c>
      <c r="P659">
        <v>0</v>
      </c>
      <c r="Q659">
        <v>0</v>
      </c>
      <c r="R659">
        <v>0</v>
      </c>
      <c r="S659">
        <v>0</v>
      </c>
      <c r="T659">
        <v>20</v>
      </c>
      <c r="U659">
        <v>0</v>
      </c>
      <c r="V659" s="9">
        <v>21.333300000000001</v>
      </c>
      <c r="W659">
        <v>92</v>
      </c>
      <c r="X659">
        <v>20</v>
      </c>
      <c r="Y659">
        <v>5</v>
      </c>
      <c r="Z659">
        <v>10</v>
      </c>
      <c r="AA659">
        <v>1</v>
      </c>
      <c r="AB659">
        <v>1</v>
      </c>
      <c r="AC659">
        <v>26</v>
      </c>
      <c r="AD659">
        <v>4.3</v>
      </c>
      <c r="AE659">
        <v>11.2</v>
      </c>
      <c r="AF659" s="5">
        <v>0.41499999999999998</v>
      </c>
      <c r="AG659">
        <v>0.29599999999999999</v>
      </c>
      <c r="AH659">
        <v>1.41</v>
      </c>
      <c r="AI659">
        <v>5.12</v>
      </c>
      <c r="AJ659">
        <v>5.09</v>
      </c>
      <c r="AK659">
        <v>0.3</v>
      </c>
      <c r="AL659">
        <v>0</v>
      </c>
      <c r="AM659">
        <v>15</v>
      </c>
      <c r="AN659">
        <v>23</v>
      </c>
      <c r="AO659">
        <v>14</v>
      </c>
      <c r="AP659">
        <v>17</v>
      </c>
      <c r="AQ659" t="s">
        <v>2905</v>
      </c>
      <c r="AR659">
        <v>43</v>
      </c>
      <c r="AS659" t="s">
        <v>35</v>
      </c>
      <c r="AT659" t="s">
        <v>35</v>
      </c>
      <c r="AU659" s="4">
        <f>HYPERLINK("http://mlb.mlb.com/team/player.jsp?player_id=622382",622382)</f>
        <v>622382</v>
      </c>
      <c r="AV659">
        <v>339</v>
      </c>
      <c r="AW659">
        <v>1339</v>
      </c>
      <c r="AX659">
        <v>6.3</v>
      </c>
    </row>
    <row r="660" spans="1:50" x14ac:dyDescent="0.3">
      <c r="A660" s="4">
        <f>HYPERLINK("http://legacy.baseballprospectus.com/p/100909",100909)</f>
        <v>100909</v>
      </c>
      <c r="B660" t="s">
        <v>607</v>
      </c>
      <c r="C660" t="s">
        <v>1079</v>
      </c>
      <c r="D660" s="10">
        <v>34176</v>
      </c>
      <c r="E660" t="s">
        <v>33</v>
      </c>
      <c r="F660" t="s">
        <v>33</v>
      </c>
      <c r="G660">
        <v>77</v>
      </c>
      <c r="H660">
        <v>185</v>
      </c>
      <c r="I660">
        <v>2018</v>
      </c>
      <c r="J660" s="4" t="str">
        <f>HYPERLINK("http://legacy.baseballprospectus.com/fantasy/dc/index.php?tm=WAS","WAS")</f>
        <v>WAS</v>
      </c>
      <c r="K660" t="s">
        <v>100</v>
      </c>
      <c r="L660" t="s">
        <v>34</v>
      </c>
      <c r="M660">
        <v>24</v>
      </c>
      <c r="N660">
        <v>0.2</v>
      </c>
      <c r="O660">
        <v>0.3</v>
      </c>
      <c r="P660">
        <v>0</v>
      </c>
      <c r="Q660">
        <v>0</v>
      </c>
      <c r="R660">
        <v>0</v>
      </c>
      <c r="S660">
        <v>0</v>
      </c>
      <c r="T660">
        <v>5</v>
      </c>
      <c r="U660">
        <v>0</v>
      </c>
      <c r="V660" s="9">
        <v>5.3333000000000004</v>
      </c>
      <c r="W660">
        <v>23</v>
      </c>
      <c r="X660">
        <v>5</v>
      </c>
      <c r="Y660">
        <v>1</v>
      </c>
      <c r="Z660">
        <v>2</v>
      </c>
      <c r="AA660">
        <v>0</v>
      </c>
      <c r="AB660">
        <v>0</v>
      </c>
      <c r="AC660">
        <v>5</v>
      </c>
      <c r="AD660">
        <v>4.3</v>
      </c>
      <c r="AE660">
        <v>8.3000000000000007</v>
      </c>
      <c r="AF660" s="5">
        <v>0.46300000000000002</v>
      </c>
      <c r="AG660">
        <v>0.29699999999999999</v>
      </c>
      <c r="AH660">
        <v>1.54</v>
      </c>
      <c r="AI660">
        <v>5.61</v>
      </c>
      <c r="AJ660">
        <v>5.63</v>
      </c>
      <c r="AK660">
        <v>-0.3</v>
      </c>
      <c r="AL660">
        <v>0</v>
      </c>
      <c r="AM660">
        <v>5</v>
      </c>
      <c r="AN660">
        <v>8</v>
      </c>
      <c r="AO660">
        <v>3</v>
      </c>
      <c r="AP660">
        <v>8</v>
      </c>
      <c r="AQ660" t="s">
        <v>3073</v>
      </c>
      <c r="AR660">
        <v>12</v>
      </c>
      <c r="AS660" t="s">
        <v>35</v>
      </c>
      <c r="AT660" t="s">
        <v>35</v>
      </c>
      <c r="AU660" s="4">
        <f>HYPERLINK("http://mlb.mlb.com/team/player.jsp?player_id=622446",622446)</f>
        <v>622446</v>
      </c>
      <c r="AV660">
        <v>0</v>
      </c>
      <c r="AW660">
        <v>0</v>
      </c>
      <c r="AX660">
        <v>0</v>
      </c>
    </row>
    <row r="661" spans="1:50" x14ac:dyDescent="0.3">
      <c r="A661" s="4">
        <f>HYPERLINK("http://legacy.baseballprospectus.com/p/100946",100946)</f>
        <v>100946</v>
      </c>
      <c r="B661" t="s">
        <v>1291</v>
      </c>
      <c r="C661" t="s">
        <v>1292</v>
      </c>
      <c r="D661" s="10">
        <v>34183</v>
      </c>
      <c r="E661" t="s">
        <v>33</v>
      </c>
      <c r="F661" t="s">
        <v>33</v>
      </c>
      <c r="G661">
        <v>74</v>
      </c>
      <c r="H661">
        <v>200</v>
      </c>
      <c r="I661">
        <v>2018</v>
      </c>
      <c r="J661" s="4" t="str">
        <f>HYPERLINK("http://legacy.baseballprospectus.com/fantasy/dc/index.php?tm=CIN","CIN")</f>
        <v>CIN</v>
      </c>
      <c r="K661" t="s">
        <v>100</v>
      </c>
      <c r="L661" t="s">
        <v>34</v>
      </c>
      <c r="M661">
        <v>24</v>
      </c>
      <c r="N661">
        <v>0.3</v>
      </c>
      <c r="O661">
        <v>0.3</v>
      </c>
      <c r="P661">
        <v>0</v>
      </c>
      <c r="Q661">
        <v>0</v>
      </c>
      <c r="R661">
        <v>0</v>
      </c>
      <c r="S661">
        <v>0</v>
      </c>
      <c r="T661">
        <v>5</v>
      </c>
      <c r="U661">
        <v>0</v>
      </c>
      <c r="V661" s="9">
        <v>5.6666999999999996</v>
      </c>
      <c r="W661">
        <v>25</v>
      </c>
      <c r="X661">
        <v>6</v>
      </c>
      <c r="Y661">
        <v>1</v>
      </c>
      <c r="Z661">
        <v>3</v>
      </c>
      <c r="AA661">
        <v>0</v>
      </c>
      <c r="AB661">
        <v>0</v>
      </c>
      <c r="AC661">
        <v>6</v>
      </c>
      <c r="AD661">
        <v>4.0999999999999996</v>
      </c>
      <c r="AE661">
        <v>8.6999999999999993</v>
      </c>
      <c r="AF661" s="5">
        <v>0.434</v>
      </c>
      <c r="AG661">
        <v>0.29599999999999999</v>
      </c>
      <c r="AH661">
        <v>1.45</v>
      </c>
      <c r="AI661">
        <v>5.52</v>
      </c>
      <c r="AJ661">
        <v>5.22</v>
      </c>
      <c r="AK661">
        <v>-0.1</v>
      </c>
      <c r="AL661">
        <v>0</v>
      </c>
      <c r="AM661">
        <v>5</v>
      </c>
      <c r="AN661">
        <v>8</v>
      </c>
      <c r="AO661">
        <v>3</v>
      </c>
      <c r="AP661">
        <v>9</v>
      </c>
      <c r="AQ661" t="s">
        <v>3074</v>
      </c>
      <c r="AR661">
        <v>15</v>
      </c>
      <c r="AS661" t="s">
        <v>35</v>
      </c>
      <c r="AT661" t="s">
        <v>35</v>
      </c>
      <c r="AU661" s="4">
        <f>HYPERLINK("http://mlb.mlb.com/team/player.jsp?player_id=622492",622492)</f>
        <v>622492</v>
      </c>
      <c r="AV661">
        <v>1133</v>
      </c>
      <c r="AW661">
        <v>133</v>
      </c>
      <c r="AX661">
        <v>4</v>
      </c>
    </row>
    <row r="662" spans="1:50" x14ac:dyDescent="0.3">
      <c r="A662" s="4">
        <f>HYPERLINK("http://legacy.baseballprospectus.com/p/101198",101198)</f>
        <v>101198</v>
      </c>
      <c r="B662" t="s">
        <v>879</v>
      </c>
      <c r="C662" t="s">
        <v>1591</v>
      </c>
      <c r="D662" s="10">
        <v>34716</v>
      </c>
      <c r="E662" t="s">
        <v>9</v>
      </c>
      <c r="F662" t="s">
        <v>9</v>
      </c>
      <c r="G662">
        <v>77</v>
      </c>
      <c r="H662">
        <v>200</v>
      </c>
      <c r="I662">
        <v>2018</v>
      </c>
      <c r="J662" s="4" t="str">
        <f>HYPERLINK("http://legacy.baseballprospectus.com/fantasy/dc/index.php?tm=TEX","TEX")</f>
        <v>TEX</v>
      </c>
      <c r="K662" t="s">
        <v>95</v>
      </c>
      <c r="L662" t="s">
        <v>34</v>
      </c>
      <c r="M662">
        <v>23</v>
      </c>
      <c r="N662">
        <v>2.2000000000000002</v>
      </c>
      <c r="O662">
        <v>2.9</v>
      </c>
      <c r="P662">
        <v>3</v>
      </c>
      <c r="Q662">
        <v>0</v>
      </c>
      <c r="R662">
        <v>0</v>
      </c>
      <c r="S662">
        <v>0</v>
      </c>
      <c r="T662">
        <v>8</v>
      </c>
      <c r="U662">
        <v>8</v>
      </c>
      <c r="V662" s="9">
        <v>40</v>
      </c>
      <c r="W662">
        <v>175</v>
      </c>
      <c r="X662">
        <v>40</v>
      </c>
      <c r="Y662">
        <v>8</v>
      </c>
      <c r="Z662">
        <v>16</v>
      </c>
      <c r="AA662">
        <v>1</v>
      </c>
      <c r="AB662">
        <v>2</v>
      </c>
      <c r="AC662">
        <v>37</v>
      </c>
      <c r="AD662">
        <v>3.6</v>
      </c>
      <c r="AE662">
        <v>8.3000000000000007</v>
      </c>
      <c r="AF662" s="5">
        <v>0.442</v>
      </c>
      <c r="AG662">
        <v>0.29199999999999998</v>
      </c>
      <c r="AH662">
        <v>1.41</v>
      </c>
      <c r="AI662">
        <v>5.39</v>
      </c>
      <c r="AJ662">
        <v>5.45</v>
      </c>
      <c r="AK662">
        <v>0.3</v>
      </c>
      <c r="AL662">
        <v>0</v>
      </c>
      <c r="AM662">
        <v>17</v>
      </c>
      <c r="AN662">
        <v>31</v>
      </c>
      <c r="AO662">
        <v>11</v>
      </c>
      <c r="AP662">
        <v>23</v>
      </c>
      <c r="AQ662" t="s">
        <v>2666</v>
      </c>
      <c r="AR662">
        <v>50</v>
      </c>
      <c r="AS662" t="s">
        <v>35</v>
      </c>
      <c r="AT662" t="s">
        <v>35</v>
      </c>
      <c r="AU662" s="4">
        <f>HYPERLINK("http://mlb.mlb.com/team/player.jsp?player_id=622795",622795)</f>
        <v>622795</v>
      </c>
      <c r="AV662">
        <v>114</v>
      </c>
      <c r="AW662">
        <v>1114</v>
      </c>
      <c r="AX662">
        <v>12.3</v>
      </c>
    </row>
    <row r="663" spans="1:50" x14ac:dyDescent="0.3">
      <c r="A663" s="4">
        <f>HYPERLINK("http://legacy.baseballprospectus.com/p/101231",101231)</f>
        <v>101231</v>
      </c>
      <c r="B663" t="s">
        <v>2021</v>
      </c>
      <c r="C663" t="s">
        <v>376</v>
      </c>
      <c r="D663" s="10">
        <v>33019</v>
      </c>
      <c r="E663" t="s">
        <v>33</v>
      </c>
      <c r="F663" t="s">
        <v>33</v>
      </c>
      <c r="G663">
        <v>75</v>
      </c>
      <c r="H663">
        <v>207</v>
      </c>
      <c r="I663">
        <v>2018</v>
      </c>
      <c r="J663" s="4" t="str">
        <f>HYPERLINK("http://legacy.baseballprospectus.com/fantasy/dc/index.php?tm=NYN","NYN")</f>
        <v>NYN</v>
      </c>
      <c r="K663" t="s">
        <v>100</v>
      </c>
      <c r="L663" t="s">
        <v>34</v>
      </c>
      <c r="M663">
        <v>28</v>
      </c>
      <c r="N663">
        <v>2.4</v>
      </c>
      <c r="O663">
        <v>2.4</v>
      </c>
      <c r="P663">
        <v>0</v>
      </c>
      <c r="Q663">
        <v>0</v>
      </c>
      <c r="R663">
        <v>0</v>
      </c>
      <c r="S663">
        <v>1</v>
      </c>
      <c r="T663">
        <v>48</v>
      </c>
      <c r="U663">
        <v>0</v>
      </c>
      <c r="V663" s="9">
        <v>50.666699999999999</v>
      </c>
      <c r="W663">
        <v>219</v>
      </c>
      <c r="X663">
        <v>48</v>
      </c>
      <c r="Y663">
        <v>9</v>
      </c>
      <c r="Z663">
        <v>20</v>
      </c>
      <c r="AA663">
        <v>2</v>
      </c>
      <c r="AB663">
        <v>2</v>
      </c>
      <c r="AC663">
        <v>54</v>
      </c>
      <c r="AD663">
        <v>3.6</v>
      </c>
      <c r="AE663">
        <v>9.6</v>
      </c>
      <c r="AF663" s="5">
        <v>0.39100000000000001</v>
      </c>
      <c r="AG663">
        <v>0.29299999999999998</v>
      </c>
      <c r="AH663">
        <v>1.36</v>
      </c>
      <c r="AI663">
        <v>4.9800000000000004</v>
      </c>
      <c r="AJ663">
        <v>5.04</v>
      </c>
      <c r="AK663">
        <v>-0.2</v>
      </c>
      <c r="AL663">
        <v>0</v>
      </c>
      <c r="AM663">
        <v>18</v>
      </c>
      <c r="AN663">
        <v>27</v>
      </c>
      <c r="AO663">
        <v>23</v>
      </c>
      <c r="AP663">
        <v>24</v>
      </c>
      <c r="AQ663" t="s">
        <v>3075</v>
      </c>
      <c r="AR663">
        <v>65</v>
      </c>
      <c r="AS663" t="s">
        <v>35</v>
      </c>
      <c r="AT663" t="s">
        <v>36</v>
      </c>
      <c r="AU663" s="4">
        <f>HYPERLINK("http://mlb.mlb.com/team/player.jsp?player_id=623149",623149)</f>
        <v>623149</v>
      </c>
      <c r="AV663">
        <v>1256</v>
      </c>
      <c r="AW663">
        <v>256</v>
      </c>
      <c r="AX663">
        <v>65.3</v>
      </c>
    </row>
    <row r="664" spans="1:50" x14ac:dyDescent="0.3">
      <c r="A664" s="4">
        <f>HYPERLINK("http://legacy.baseballprospectus.com/p/101412",101412)</f>
        <v>101412</v>
      </c>
      <c r="B664" t="s">
        <v>634</v>
      </c>
      <c r="C664" t="s">
        <v>1461</v>
      </c>
      <c r="D664" s="10">
        <v>33119</v>
      </c>
      <c r="E664" t="s">
        <v>33</v>
      </c>
      <c r="F664" t="s">
        <v>33</v>
      </c>
      <c r="G664">
        <v>71</v>
      </c>
      <c r="H664">
        <v>190</v>
      </c>
      <c r="I664">
        <v>2018</v>
      </c>
      <c r="J664" s="4" t="str">
        <f>HYPERLINK("http://legacy.baseballprospectus.com/fantasy/dc/index.php?tm=CHN","CHN")</f>
        <v>CHN</v>
      </c>
      <c r="K664" t="s">
        <v>100</v>
      </c>
      <c r="L664" t="s">
        <v>34</v>
      </c>
      <c r="M664">
        <v>27</v>
      </c>
      <c r="N664">
        <v>1.2</v>
      </c>
      <c r="O664">
        <v>1.3</v>
      </c>
      <c r="P664">
        <v>0</v>
      </c>
      <c r="Q664">
        <v>0</v>
      </c>
      <c r="R664">
        <v>0</v>
      </c>
      <c r="S664">
        <v>1</v>
      </c>
      <c r="T664">
        <v>24</v>
      </c>
      <c r="U664">
        <v>0</v>
      </c>
      <c r="V664" s="9">
        <v>25.666699999999999</v>
      </c>
      <c r="W664">
        <v>115</v>
      </c>
      <c r="X664">
        <v>26</v>
      </c>
      <c r="Y664">
        <v>4</v>
      </c>
      <c r="Z664">
        <v>13</v>
      </c>
      <c r="AA664">
        <v>1</v>
      </c>
      <c r="AB664">
        <v>1</v>
      </c>
      <c r="AC664">
        <v>24</v>
      </c>
      <c r="AD664">
        <v>4.7</v>
      </c>
      <c r="AE664">
        <v>8.3000000000000007</v>
      </c>
      <c r="AF664" s="5">
        <v>0.47499999999999998</v>
      </c>
      <c r="AG664">
        <v>0.29799999999999999</v>
      </c>
      <c r="AH664">
        <v>1.52</v>
      </c>
      <c r="AI664">
        <v>5.07</v>
      </c>
      <c r="AJ664">
        <v>4.99</v>
      </c>
      <c r="AK664">
        <v>0</v>
      </c>
      <c r="AL664">
        <v>0</v>
      </c>
      <c r="AM664">
        <v>23</v>
      </c>
      <c r="AN664">
        <v>34</v>
      </c>
      <c r="AO664">
        <v>18</v>
      </c>
      <c r="AP664">
        <v>28</v>
      </c>
      <c r="AQ664" t="s">
        <v>3089</v>
      </c>
      <c r="AR664">
        <v>66</v>
      </c>
      <c r="AS664" t="s">
        <v>35</v>
      </c>
      <c r="AT664" t="s">
        <v>35</v>
      </c>
      <c r="AU664" s="4">
        <f>HYPERLINK("http://mlb.mlb.com/team/player.jsp?player_id=623406",623406)</f>
        <v>623406</v>
      </c>
      <c r="AV664">
        <v>1753</v>
      </c>
      <c r="AW664">
        <v>753</v>
      </c>
      <c r="AX664">
        <v>7.7</v>
      </c>
    </row>
    <row r="665" spans="1:50" x14ac:dyDescent="0.3">
      <c r="A665" s="4">
        <f>HYPERLINK("http://legacy.baseballprospectus.com/p/101446",101446)</f>
        <v>101446</v>
      </c>
      <c r="B665" t="s">
        <v>2023</v>
      </c>
      <c r="C665" t="s">
        <v>440</v>
      </c>
      <c r="D665" s="10">
        <v>34465</v>
      </c>
      <c r="E665" t="s">
        <v>33</v>
      </c>
      <c r="F665" t="s">
        <v>33</v>
      </c>
      <c r="G665">
        <v>74</v>
      </c>
      <c r="H665">
        <v>220</v>
      </c>
      <c r="I665">
        <v>2018</v>
      </c>
      <c r="J665" s="4" t="str">
        <f>HYPERLINK("http://legacy.baseballprospectus.com/fantasy/dc/index.php?tm=CIN","CIN")</f>
        <v>CIN</v>
      </c>
      <c r="K665" t="s">
        <v>100</v>
      </c>
      <c r="L665" t="s">
        <v>34</v>
      </c>
      <c r="M665">
        <v>24</v>
      </c>
      <c r="N665">
        <v>0.8</v>
      </c>
      <c r="O665">
        <v>0.8</v>
      </c>
      <c r="P665">
        <v>0</v>
      </c>
      <c r="Q665">
        <v>0</v>
      </c>
      <c r="R665">
        <v>0</v>
      </c>
      <c r="S665">
        <v>0</v>
      </c>
      <c r="T665">
        <v>16</v>
      </c>
      <c r="U665">
        <v>0</v>
      </c>
      <c r="V665" s="9">
        <v>17</v>
      </c>
      <c r="W665">
        <v>75</v>
      </c>
      <c r="X665">
        <v>17</v>
      </c>
      <c r="Y665">
        <v>3</v>
      </c>
      <c r="Z665">
        <v>7</v>
      </c>
      <c r="AA665">
        <v>1</v>
      </c>
      <c r="AB665">
        <v>1</v>
      </c>
      <c r="AC665">
        <v>16</v>
      </c>
      <c r="AD665">
        <v>3.6</v>
      </c>
      <c r="AE665">
        <v>8.4</v>
      </c>
      <c r="AF665" s="5">
        <v>0.439</v>
      </c>
      <c r="AG665">
        <v>0.29599999999999999</v>
      </c>
      <c r="AH665">
        <v>1.42</v>
      </c>
      <c r="AI665">
        <v>5.23</v>
      </c>
      <c r="AJ665">
        <v>5.01</v>
      </c>
      <c r="AK665">
        <v>0</v>
      </c>
      <c r="AL665">
        <v>0</v>
      </c>
      <c r="AM665">
        <v>14</v>
      </c>
      <c r="AN665">
        <v>28</v>
      </c>
      <c r="AO665">
        <v>11</v>
      </c>
      <c r="AP665">
        <v>30</v>
      </c>
      <c r="AQ665" t="s">
        <v>2908</v>
      </c>
      <c r="AR665">
        <v>44</v>
      </c>
      <c r="AS665" t="s">
        <v>35</v>
      </c>
      <c r="AT665" t="s">
        <v>35</v>
      </c>
      <c r="AU665" s="4">
        <f>HYPERLINK("http://mlb.mlb.com/team/player.jsp?player_id=623451",623451)</f>
        <v>623451</v>
      </c>
      <c r="AV665">
        <v>1107</v>
      </c>
      <c r="AW665">
        <v>107</v>
      </c>
      <c r="AX665">
        <v>25</v>
      </c>
    </row>
    <row r="666" spans="1:50" x14ac:dyDescent="0.3">
      <c r="A666" s="4">
        <f>HYPERLINK("http://legacy.baseballprospectus.com/p/101448",101448)</f>
        <v>101448</v>
      </c>
      <c r="B666" t="s">
        <v>124</v>
      </c>
      <c r="C666" t="s">
        <v>210</v>
      </c>
      <c r="D666" s="10">
        <v>34415</v>
      </c>
      <c r="E666" t="s">
        <v>33</v>
      </c>
      <c r="F666" t="s">
        <v>33</v>
      </c>
      <c r="G666">
        <v>75</v>
      </c>
      <c r="H666">
        <v>185</v>
      </c>
      <c r="I666">
        <v>2018</v>
      </c>
      <c r="J666" s="4" t="str">
        <f>HYPERLINK("http://legacy.baseballprospectus.com/fantasy/dc/index.php?tm=PHI","PHI")</f>
        <v>PHI</v>
      </c>
      <c r="K666" t="s">
        <v>100</v>
      </c>
      <c r="L666" t="s">
        <v>34</v>
      </c>
      <c r="M666">
        <v>24</v>
      </c>
      <c r="N666">
        <v>0.5</v>
      </c>
      <c r="O666">
        <v>0.5</v>
      </c>
      <c r="P666">
        <v>0</v>
      </c>
      <c r="Q666">
        <v>0</v>
      </c>
      <c r="R666">
        <v>0</v>
      </c>
      <c r="S666">
        <v>0</v>
      </c>
      <c r="T666">
        <v>10</v>
      </c>
      <c r="U666">
        <v>0</v>
      </c>
      <c r="V666" s="9">
        <v>10.666700000000001</v>
      </c>
      <c r="W666">
        <v>46</v>
      </c>
      <c r="X666">
        <v>10</v>
      </c>
      <c r="Y666">
        <v>2</v>
      </c>
      <c r="Z666">
        <v>4</v>
      </c>
      <c r="AA666">
        <v>0</v>
      </c>
      <c r="AB666">
        <v>0</v>
      </c>
      <c r="AC666">
        <v>12</v>
      </c>
      <c r="AD666">
        <v>3.6</v>
      </c>
      <c r="AE666">
        <v>9.6999999999999993</v>
      </c>
      <c r="AF666" s="5">
        <v>0.38800000000000001</v>
      </c>
      <c r="AG666">
        <v>0.29199999999999998</v>
      </c>
      <c r="AH666">
        <v>1.33</v>
      </c>
      <c r="AI666">
        <v>5.35</v>
      </c>
      <c r="AJ666">
        <v>5.26</v>
      </c>
      <c r="AK666">
        <v>-0.3</v>
      </c>
      <c r="AL666">
        <v>0</v>
      </c>
      <c r="AM666">
        <v>11</v>
      </c>
      <c r="AN666">
        <v>22</v>
      </c>
      <c r="AO666">
        <v>7</v>
      </c>
      <c r="AP666">
        <v>21</v>
      </c>
      <c r="AQ666" t="s">
        <v>3201</v>
      </c>
      <c r="AR666">
        <v>33</v>
      </c>
      <c r="AS666" t="s">
        <v>35</v>
      </c>
      <c r="AT666" t="s">
        <v>35</v>
      </c>
      <c r="AU666" s="4">
        <f>HYPERLINK("http://mlb.mlb.com/team/player.jsp?player_id=623454",623454)</f>
        <v>623454</v>
      </c>
      <c r="AV666">
        <v>1136</v>
      </c>
      <c r="AW666">
        <v>136</v>
      </c>
      <c r="AX666">
        <v>2.2999999999999998</v>
      </c>
    </row>
    <row r="667" spans="1:50" x14ac:dyDescent="0.3">
      <c r="A667" s="4">
        <f>HYPERLINK("http://legacy.baseballprospectus.com/p/101756",101756)</f>
        <v>101756</v>
      </c>
      <c r="B667" t="s">
        <v>2029</v>
      </c>
      <c r="C667" t="s">
        <v>127</v>
      </c>
      <c r="D667" s="10">
        <v>34365</v>
      </c>
      <c r="E667" t="s">
        <v>33</v>
      </c>
      <c r="F667" t="s">
        <v>33</v>
      </c>
      <c r="G667">
        <v>74</v>
      </c>
      <c r="H667">
        <v>220</v>
      </c>
      <c r="I667">
        <v>2018</v>
      </c>
      <c r="J667" s="4" t="str">
        <f>HYPERLINK("http://legacy.baseballprospectus.com/fantasy/dc/index.php?tm=SEA","SEA")</f>
        <v>SEA</v>
      </c>
      <c r="K667" t="s">
        <v>95</v>
      </c>
      <c r="L667" t="s">
        <v>34</v>
      </c>
      <c r="M667">
        <v>24</v>
      </c>
      <c r="N667">
        <v>0.7</v>
      </c>
      <c r="O667">
        <v>0.8</v>
      </c>
      <c r="P667">
        <v>0</v>
      </c>
      <c r="Q667">
        <v>0</v>
      </c>
      <c r="R667">
        <v>0</v>
      </c>
      <c r="S667">
        <v>0</v>
      </c>
      <c r="T667">
        <v>15</v>
      </c>
      <c r="U667">
        <v>0</v>
      </c>
      <c r="V667" s="9">
        <v>15.666700000000001</v>
      </c>
      <c r="W667">
        <v>69</v>
      </c>
      <c r="X667">
        <v>16</v>
      </c>
      <c r="Y667">
        <v>3</v>
      </c>
      <c r="Z667">
        <v>7</v>
      </c>
      <c r="AA667">
        <v>1</v>
      </c>
      <c r="AB667">
        <v>1</v>
      </c>
      <c r="AC667">
        <v>14</v>
      </c>
      <c r="AD667">
        <v>3.9</v>
      </c>
      <c r="AE667">
        <v>8.1</v>
      </c>
      <c r="AF667" s="5">
        <v>0.45</v>
      </c>
      <c r="AG667">
        <v>0.28699999999999998</v>
      </c>
      <c r="AH667">
        <v>1.37</v>
      </c>
      <c r="AI667">
        <v>5.25</v>
      </c>
      <c r="AJ667">
        <v>5.33</v>
      </c>
      <c r="AK667">
        <v>-0.1</v>
      </c>
      <c r="AL667">
        <v>0</v>
      </c>
      <c r="AM667">
        <v>20</v>
      </c>
      <c r="AN667">
        <v>37</v>
      </c>
      <c r="AO667">
        <v>12</v>
      </c>
      <c r="AP667">
        <v>26</v>
      </c>
      <c r="AQ667" t="s">
        <v>2909</v>
      </c>
      <c r="AR667">
        <v>58</v>
      </c>
      <c r="AS667" t="s">
        <v>35</v>
      </c>
      <c r="AT667" t="s">
        <v>35</v>
      </c>
      <c r="AU667" s="4">
        <f>HYPERLINK("http://mlb.mlb.com/team/player.jsp?player_id=547007",547007)</f>
        <v>547007</v>
      </c>
      <c r="AV667">
        <v>118</v>
      </c>
      <c r="AW667">
        <v>1118</v>
      </c>
      <c r="AX667">
        <v>7.3</v>
      </c>
    </row>
    <row r="668" spans="1:50" x14ac:dyDescent="0.3">
      <c r="A668" s="4">
        <f>HYPERLINK("http://legacy.baseballprospectus.com/p/101973",101973)</f>
        <v>101973</v>
      </c>
      <c r="B668" t="s">
        <v>1490</v>
      </c>
      <c r="C668" t="s">
        <v>1491</v>
      </c>
      <c r="D668" s="10">
        <v>34610</v>
      </c>
      <c r="E668" t="s">
        <v>9</v>
      </c>
      <c r="F668" t="s">
        <v>33</v>
      </c>
      <c r="G668">
        <v>73</v>
      </c>
      <c r="H668">
        <v>195</v>
      </c>
      <c r="I668">
        <v>2018</v>
      </c>
      <c r="J668" s="4" t="str">
        <f>HYPERLINK("http://legacy.baseballprospectus.com/fantasy/dc/index.php?tm=CHN","CHN")</f>
        <v>CHN</v>
      </c>
      <c r="K668" t="s">
        <v>100</v>
      </c>
      <c r="L668" t="s">
        <v>34</v>
      </c>
      <c r="M668">
        <v>23</v>
      </c>
      <c r="N668">
        <v>1.7</v>
      </c>
      <c r="O668">
        <v>1.6</v>
      </c>
      <c r="P668">
        <v>1</v>
      </c>
      <c r="Q668">
        <v>0</v>
      </c>
      <c r="R668">
        <v>0</v>
      </c>
      <c r="S668">
        <v>0</v>
      </c>
      <c r="T668">
        <v>21</v>
      </c>
      <c r="U668">
        <v>2</v>
      </c>
      <c r="V668" s="9">
        <v>30</v>
      </c>
      <c r="W668">
        <v>130</v>
      </c>
      <c r="X668">
        <v>30</v>
      </c>
      <c r="Y668">
        <v>5</v>
      </c>
      <c r="Z668">
        <v>11</v>
      </c>
      <c r="AA668">
        <v>1</v>
      </c>
      <c r="AB668">
        <v>1</v>
      </c>
      <c r="AC668">
        <v>27</v>
      </c>
      <c r="AD668">
        <v>3.3</v>
      </c>
      <c r="AE668">
        <v>8</v>
      </c>
      <c r="AF668" s="5">
        <v>0.43</v>
      </c>
      <c r="AG668">
        <v>0.29499999999999998</v>
      </c>
      <c r="AH668">
        <v>1.38</v>
      </c>
      <c r="AI668">
        <v>4.97</v>
      </c>
      <c r="AJ668">
        <v>4.9400000000000004</v>
      </c>
      <c r="AK668">
        <v>0.4</v>
      </c>
      <c r="AL668">
        <v>0</v>
      </c>
      <c r="AM668">
        <v>12</v>
      </c>
      <c r="AN668">
        <v>15</v>
      </c>
      <c r="AO668">
        <v>13</v>
      </c>
      <c r="AP668">
        <v>26</v>
      </c>
      <c r="AQ668" t="s">
        <v>2910</v>
      </c>
      <c r="AR668">
        <v>33</v>
      </c>
      <c r="AS668" t="s">
        <v>35</v>
      </c>
      <c r="AT668" t="s">
        <v>35</v>
      </c>
      <c r="AU668" s="4">
        <f>HYPERLINK("http://mlb.mlb.com/team/player.jsp?player_id=627500",627500)</f>
        <v>627500</v>
      </c>
      <c r="AV668">
        <v>1128</v>
      </c>
      <c r="AW668">
        <v>128</v>
      </c>
      <c r="AX668">
        <v>6</v>
      </c>
    </row>
    <row r="669" spans="1:50" x14ac:dyDescent="0.3">
      <c r="A669" s="4">
        <f>HYPERLINK("http://legacy.baseballprospectus.com/p/102027",102027)</f>
        <v>102027</v>
      </c>
      <c r="B669" t="s">
        <v>2042</v>
      </c>
      <c r="C669" t="s">
        <v>1234</v>
      </c>
      <c r="D669" s="10">
        <v>33533</v>
      </c>
      <c r="E669" t="s">
        <v>33</v>
      </c>
      <c r="F669" t="s">
        <v>33</v>
      </c>
      <c r="G669">
        <v>73</v>
      </c>
      <c r="H669">
        <v>225</v>
      </c>
      <c r="I669">
        <v>2018</v>
      </c>
      <c r="J669" s="4" t="str">
        <f>HYPERLINK("http://legacy.baseballprospectus.com/fantasy/dc/index.php?tm=CIN","CIN")</f>
        <v>CIN</v>
      </c>
      <c r="K669" t="s">
        <v>100</v>
      </c>
      <c r="L669" t="s">
        <v>34</v>
      </c>
      <c r="M669">
        <v>26</v>
      </c>
      <c r="N669">
        <v>1.3</v>
      </c>
      <c r="O669">
        <v>1.4</v>
      </c>
      <c r="P669">
        <v>0</v>
      </c>
      <c r="Q669">
        <v>0</v>
      </c>
      <c r="R669">
        <v>0</v>
      </c>
      <c r="S669">
        <v>1</v>
      </c>
      <c r="T669">
        <v>27</v>
      </c>
      <c r="U669">
        <v>0</v>
      </c>
      <c r="V669" s="9">
        <v>28.333300000000001</v>
      </c>
      <c r="W669">
        <v>124</v>
      </c>
      <c r="X669">
        <v>29</v>
      </c>
      <c r="Y669">
        <v>5</v>
      </c>
      <c r="Z669">
        <v>12</v>
      </c>
      <c r="AA669">
        <v>1</v>
      </c>
      <c r="AB669">
        <v>1</v>
      </c>
      <c r="AC669">
        <v>26</v>
      </c>
      <c r="AD669">
        <v>3.9</v>
      </c>
      <c r="AE669">
        <v>8.1</v>
      </c>
      <c r="AF669" s="5">
        <v>0.504</v>
      </c>
      <c r="AG669">
        <v>0.29699999999999999</v>
      </c>
      <c r="AH669">
        <v>1.45</v>
      </c>
      <c r="AI669">
        <v>5.4</v>
      </c>
      <c r="AJ669">
        <v>5.12</v>
      </c>
      <c r="AK669">
        <v>-0.4</v>
      </c>
      <c r="AL669">
        <v>0</v>
      </c>
      <c r="AM669">
        <v>20</v>
      </c>
      <c r="AN669">
        <v>30</v>
      </c>
      <c r="AO669">
        <v>11</v>
      </c>
      <c r="AP669">
        <v>36</v>
      </c>
      <c r="AQ669" t="s">
        <v>3078</v>
      </c>
      <c r="AR669">
        <v>43</v>
      </c>
      <c r="AS669" t="s">
        <v>35</v>
      </c>
      <c r="AT669" t="s">
        <v>35</v>
      </c>
      <c r="AU669" s="4">
        <f>HYPERLINK("http://mlb.mlb.com/team/player.jsp?player_id=592120",592120)</f>
        <v>592120</v>
      </c>
      <c r="AV669">
        <v>0</v>
      </c>
      <c r="AW669">
        <v>0</v>
      </c>
      <c r="AX669">
        <v>8</v>
      </c>
    </row>
    <row r="670" spans="1:50" x14ac:dyDescent="0.3">
      <c r="A670" s="4">
        <f>HYPERLINK("http://legacy.baseballprospectus.com/p/102084",102084)</f>
        <v>102084</v>
      </c>
      <c r="B670" t="s">
        <v>1311</v>
      </c>
      <c r="C670" t="s">
        <v>136</v>
      </c>
      <c r="D670" s="10">
        <v>33781</v>
      </c>
      <c r="E670" t="s">
        <v>33</v>
      </c>
      <c r="F670" t="s">
        <v>33</v>
      </c>
      <c r="G670">
        <v>74</v>
      </c>
      <c r="H670">
        <v>215</v>
      </c>
      <c r="I670">
        <v>2018</v>
      </c>
      <c r="J670" s="4" t="str">
        <f>HYPERLINK("http://legacy.baseballprospectus.com/fantasy/dc/index.php?tm=WAS","WAS")</f>
        <v>WAS</v>
      </c>
      <c r="K670" t="s">
        <v>100</v>
      </c>
      <c r="L670" t="s">
        <v>34</v>
      </c>
      <c r="M670">
        <v>26</v>
      </c>
      <c r="N670">
        <v>3.1</v>
      </c>
      <c r="O670">
        <v>3.4</v>
      </c>
      <c r="P670">
        <v>4</v>
      </c>
      <c r="Q670">
        <v>0</v>
      </c>
      <c r="R670">
        <v>0</v>
      </c>
      <c r="S670">
        <v>0</v>
      </c>
      <c r="T670">
        <v>10</v>
      </c>
      <c r="U670">
        <v>10</v>
      </c>
      <c r="V670" s="9">
        <v>50</v>
      </c>
      <c r="W670">
        <v>220</v>
      </c>
      <c r="X670">
        <v>53</v>
      </c>
      <c r="Y670">
        <v>10</v>
      </c>
      <c r="Z670">
        <v>19</v>
      </c>
      <c r="AA670">
        <v>1</v>
      </c>
      <c r="AB670">
        <v>2</v>
      </c>
      <c r="AC670">
        <v>43</v>
      </c>
      <c r="AD670">
        <v>3.4</v>
      </c>
      <c r="AE670">
        <v>7.8</v>
      </c>
      <c r="AF670" s="5">
        <v>0.44800000000000001</v>
      </c>
      <c r="AG670">
        <v>0.29599999999999999</v>
      </c>
      <c r="AH670">
        <v>1.44</v>
      </c>
      <c r="AI670">
        <v>4.96</v>
      </c>
      <c r="AJ670">
        <v>5.35</v>
      </c>
      <c r="AK670">
        <v>-0.4</v>
      </c>
      <c r="AL670">
        <v>0</v>
      </c>
      <c r="AM670">
        <v>16</v>
      </c>
      <c r="AN670">
        <v>28</v>
      </c>
      <c r="AO670">
        <v>14</v>
      </c>
      <c r="AP670">
        <v>37</v>
      </c>
      <c r="AQ670" t="s">
        <v>2914</v>
      </c>
      <c r="AR670">
        <v>49</v>
      </c>
      <c r="AS670" t="s">
        <v>35</v>
      </c>
      <c r="AT670" t="s">
        <v>35</v>
      </c>
      <c r="AU670" s="4">
        <f>HYPERLINK("http://mlb.mlb.com/team/player.jsp?player_id=608723",608723)</f>
        <v>608723</v>
      </c>
      <c r="AV670">
        <v>1179</v>
      </c>
      <c r="AW670">
        <v>179</v>
      </c>
      <c r="AX670">
        <v>0</v>
      </c>
    </row>
    <row r="671" spans="1:50" x14ac:dyDescent="0.3">
      <c r="A671" s="4">
        <f>HYPERLINK("http://legacy.baseballprospectus.com/p/102124",102124)</f>
        <v>102124</v>
      </c>
      <c r="B671" t="s">
        <v>984</v>
      </c>
      <c r="C671" t="s">
        <v>434</v>
      </c>
      <c r="D671" s="10">
        <v>34193</v>
      </c>
      <c r="E671" t="s">
        <v>33</v>
      </c>
      <c r="F671" t="s">
        <v>33</v>
      </c>
      <c r="G671">
        <v>73</v>
      </c>
      <c r="H671">
        <v>165</v>
      </c>
      <c r="I671">
        <v>2018</v>
      </c>
      <c r="J671" s="4" t="str">
        <f>HYPERLINK("http://legacy.baseballprospectus.com/fantasy/dc/index.php?tm=TBA","TBA")</f>
        <v>TBA</v>
      </c>
      <c r="K671" t="s">
        <v>95</v>
      </c>
      <c r="L671" t="s">
        <v>34</v>
      </c>
      <c r="M671">
        <v>24</v>
      </c>
      <c r="N671">
        <v>0.9</v>
      </c>
      <c r="O671">
        <v>0.7</v>
      </c>
      <c r="P671">
        <v>0</v>
      </c>
      <c r="Q671">
        <v>0</v>
      </c>
      <c r="R671">
        <v>0</v>
      </c>
      <c r="S671">
        <v>0</v>
      </c>
      <c r="T671">
        <v>16</v>
      </c>
      <c r="U671">
        <v>0</v>
      </c>
      <c r="V671" s="9">
        <v>17</v>
      </c>
      <c r="W671">
        <v>72</v>
      </c>
      <c r="X671">
        <v>16</v>
      </c>
      <c r="Y671">
        <v>3</v>
      </c>
      <c r="Z671">
        <v>7</v>
      </c>
      <c r="AA671">
        <v>1</v>
      </c>
      <c r="AB671">
        <v>1</v>
      </c>
      <c r="AC671">
        <v>18</v>
      </c>
      <c r="AD671">
        <v>3.7</v>
      </c>
      <c r="AE671">
        <v>9.5</v>
      </c>
      <c r="AF671" s="5">
        <v>0.39700000000000002</v>
      </c>
      <c r="AG671">
        <v>0.28599999999999998</v>
      </c>
      <c r="AH671">
        <v>1.29</v>
      </c>
      <c r="AI671">
        <v>4.6399999999999997</v>
      </c>
      <c r="AJ671">
        <v>5.04</v>
      </c>
      <c r="AK671">
        <v>0.4</v>
      </c>
      <c r="AL671">
        <v>0</v>
      </c>
      <c r="AM671">
        <v>12</v>
      </c>
      <c r="AN671">
        <v>27</v>
      </c>
      <c r="AO671">
        <v>15</v>
      </c>
      <c r="AP671">
        <v>32</v>
      </c>
      <c r="AQ671" t="s">
        <v>2915</v>
      </c>
      <c r="AR671">
        <v>50</v>
      </c>
      <c r="AS671" t="s">
        <v>35</v>
      </c>
      <c r="AT671" t="s">
        <v>35</v>
      </c>
      <c r="AU671" s="4">
        <f>HYPERLINK("http://mlb.mlb.com/team/player.jsp?player_id=621056",621056)</f>
        <v>621056</v>
      </c>
      <c r="AV671">
        <v>130</v>
      </c>
      <c r="AW671">
        <v>1130</v>
      </c>
      <c r="AX671">
        <v>0.3</v>
      </c>
    </row>
    <row r="672" spans="1:50" x14ac:dyDescent="0.3">
      <c r="A672" s="4">
        <f>HYPERLINK("http://legacy.baseballprospectus.com/p/102512",102512)</f>
        <v>102512</v>
      </c>
      <c r="B672" t="s">
        <v>3346</v>
      </c>
      <c r="C672" t="s">
        <v>258</v>
      </c>
      <c r="D672" s="10">
        <v>34075</v>
      </c>
      <c r="E672" t="s">
        <v>33</v>
      </c>
      <c r="F672" t="s">
        <v>33</v>
      </c>
      <c r="G672">
        <v>72</v>
      </c>
      <c r="H672">
        <v>197</v>
      </c>
      <c r="I672">
        <v>2018</v>
      </c>
      <c r="J672" s="4" t="str">
        <f>HYPERLINK("http://legacy.baseballprospectus.com/fantasy/dc/index.php?tm=NYN","NYN")</f>
        <v>NYN</v>
      </c>
      <c r="K672" t="s">
        <v>100</v>
      </c>
      <c r="L672" t="s">
        <v>34</v>
      </c>
      <c r="M672">
        <v>25</v>
      </c>
      <c r="N672">
        <v>0.2</v>
      </c>
      <c r="O672">
        <v>0.2</v>
      </c>
      <c r="P672">
        <v>0</v>
      </c>
      <c r="Q672">
        <v>0</v>
      </c>
      <c r="R672">
        <v>0</v>
      </c>
      <c r="S672">
        <v>0</v>
      </c>
      <c r="T672">
        <v>5</v>
      </c>
      <c r="U672">
        <v>0</v>
      </c>
      <c r="V672" s="9">
        <v>5</v>
      </c>
      <c r="W672">
        <v>22</v>
      </c>
      <c r="X672">
        <v>5</v>
      </c>
      <c r="Y672">
        <v>1</v>
      </c>
      <c r="Z672">
        <v>3</v>
      </c>
      <c r="AA672">
        <v>0</v>
      </c>
      <c r="AB672">
        <v>0</v>
      </c>
      <c r="AC672">
        <v>7</v>
      </c>
      <c r="AD672">
        <v>4.7</v>
      </c>
      <c r="AE672">
        <v>11.8</v>
      </c>
      <c r="AF672" s="5">
        <v>0.40400000000000003</v>
      </c>
      <c r="AG672">
        <v>0.29799999999999999</v>
      </c>
      <c r="AH672">
        <v>1.42</v>
      </c>
      <c r="AI672">
        <v>4.4400000000000004</v>
      </c>
      <c r="AJ672">
        <v>4.62</v>
      </c>
      <c r="AK672">
        <v>0.2</v>
      </c>
      <c r="AL672">
        <v>0</v>
      </c>
      <c r="AM672">
        <v>15</v>
      </c>
      <c r="AN672">
        <v>22</v>
      </c>
      <c r="AO672">
        <v>3</v>
      </c>
      <c r="AP672">
        <v>19</v>
      </c>
      <c r="AQ672" t="s">
        <v>3347</v>
      </c>
      <c r="AR672">
        <v>26</v>
      </c>
      <c r="AS672" t="s">
        <v>35</v>
      </c>
      <c r="AT672" t="s">
        <v>35</v>
      </c>
      <c r="AU672" s="4">
        <f>HYPERLINK("http://mlb.mlb.com/team/player.jsp?player_id=641341",641341)</f>
        <v>641341</v>
      </c>
      <c r="AV672">
        <v>0</v>
      </c>
      <c r="AW672">
        <v>0</v>
      </c>
      <c r="AX672">
        <v>0</v>
      </c>
    </row>
    <row r="673" spans="1:50" x14ac:dyDescent="0.3">
      <c r="A673" s="4">
        <f>HYPERLINK("http://legacy.baseballprospectus.com/p/102560",102560)</f>
        <v>102560</v>
      </c>
      <c r="B673" t="s">
        <v>1278</v>
      </c>
      <c r="C673" t="s">
        <v>182</v>
      </c>
      <c r="D673" s="10">
        <v>33587</v>
      </c>
      <c r="E673" t="s">
        <v>9</v>
      </c>
      <c r="F673" t="s">
        <v>9</v>
      </c>
      <c r="G673">
        <v>74</v>
      </c>
      <c r="H673">
        <v>175</v>
      </c>
      <c r="I673">
        <v>2018</v>
      </c>
      <c r="J673" s="4" t="str">
        <f>HYPERLINK("http://legacy.baseballprospectus.com/fantasy/dc/index.php?tm=CIN","CIN")</f>
        <v>CIN</v>
      </c>
      <c r="K673" t="s">
        <v>100</v>
      </c>
      <c r="L673" t="s">
        <v>34</v>
      </c>
      <c r="M673">
        <v>26</v>
      </c>
      <c r="N673">
        <v>0.8</v>
      </c>
      <c r="O673">
        <v>0.8</v>
      </c>
      <c r="P673">
        <v>0</v>
      </c>
      <c r="Q673">
        <v>0</v>
      </c>
      <c r="R673">
        <v>0</v>
      </c>
      <c r="S673">
        <v>0</v>
      </c>
      <c r="T673">
        <v>16</v>
      </c>
      <c r="U673">
        <v>0</v>
      </c>
      <c r="V673" s="9">
        <v>17</v>
      </c>
      <c r="W673">
        <v>76</v>
      </c>
      <c r="X673">
        <v>17</v>
      </c>
      <c r="Y673">
        <v>2</v>
      </c>
      <c r="Z673">
        <v>8</v>
      </c>
      <c r="AA673">
        <v>1</v>
      </c>
      <c r="AB673">
        <v>1</v>
      </c>
      <c r="AC673">
        <v>15</v>
      </c>
      <c r="AD673">
        <v>4.4000000000000004</v>
      </c>
      <c r="AE673">
        <v>7.7</v>
      </c>
      <c r="AF673" s="5">
        <v>0.48499999999999999</v>
      </c>
      <c r="AG673">
        <v>0.3</v>
      </c>
      <c r="AH673">
        <v>1.52</v>
      </c>
      <c r="AI673">
        <v>5.03</v>
      </c>
      <c r="AJ673">
        <v>4.8499999999999996</v>
      </c>
      <c r="AK673">
        <v>0.3</v>
      </c>
      <c r="AL673">
        <v>0</v>
      </c>
      <c r="AM673">
        <v>23</v>
      </c>
      <c r="AN673">
        <v>36</v>
      </c>
      <c r="AO673">
        <v>24</v>
      </c>
      <c r="AP673">
        <v>25</v>
      </c>
      <c r="AQ673" t="s">
        <v>2928</v>
      </c>
      <c r="AR673">
        <v>69</v>
      </c>
      <c r="AS673" t="s">
        <v>35</v>
      </c>
      <c r="AT673" t="s">
        <v>36</v>
      </c>
      <c r="AU673" s="4">
        <f>HYPERLINK("http://mlb.mlb.com/team/player.jsp?player_id=641490",641490)</f>
        <v>641490</v>
      </c>
      <c r="AV673">
        <v>0</v>
      </c>
      <c r="AW673">
        <v>0</v>
      </c>
      <c r="AX673">
        <v>1.7</v>
      </c>
    </row>
    <row r="674" spans="1:50" x14ac:dyDescent="0.3">
      <c r="A674" s="4">
        <f>HYPERLINK("http://legacy.baseballprospectus.com/p/102562",102562)</f>
        <v>102562</v>
      </c>
      <c r="B674" t="s">
        <v>1319</v>
      </c>
      <c r="C674" t="s">
        <v>258</v>
      </c>
      <c r="D674" s="10">
        <v>34589</v>
      </c>
      <c r="E674" t="s">
        <v>33</v>
      </c>
      <c r="F674" t="s">
        <v>33</v>
      </c>
      <c r="G674">
        <v>72</v>
      </c>
      <c r="H674">
        <v>200</v>
      </c>
      <c r="I674">
        <v>2018</v>
      </c>
      <c r="J674" s="4" t="str">
        <f>HYPERLINK("http://legacy.baseballprospectus.com/fantasy/dc/index.php?tm=CHA","CHA")</f>
        <v>CHA</v>
      </c>
      <c r="K674" t="s">
        <v>95</v>
      </c>
      <c r="L674" t="s">
        <v>34</v>
      </c>
      <c r="M674">
        <v>23</v>
      </c>
      <c r="N674">
        <v>1.4</v>
      </c>
      <c r="O674">
        <v>1.9</v>
      </c>
      <c r="P674">
        <v>1</v>
      </c>
      <c r="Q674">
        <v>0</v>
      </c>
      <c r="R674">
        <v>0</v>
      </c>
      <c r="S674">
        <v>0</v>
      </c>
      <c r="T674">
        <v>18</v>
      </c>
      <c r="U674">
        <v>3</v>
      </c>
      <c r="V674" s="9">
        <v>30.666699999999999</v>
      </c>
      <c r="W674">
        <v>137</v>
      </c>
      <c r="X674">
        <v>33</v>
      </c>
      <c r="Y674">
        <v>5</v>
      </c>
      <c r="Z674">
        <v>13</v>
      </c>
      <c r="AA674">
        <v>1</v>
      </c>
      <c r="AB674">
        <v>1</v>
      </c>
      <c r="AC674">
        <v>23</v>
      </c>
      <c r="AD674">
        <v>3.7</v>
      </c>
      <c r="AE674">
        <v>6.7</v>
      </c>
      <c r="AF674" s="5">
        <v>0.499</v>
      </c>
      <c r="AG674">
        <v>0.29799999999999999</v>
      </c>
      <c r="AH674">
        <v>1.52</v>
      </c>
      <c r="AI674">
        <v>5.29</v>
      </c>
      <c r="AJ674">
        <v>5.4</v>
      </c>
      <c r="AK674">
        <v>0</v>
      </c>
      <c r="AL674">
        <v>0</v>
      </c>
      <c r="AM674">
        <v>14</v>
      </c>
      <c r="AN674">
        <v>16</v>
      </c>
      <c r="AO674">
        <v>8</v>
      </c>
      <c r="AP674">
        <v>19</v>
      </c>
      <c r="AQ674" t="s">
        <v>2792</v>
      </c>
      <c r="AR674">
        <v>26</v>
      </c>
      <c r="AS674" t="s">
        <v>35</v>
      </c>
      <c r="AT674" t="s">
        <v>35</v>
      </c>
      <c r="AU674" s="4">
        <f>HYPERLINK("http://mlb.mlb.com/team/player.jsp?player_id=641501",641501)</f>
        <v>641501</v>
      </c>
      <c r="AV674">
        <v>0</v>
      </c>
      <c r="AW674">
        <v>0</v>
      </c>
      <c r="AX674">
        <v>5</v>
      </c>
    </row>
    <row r="675" spans="1:50" x14ac:dyDescent="0.3">
      <c r="A675" s="4">
        <f>HYPERLINK("http://legacy.baseballprospectus.com/p/102644",102644)</f>
        <v>102644</v>
      </c>
      <c r="B675" t="s">
        <v>2136</v>
      </c>
      <c r="C675" t="s">
        <v>266</v>
      </c>
      <c r="D675" s="10">
        <v>34977</v>
      </c>
      <c r="E675" t="s">
        <v>33</v>
      </c>
      <c r="F675" t="s">
        <v>33</v>
      </c>
      <c r="G675">
        <v>76</v>
      </c>
      <c r="H675">
        <v>220</v>
      </c>
      <c r="I675">
        <v>2018</v>
      </c>
      <c r="J675" s="4" t="str">
        <f>HYPERLINK("http://legacy.baseballprospectus.com/fantasy/dc/index.php?tm=MIN","MIN")</f>
        <v>MIN</v>
      </c>
      <c r="K675" t="s">
        <v>95</v>
      </c>
      <c r="L675" t="s">
        <v>34</v>
      </c>
      <c r="M675">
        <v>22</v>
      </c>
      <c r="N675">
        <v>0.7</v>
      </c>
      <c r="O675">
        <v>0.7</v>
      </c>
      <c r="P675">
        <v>1</v>
      </c>
      <c r="Q675">
        <v>0</v>
      </c>
      <c r="R675">
        <v>0</v>
      </c>
      <c r="S675">
        <v>0</v>
      </c>
      <c r="T675">
        <v>2</v>
      </c>
      <c r="U675">
        <v>2</v>
      </c>
      <c r="V675" s="9">
        <v>10.666700000000001</v>
      </c>
      <c r="W675">
        <v>47</v>
      </c>
      <c r="X675">
        <v>11</v>
      </c>
      <c r="Y675">
        <v>2</v>
      </c>
      <c r="Z675">
        <v>4</v>
      </c>
      <c r="AA675">
        <v>0</v>
      </c>
      <c r="AB675">
        <v>0</v>
      </c>
      <c r="AC675">
        <v>9</v>
      </c>
      <c r="AD675">
        <v>3.4</v>
      </c>
      <c r="AE675">
        <v>7.5</v>
      </c>
      <c r="AF675" s="5">
        <v>0.47</v>
      </c>
      <c r="AG675">
        <v>0.29499999999999998</v>
      </c>
      <c r="AH675">
        <v>1.51</v>
      </c>
      <c r="AI675">
        <v>5.0199999999999996</v>
      </c>
      <c r="AJ675">
        <v>5.32</v>
      </c>
      <c r="AK675">
        <v>0.2</v>
      </c>
      <c r="AL675">
        <v>0</v>
      </c>
      <c r="AM675">
        <v>19</v>
      </c>
      <c r="AN675">
        <v>26</v>
      </c>
      <c r="AO675">
        <v>9</v>
      </c>
      <c r="AP675">
        <v>27</v>
      </c>
      <c r="AQ675" t="s">
        <v>2794</v>
      </c>
      <c r="AR675">
        <v>46</v>
      </c>
      <c r="AS675" t="s">
        <v>35</v>
      </c>
      <c r="AT675" t="s">
        <v>35</v>
      </c>
      <c r="AU675" s="4">
        <f>HYPERLINK("http://mlb.mlb.com/team/player.jsp?player_id=641793",641793)</f>
        <v>641793</v>
      </c>
      <c r="AV675">
        <v>186</v>
      </c>
      <c r="AW675">
        <v>1186</v>
      </c>
      <c r="AX675">
        <v>0</v>
      </c>
    </row>
    <row r="676" spans="1:50" x14ac:dyDescent="0.3">
      <c r="A676" s="4">
        <f>HYPERLINK("http://legacy.baseballprospectus.com/p/102652",102652)</f>
        <v>102652</v>
      </c>
      <c r="B676" t="s">
        <v>1570</v>
      </c>
      <c r="C676" t="s">
        <v>258</v>
      </c>
      <c r="D676" s="10">
        <v>34606</v>
      </c>
      <c r="E676" t="s">
        <v>33</v>
      </c>
      <c r="F676" t="s">
        <v>33</v>
      </c>
      <c r="G676">
        <v>75</v>
      </c>
      <c r="H676">
        <v>210</v>
      </c>
      <c r="I676">
        <v>2018</v>
      </c>
      <c r="J676" s="4" t="str">
        <f>HYPERLINK("http://legacy.baseballprospectus.com/fantasy/dc/index.php?tm=CIN","CIN")</f>
        <v>CIN</v>
      </c>
      <c r="K676" t="s">
        <v>100</v>
      </c>
      <c r="L676" t="s">
        <v>34</v>
      </c>
      <c r="M676">
        <v>23</v>
      </c>
      <c r="N676">
        <v>2.6</v>
      </c>
      <c r="O676">
        <v>3.4</v>
      </c>
      <c r="P676">
        <v>2</v>
      </c>
      <c r="Q676">
        <v>0</v>
      </c>
      <c r="R676">
        <v>0</v>
      </c>
      <c r="S676">
        <v>0</v>
      </c>
      <c r="T676">
        <v>32</v>
      </c>
      <c r="U676">
        <v>5</v>
      </c>
      <c r="V676" s="9">
        <v>55</v>
      </c>
      <c r="W676">
        <v>237</v>
      </c>
      <c r="X676">
        <v>55</v>
      </c>
      <c r="Y676">
        <v>11</v>
      </c>
      <c r="Z676">
        <v>21</v>
      </c>
      <c r="AA676">
        <v>2</v>
      </c>
      <c r="AB676">
        <v>3</v>
      </c>
      <c r="AC676">
        <v>53</v>
      </c>
      <c r="AD676">
        <v>3.4</v>
      </c>
      <c r="AE676">
        <v>8.6</v>
      </c>
      <c r="AF676" s="5">
        <v>0.434</v>
      </c>
      <c r="AG676">
        <v>0.29099999999999998</v>
      </c>
      <c r="AH676">
        <v>1.36</v>
      </c>
      <c r="AI676">
        <v>5.31</v>
      </c>
      <c r="AJ676">
        <v>5.17</v>
      </c>
      <c r="AK676">
        <v>-0.3</v>
      </c>
      <c r="AL676">
        <v>0</v>
      </c>
      <c r="AM676">
        <v>17</v>
      </c>
      <c r="AN676">
        <v>32</v>
      </c>
      <c r="AO676">
        <v>13</v>
      </c>
      <c r="AP676">
        <v>22</v>
      </c>
      <c r="AQ676" t="s">
        <v>2795</v>
      </c>
      <c r="AR676">
        <v>54</v>
      </c>
      <c r="AS676" t="s">
        <v>35</v>
      </c>
      <c r="AT676" t="s">
        <v>35</v>
      </c>
      <c r="AU676" s="4">
        <f>HYPERLINK("http://mlb.mlb.com/team/player.jsp?player_id=641816",641816)</f>
        <v>641816</v>
      </c>
      <c r="AV676">
        <v>1112</v>
      </c>
      <c r="AW676">
        <v>112</v>
      </c>
      <c r="AX676">
        <v>20</v>
      </c>
    </row>
    <row r="677" spans="1:50" x14ac:dyDescent="0.3">
      <c r="A677" s="4">
        <f>HYPERLINK("http://legacy.baseballprospectus.com/p/102658",102658)</f>
        <v>102658</v>
      </c>
      <c r="B677" t="s">
        <v>3211</v>
      </c>
      <c r="C677" t="s">
        <v>159</v>
      </c>
      <c r="D677" s="10">
        <v>33618</v>
      </c>
      <c r="E677" t="s">
        <v>9</v>
      </c>
      <c r="F677" t="s">
        <v>9</v>
      </c>
      <c r="G677">
        <v>75</v>
      </c>
      <c r="H677">
        <v>220</v>
      </c>
      <c r="I677">
        <v>2018</v>
      </c>
      <c r="J677" s="4" t="str">
        <f>HYPERLINK("http://legacy.baseballprospectus.com/fantasy/dc/index.php?tm=TOR","TOR")</f>
        <v>TOR</v>
      </c>
      <c r="K677" t="s">
        <v>95</v>
      </c>
      <c r="L677" t="s">
        <v>34</v>
      </c>
      <c r="M677">
        <v>26</v>
      </c>
      <c r="N677">
        <v>1.1000000000000001</v>
      </c>
      <c r="O677">
        <v>1.3</v>
      </c>
      <c r="P677">
        <v>0</v>
      </c>
      <c r="Q677">
        <v>0</v>
      </c>
      <c r="R677">
        <v>0</v>
      </c>
      <c r="S677">
        <v>1</v>
      </c>
      <c r="T677">
        <v>25</v>
      </c>
      <c r="U677">
        <v>0</v>
      </c>
      <c r="V677" s="9">
        <v>26</v>
      </c>
      <c r="W677">
        <v>117</v>
      </c>
      <c r="X677">
        <v>27</v>
      </c>
      <c r="Y677">
        <v>5</v>
      </c>
      <c r="Z677">
        <v>13</v>
      </c>
      <c r="AA677">
        <v>1</v>
      </c>
      <c r="AB677">
        <v>1</v>
      </c>
      <c r="AC677">
        <v>26</v>
      </c>
      <c r="AD677">
        <v>4.5</v>
      </c>
      <c r="AE677">
        <v>9</v>
      </c>
      <c r="AF677" s="5">
        <v>0.44800000000000001</v>
      </c>
      <c r="AG677">
        <v>0.30499999999999999</v>
      </c>
      <c r="AH677">
        <v>1.56</v>
      </c>
      <c r="AI677">
        <v>5.34</v>
      </c>
      <c r="AJ677">
        <v>5.4</v>
      </c>
      <c r="AK677">
        <v>-0.4</v>
      </c>
      <c r="AL677">
        <v>0</v>
      </c>
      <c r="AM677">
        <v>18</v>
      </c>
      <c r="AN677">
        <v>19</v>
      </c>
      <c r="AO677">
        <v>13</v>
      </c>
      <c r="AP677">
        <v>21</v>
      </c>
      <c r="AQ677" t="s">
        <v>3212</v>
      </c>
      <c r="AR677">
        <v>38</v>
      </c>
      <c r="AS677" t="s">
        <v>35</v>
      </c>
      <c r="AT677" t="s">
        <v>35</v>
      </c>
      <c r="AU677" s="4">
        <f>HYPERLINK("http://mlb.mlb.com/team/player.jsp?player_id=641835",641835)</f>
        <v>641835</v>
      </c>
      <c r="AV677">
        <v>324</v>
      </c>
      <c r="AW677">
        <v>1324</v>
      </c>
      <c r="AX677">
        <v>17</v>
      </c>
    </row>
    <row r="678" spans="1:50" x14ac:dyDescent="0.3">
      <c r="A678" s="4">
        <f>HYPERLINK("http://legacy.baseballprospectus.com/p/102705",102705)</f>
        <v>102705</v>
      </c>
      <c r="B678" t="s">
        <v>548</v>
      </c>
      <c r="C678" t="s">
        <v>187</v>
      </c>
      <c r="D678" s="10">
        <v>33365</v>
      </c>
      <c r="E678" t="s">
        <v>9</v>
      </c>
      <c r="F678" t="s">
        <v>33</v>
      </c>
      <c r="G678">
        <v>75</v>
      </c>
      <c r="H678">
        <v>210</v>
      </c>
      <c r="I678">
        <v>2018</v>
      </c>
      <c r="J678" s="4" t="str">
        <f>HYPERLINK("http://legacy.baseballprospectus.com/fantasy/dc/index.php?tm=OAK","OAK")</f>
        <v>OAK</v>
      </c>
      <c r="K678" t="s">
        <v>95</v>
      </c>
      <c r="L678" t="s">
        <v>34</v>
      </c>
      <c r="M678">
        <v>27</v>
      </c>
      <c r="N678">
        <v>1.9</v>
      </c>
      <c r="O678">
        <v>2.2999999999999998</v>
      </c>
      <c r="P678">
        <v>0</v>
      </c>
      <c r="Q678">
        <v>0</v>
      </c>
      <c r="R678">
        <v>0</v>
      </c>
      <c r="S678">
        <v>1</v>
      </c>
      <c r="T678">
        <v>41</v>
      </c>
      <c r="U678">
        <v>0</v>
      </c>
      <c r="V678" s="9">
        <v>44</v>
      </c>
      <c r="W678">
        <v>190</v>
      </c>
      <c r="X678">
        <v>42</v>
      </c>
      <c r="Y678">
        <v>9</v>
      </c>
      <c r="Z678">
        <v>17</v>
      </c>
      <c r="AA678">
        <v>1</v>
      </c>
      <c r="AB678">
        <v>2</v>
      </c>
      <c r="AC678">
        <v>49</v>
      </c>
      <c r="AD678">
        <v>3.5</v>
      </c>
      <c r="AE678">
        <v>10</v>
      </c>
      <c r="AF678" s="5">
        <v>0.34100000000000003</v>
      </c>
      <c r="AG678">
        <v>0.28899999999999998</v>
      </c>
      <c r="AH678">
        <v>1.35</v>
      </c>
      <c r="AI678">
        <v>5.34</v>
      </c>
      <c r="AJ678">
        <v>5.26</v>
      </c>
      <c r="AK678">
        <v>-0.1</v>
      </c>
      <c r="AL678">
        <v>0</v>
      </c>
      <c r="AM678">
        <v>13</v>
      </c>
      <c r="AN678">
        <v>26</v>
      </c>
      <c r="AO678">
        <v>16</v>
      </c>
      <c r="AP678">
        <v>31</v>
      </c>
      <c r="AQ678" t="s">
        <v>2931</v>
      </c>
      <c r="AR678">
        <v>61</v>
      </c>
      <c r="AS678" t="s">
        <v>35</v>
      </c>
      <c r="AT678" t="s">
        <v>36</v>
      </c>
      <c r="AU678" s="4">
        <f>HYPERLINK("http://mlb.mlb.com/team/player.jsp?player_id=641941",641941)</f>
        <v>641941</v>
      </c>
      <c r="AV678">
        <v>283</v>
      </c>
      <c r="AW678">
        <v>1283</v>
      </c>
      <c r="AX678">
        <v>50.3</v>
      </c>
    </row>
    <row r="679" spans="1:50" x14ac:dyDescent="0.3">
      <c r="A679" s="4">
        <f>HYPERLINK("http://legacy.baseballprospectus.com/p/102722",102722)</f>
        <v>102722</v>
      </c>
      <c r="B679" t="s">
        <v>1592</v>
      </c>
      <c r="C679" t="s">
        <v>125</v>
      </c>
      <c r="D679" s="10">
        <v>34044</v>
      </c>
      <c r="E679" t="s">
        <v>33</v>
      </c>
      <c r="F679" t="s">
        <v>33</v>
      </c>
      <c r="G679">
        <v>73</v>
      </c>
      <c r="H679">
        <v>215</v>
      </c>
      <c r="I679">
        <v>2018</v>
      </c>
      <c r="J679" s="4" t="str">
        <f>HYPERLINK("http://legacy.baseballprospectus.com/fantasy/dc/index.php?tm=NYN","NYN")</f>
        <v>NYN</v>
      </c>
      <c r="K679" t="s">
        <v>100</v>
      </c>
      <c r="L679" t="s">
        <v>34</v>
      </c>
      <c r="M679">
        <v>25</v>
      </c>
      <c r="N679">
        <v>0.7</v>
      </c>
      <c r="O679">
        <v>0.7</v>
      </c>
      <c r="P679">
        <v>0</v>
      </c>
      <c r="Q679">
        <v>0</v>
      </c>
      <c r="R679">
        <v>0</v>
      </c>
      <c r="S679">
        <v>0</v>
      </c>
      <c r="T679">
        <v>14</v>
      </c>
      <c r="U679">
        <v>0</v>
      </c>
      <c r="V679" s="9">
        <v>15.333299999999999</v>
      </c>
      <c r="W679">
        <v>65</v>
      </c>
      <c r="X679">
        <v>14</v>
      </c>
      <c r="Y679">
        <v>3</v>
      </c>
      <c r="Z679">
        <v>6</v>
      </c>
      <c r="AA679">
        <v>1</v>
      </c>
      <c r="AB679">
        <v>0</v>
      </c>
      <c r="AC679">
        <v>18</v>
      </c>
      <c r="AD679">
        <v>3.7</v>
      </c>
      <c r="AE679">
        <v>10.6</v>
      </c>
      <c r="AF679" s="5">
        <v>0.36899999999999999</v>
      </c>
      <c r="AG679">
        <v>0.29699999999999999</v>
      </c>
      <c r="AH679">
        <v>1.35</v>
      </c>
      <c r="AI679">
        <v>4.74</v>
      </c>
      <c r="AJ679">
        <v>4.8600000000000003</v>
      </c>
      <c r="AK679">
        <v>0.2</v>
      </c>
      <c r="AL679">
        <v>0</v>
      </c>
      <c r="AM679">
        <v>17</v>
      </c>
      <c r="AN679">
        <v>23</v>
      </c>
      <c r="AO679">
        <v>25</v>
      </c>
      <c r="AP679">
        <v>44</v>
      </c>
      <c r="AQ679" t="s">
        <v>2932</v>
      </c>
      <c r="AR679">
        <v>54</v>
      </c>
      <c r="AS679" t="s">
        <v>35</v>
      </c>
      <c r="AT679" t="s">
        <v>35</v>
      </c>
      <c r="AU679" s="4">
        <f>HYPERLINK("http://mlb.mlb.com/team/player.jsp?player_id=642008",642008)</f>
        <v>642008</v>
      </c>
      <c r="AV679">
        <v>1338</v>
      </c>
      <c r="AW679">
        <v>338</v>
      </c>
      <c r="AX679">
        <v>9</v>
      </c>
    </row>
    <row r="680" spans="1:50" x14ac:dyDescent="0.3">
      <c r="A680" s="4">
        <f>HYPERLINK("http://legacy.baseballprospectus.com/p/102744",102744)</f>
        <v>102744</v>
      </c>
      <c r="B680" t="s">
        <v>2933</v>
      </c>
      <c r="C680" t="s">
        <v>277</v>
      </c>
      <c r="D680" s="10">
        <v>33851</v>
      </c>
      <c r="E680" t="s">
        <v>33</v>
      </c>
      <c r="F680" t="s">
        <v>33</v>
      </c>
      <c r="G680">
        <v>82</v>
      </c>
      <c r="H680">
        <v>245</v>
      </c>
      <c r="I680">
        <v>2018</v>
      </c>
      <c r="J680" s="4" t="str">
        <f>HYPERLINK("http://legacy.baseballprospectus.com/fantasy/dc/index.php?tm=MIN","MIN")</f>
        <v>MIN</v>
      </c>
      <c r="K680" t="s">
        <v>95</v>
      </c>
      <c r="L680" t="s">
        <v>34</v>
      </c>
      <c r="M680">
        <v>25</v>
      </c>
      <c r="N680">
        <v>1</v>
      </c>
      <c r="O680">
        <v>1.1000000000000001</v>
      </c>
      <c r="P680">
        <v>1</v>
      </c>
      <c r="Q680">
        <v>0</v>
      </c>
      <c r="R680">
        <v>0</v>
      </c>
      <c r="S680">
        <v>0</v>
      </c>
      <c r="T680">
        <v>10</v>
      </c>
      <c r="U680">
        <v>2</v>
      </c>
      <c r="V680" s="9">
        <v>18.666699999999999</v>
      </c>
      <c r="W680">
        <v>82</v>
      </c>
      <c r="X680">
        <v>20</v>
      </c>
      <c r="Y680">
        <v>3</v>
      </c>
      <c r="Z680">
        <v>7</v>
      </c>
      <c r="AA680">
        <v>1</v>
      </c>
      <c r="AB680">
        <v>1</v>
      </c>
      <c r="AC680">
        <v>14</v>
      </c>
      <c r="AD680">
        <v>3.2</v>
      </c>
      <c r="AE680">
        <v>6.9</v>
      </c>
      <c r="AF680" s="5">
        <v>0.45500000000000002</v>
      </c>
      <c r="AG680">
        <v>0.29499999999999998</v>
      </c>
      <c r="AH680">
        <v>1.45</v>
      </c>
      <c r="AI680">
        <v>5.2</v>
      </c>
      <c r="AJ680">
        <v>5.28</v>
      </c>
      <c r="AK680">
        <v>0.2</v>
      </c>
      <c r="AL680">
        <v>0</v>
      </c>
      <c r="AM680">
        <v>21</v>
      </c>
      <c r="AN680">
        <v>27</v>
      </c>
      <c r="AO680">
        <v>14</v>
      </c>
      <c r="AP680">
        <v>30</v>
      </c>
      <c r="AQ680" t="s">
        <v>4946</v>
      </c>
      <c r="AR680">
        <v>45</v>
      </c>
      <c r="AS680" t="s">
        <v>35</v>
      </c>
      <c r="AT680" t="s">
        <v>35</v>
      </c>
      <c r="AU680" s="4">
        <f>HYPERLINK("http://mlb.mlb.com/team/player.jsp?player_id=642083",642083)</f>
        <v>642083</v>
      </c>
      <c r="AV680">
        <v>110</v>
      </c>
      <c r="AW680">
        <v>1110</v>
      </c>
      <c r="AX680">
        <v>15.3</v>
      </c>
    </row>
    <row r="681" spans="1:50" x14ac:dyDescent="0.3">
      <c r="A681" s="4">
        <f>HYPERLINK("http://legacy.baseballprospectus.com/p/103066",103066)</f>
        <v>103066</v>
      </c>
      <c r="B681" t="s">
        <v>1582</v>
      </c>
      <c r="C681" t="s">
        <v>904</v>
      </c>
      <c r="D681" s="10">
        <v>35094</v>
      </c>
      <c r="E681" t="s">
        <v>33</v>
      </c>
      <c r="F681" t="s">
        <v>33</v>
      </c>
      <c r="G681">
        <v>73</v>
      </c>
      <c r="H681">
        <v>180</v>
      </c>
      <c r="I681">
        <v>2018</v>
      </c>
      <c r="J681" s="4" t="str">
        <f>HYPERLINK("http://legacy.baseballprospectus.com/fantasy/dc/index.php?tm=TEX","TEX")</f>
        <v>TEX</v>
      </c>
      <c r="K681" t="s">
        <v>95</v>
      </c>
      <c r="L681" t="s">
        <v>34</v>
      </c>
      <c r="M681">
        <v>22</v>
      </c>
      <c r="N681">
        <v>0.8</v>
      </c>
      <c r="O681">
        <v>1.1000000000000001</v>
      </c>
      <c r="P681">
        <v>1</v>
      </c>
      <c r="Q681">
        <v>0</v>
      </c>
      <c r="R681">
        <v>0</v>
      </c>
      <c r="S681">
        <v>0</v>
      </c>
      <c r="T681">
        <v>3</v>
      </c>
      <c r="U681">
        <v>3</v>
      </c>
      <c r="V681" s="9">
        <v>14</v>
      </c>
      <c r="W681">
        <v>63</v>
      </c>
      <c r="X681">
        <v>16</v>
      </c>
      <c r="Y681">
        <v>3</v>
      </c>
      <c r="Z681">
        <v>5</v>
      </c>
      <c r="AA681">
        <v>0</v>
      </c>
      <c r="AB681">
        <v>1</v>
      </c>
      <c r="AC681">
        <v>11</v>
      </c>
      <c r="AD681">
        <v>3.2</v>
      </c>
      <c r="AE681">
        <v>7.1</v>
      </c>
      <c r="AF681" s="5">
        <v>0.50600000000000001</v>
      </c>
      <c r="AG681">
        <v>0.29699999999999999</v>
      </c>
      <c r="AH681">
        <v>1.55</v>
      </c>
      <c r="AI681">
        <v>5.64</v>
      </c>
      <c r="AJ681">
        <v>5.71</v>
      </c>
      <c r="AK681">
        <v>-0.3</v>
      </c>
      <c r="AL681">
        <v>0</v>
      </c>
      <c r="AM681">
        <v>11</v>
      </c>
      <c r="AN681">
        <v>25</v>
      </c>
      <c r="AO681">
        <v>4</v>
      </c>
      <c r="AP681">
        <v>12</v>
      </c>
      <c r="AQ681" t="s">
        <v>2935</v>
      </c>
      <c r="AR681">
        <v>33</v>
      </c>
      <c r="AS681" t="s">
        <v>35</v>
      </c>
      <c r="AT681" t="s">
        <v>35</v>
      </c>
      <c r="AU681" s="4">
        <f>HYPERLINK("http://mlb.mlb.com/team/player.jsp?player_id=642558",642558)</f>
        <v>642558</v>
      </c>
      <c r="AV681">
        <v>201</v>
      </c>
      <c r="AW681">
        <v>1201</v>
      </c>
      <c r="AX681">
        <v>0</v>
      </c>
    </row>
    <row r="682" spans="1:50" x14ac:dyDescent="0.3">
      <c r="A682" s="4">
        <f>HYPERLINK("http://legacy.baseballprospectus.com/p/103250",103250)</f>
        <v>103250</v>
      </c>
      <c r="B682" t="s">
        <v>2086</v>
      </c>
      <c r="C682" t="s">
        <v>621</v>
      </c>
      <c r="D682" s="10">
        <v>34399</v>
      </c>
      <c r="E682" t="s">
        <v>33</v>
      </c>
      <c r="F682" t="s">
        <v>33</v>
      </c>
      <c r="G682">
        <v>79</v>
      </c>
      <c r="H682">
        <v>250</v>
      </c>
      <c r="I682">
        <v>2018</v>
      </c>
      <c r="J682" s="4" t="str">
        <f>HYPERLINK("http://legacy.baseballprospectus.com/fantasy/dc/index.php?tm=NYA","NYA")</f>
        <v>NYA</v>
      </c>
      <c r="K682" t="s">
        <v>95</v>
      </c>
      <c r="L682" t="s">
        <v>34</v>
      </c>
      <c r="M682">
        <v>24</v>
      </c>
      <c r="N682">
        <v>1.6</v>
      </c>
      <c r="O682">
        <v>1.5</v>
      </c>
      <c r="P682">
        <v>1</v>
      </c>
      <c r="Q682">
        <v>0</v>
      </c>
      <c r="R682">
        <v>0</v>
      </c>
      <c r="S682">
        <v>0</v>
      </c>
      <c r="T682">
        <v>12</v>
      </c>
      <c r="U682">
        <v>3</v>
      </c>
      <c r="V682" s="9">
        <v>27</v>
      </c>
      <c r="W682">
        <v>119</v>
      </c>
      <c r="X682">
        <v>28</v>
      </c>
      <c r="Y682">
        <v>6</v>
      </c>
      <c r="Z682">
        <v>10</v>
      </c>
      <c r="AA682">
        <v>1</v>
      </c>
      <c r="AB682">
        <v>1</v>
      </c>
      <c r="AC682">
        <v>28</v>
      </c>
      <c r="AD682">
        <v>3.4</v>
      </c>
      <c r="AE682">
        <v>9.4</v>
      </c>
      <c r="AF682" s="5">
        <v>0.40500000000000003</v>
      </c>
      <c r="AG682">
        <v>0.29599999999999999</v>
      </c>
      <c r="AH682">
        <v>1.44</v>
      </c>
      <c r="AI682">
        <v>5.4</v>
      </c>
      <c r="AJ682">
        <v>5.56</v>
      </c>
      <c r="AK682">
        <v>-0.4</v>
      </c>
      <c r="AL682">
        <v>0</v>
      </c>
      <c r="AM682">
        <v>20</v>
      </c>
      <c r="AN682">
        <v>32</v>
      </c>
      <c r="AO682">
        <v>18</v>
      </c>
      <c r="AP682">
        <v>35</v>
      </c>
      <c r="AQ682" t="s">
        <v>2936</v>
      </c>
      <c r="AR682">
        <v>54</v>
      </c>
      <c r="AS682" t="s">
        <v>35</v>
      </c>
      <c r="AT682" t="s">
        <v>35</v>
      </c>
      <c r="AU682" s="4">
        <f>HYPERLINK("http://mlb.mlb.com/team/player.jsp?player_id=642758",642758)</f>
        <v>642758</v>
      </c>
      <c r="AV682">
        <v>189</v>
      </c>
      <c r="AW682">
        <v>1189</v>
      </c>
      <c r="AX682">
        <v>0</v>
      </c>
    </row>
    <row r="683" spans="1:50" x14ac:dyDescent="0.3">
      <c r="A683" s="4">
        <f>HYPERLINK("http://legacy.baseballprospectus.com/p/103373",103373)</f>
        <v>103373</v>
      </c>
      <c r="B683" t="s">
        <v>2799</v>
      </c>
      <c r="C683" t="s">
        <v>108</v>
      </c>
      <c r="D683" s="10">
        <v>34196</v>
      </c>
      <c r="E683" t="s">
        <v>33</v>
      </c>
      <c r="F683" t="s">
        <v>33</v>
      </c>
      <c r="G683">
        <v>73</v>
      </c>
      <c r="H683">
        <v>179</v>
      </c>
      <c r="I683">
        <v>2018</v>
      </c>
      <c r="J683" s="4" t="str">
        <f>HYPERLINK("http://legacy.baseballprospectus.com/fantasy/dc/index.php?tm=TEX","TEX")</f>
        <v>TEX</v>
      </c>
      <c r="K683" t="s">
        <v>95</v>
      </c>
      <c r="L683" t="s">
        <v>34</v>
      </c>
      <c r="M683">
        <v>24</v>
      </c>
      <c r="N683">
        <v>0.6</v>
      </c>
      <c r="O683">
        <v>0.9</v>
      </c>
      <c r="P683">
        <v>0</v>
      </c>
      <c r="Q683">
        <v>0</v>
      </c>
      <c r="R683">
        <v>0</v>
      </c>
      <c r="S683">
        <v>0</v>
      </c>
      <c r="T683">
        <v>15</v>
      </c>
      <c r="U683">
        <v>0</v>
      </c>
      <c r="V683" s="9">
        <v>15.666700000000001</v>
      </c>
      <c r="W683">
        <v>69</v>
      </c>
      <c r="X683">
        <v>16</v>
      </c>
      <c r="Y683">
        <v>3</v>
      </c>
      <c r="Z683">
        <v>7</v>
      </c>
      <c r="AA683">
        <v>1</v>
      </c>
      <c r="AB683">
        <v>1</v>
      </c>
      <c r="AC683">
        <v>17</v>
      </c>
      <c r="AD683">
        <v>3.8</v>
      </c>
      <c r="AE683">
        <v>9.5</v>
      </c>
      <c r="AF683" s="5">
        <v>0.44600000000000001</v>
      </c>
      <c r="AG683">
        <v>0.29899999999999999</v>
      </c>
      <c r="AH683">
        <v>1.44</v>
      </c>
      <c r="AI683">
        <v>5.29</v>
      </c>
      <c r="AJ683">
        <v>5.0199999999999996</v>
      </c>
      <c r="AK683">
        <v>0.4</v>
      </c>
      <c r="AL683">
        <v>0</v>
      </c>
      <c r="AM683">
        <v>19</v>
      </c>
      <c r="AN683">
        <v>35</v>
      </c>
      <c r="AO683">
        <v>14</v>
      </c>
      <c r="AP683">
        <v>35</v>
      </c>
      <c r="AQ683" t="s">
        <v>2800</v>
      </c>
      <c r="AR683">
        <v>55</v>
      </c>
      <c r="AS683" t="s">
        <v>35</v>
      </c>
      <c r="AT683" t="s">
        <v>35</v>
      </c>
      <c r="AU683" s="4">
        <f>HYPERLINK("http://mlb.mlb.com/team/player.jsp?player_id=643320",643320)</f>
        <v>643320</v>
      </c>
      <c r="AV683">
        <v>335</v>
      </c>
      <c r="AW683">
        <v>1335</v>
      </c>
      <c r="AX683">
        <v>8</v>
      </c>
    </row>
    <row r="684" spans="1:50" x14ac:dyDescent="0.3">
      <c r="A684" s="4">
        <f>HYPERLINK("http://legacy.baseballprospectus.com/p/103378",103378)</f>
        <v>103378</v>
      </c>
      <c r="B684" t="s">
        <v>2120</v>
      </c>
      <c r="C684" t="s">
        <v>285</v>
      </c>
      <c r="D684" s="10">
        <v>32925</v>
      </c>
      <c r="E684" t="s">
        <v>33</v>
      </c>
      <c r="F684" t="s">
        <v>33</v>
      </c>
      <c r="G684">
        <v>76</v>
      </c>
      <c r="H684">
        <v>220</v>
      </c>
      <c r="I684">
        <v>2018</v>
      </c>
      <c r="J684" s="4" t="str">
        <f>HYPERLINK("http://legacy.baseballprospectus.com/fantasy/dc/index.php?tm=CHA","CHA")</f>
        <v>CHA</v>
      </c>
      <c r="K684" t="s">
        <v>95</v>
      </c>
      <c r="L684" t="s">
        <v>34</v>
      </c>
      <c r="M684">
        <v>28</v>
      </c>
      <c r="N684">
        <v>0.5</v>
      </c>
      <c r="O684">
        <v>0.5</v>
      </c>
      <c r="P684">
        <v>0</v>
      </c>
      <c r="Q684">
        <v>0</v>
      </c>
      <c r="R684">
        <v>0</v>
      </c>
      <c r="S684">
        <v>0</v>
      </c>
      <c r="T684">
        <v>10</v>
      </c>
      <c r="U684">
        <v>0</v>
      </c>
      <c r="V684" s="9">
        <v>10.666700000000001</v>
      </c>
      <c r="W684">
        <v>47</v>
      </c>
      <c r="X684">
        <v>11</v>
      </c>
      <c r="Y684">
        <v>2</v>
      </c>
      <c r="Z684">
        <v>5</v>
      </c>
      <c r="AA684">
        <v>0</v>
      </c>
      <c r="AB684">
        <v>1</v>
      </c>
      <c r="AC684">
        <v>10</v>
      </c>
      <c r="AD684">
        <v>4.4000000000000004</v>
      </c>
      <c r="AE684">
        <v>8.4</v>
      </c>
      <c r="AF684" s="5">
        <v>0.47299999999999998</v>
      </c>
      <c r="AG684">
        <v>0.29699999999999999</v>
      </c>
      <c r="AH684">
        <v>1.54</v>
      </c>
      <c r="AI684">
        <v>5.42</v>
      </c>
      <c r="AJ684">
        <v>5.37</v>
      </c>
      <c r="AK684">
        <v>-0.1</v>
      </c>
      <c r="AL684">
        <v>0</v>
      </c>
      <c r="AM684">
        <v>8</v>
      </c>
      <c r="AN684">
        <v>11</v>
      </c>
      <c r="AO684">
        <v>9</v>
      </c>
      <c r="AP684">
        <v>13</v>
      </c>
      <c r="AQ684" t="s">
        <v>3096</v>
      </c>
      <c r="AR684">
        <v>21</v>
      </c>
      <c r="AS684" t="s">
        <v>35</v>
      </c>
      <c r="AT684" t="s">
        <v>35</v>
      </c>
      <c r="AU684" s="4">
        <f>HYPERLINK("http://mlb.mlb.com/team/player.jsp?player_id=643329",643329)</f>
        <v>643329</v>
      </c>
      <c r="AV684">
        <v>0</v>
      </c>
      <c r="AW684">
        <v>0</v>
      </c>
      <c r="AX684">
        <v>12</v>
      </c>
    </row>
    <row r="685" spans="1:50" x14ac:dyDescent="0.3">
      <c r="A685" s="4">
        <f>HYPERLINK("http://legacy.baseballprospectus.com/p/103426",103426)</f>
        <v>103426</v>
      </c>
      <c r="B685" t="s">
        <v>2436</v>
      </c>
      <c r="C685" t="s">
        <v>227</v>
      </c>
      <c r="D685" s="10">
        <v>33310</v>
      </c>
      <c r="E685" t="s">
        <v>33</v>
      </c>
      <c r="F685" t="s">
        <v>33</v>
      </c>
      <c r="G685">
        <v>72</v>
      </c>
      <c r="H685">
        <v>195</v>
      </c>
      <c r="I685">
        <v>2018</v>
      </c>
      <c r="J685" s="4" t="str">
        <f>HYPERLINK("http://legacy.baseballprospectus.com/fantasy/dc/index.php?tm=PHI","PHI")</f>
        <v>PHI</v>
      </c>
      <c r="K685" t="s">
        <v>100</v>
      </c>
      <c r="L685" t="s">
        <v>34</v>
      </c>
      <c r="M685">
        <v>27</v>
      </c>
      <c r="N685">
        <v>1.1000000000000001</v>
      </c>
      <c r="O685">
        <v>1.3</v>
      </c>
      <c r="P685">
        <v>1</v>
      </c>
      <c r="Q685">
        <v>0</v>
      </c>
      <c r="R685">
        <v>0</v>
      </c>
      <c r="S685">
        <v>0</v>
      </c>
      <c r="T685">
        <v>12</v>
      </c>
      <c r="U685">
        <v>2</v>
      </c>
      <c r="V685" s="9">
        <v>21.333300000000001</v>
      </c>
      <c r="W685">
        <v>93</v>
      </c>
      <c r="X685">
        <v>21</v>
      </c>
      <c r="Y685">
        <v>4</v>
      </c>
      <c r="Z685">
        <v>8</v>
      </c>
      <c r="AA685">
        <v>1</v>
      </c>
      <c r="AB685">
        <v>1</v>
      </c>
      <c r="AC685">
        <v>21</v>
      </c>
      <c r="AD685">
        <v>3.4</v>
      </c>
      <c r="AE685">
        <v>8.6999999999999993</v>
      </c>
      <c r="AF685" s="5">
        <v>0.44400000000000001</v>
      </c>
      <c r="AG685">
        <v>0.29699999999999999</v>
      </c>
      <c r="AH685">
        <v>1.38</v>
      </c>
      <c r="AI685">
        <v>4.8899999999999997</v>
      </c>
      <c r="AJ685">
        <v>4.9800000000000004</v>
      </c>
      <c r="AK685">
        <v>0.3</v>
      </c>
      <c r="AL685">
        <v>0</v>
      </c>
      <c r="AM685">
        <v>31</v>
      </c>
      <c r="AN685">
        <v>50</v>
      </c>
      <c r="AO685">
        <v>16</v>
      </c>
      <c r="AP685">
        <v>31</v>
      </c>
      <c r="AQ685" t="s">
        <v>2437</v>
      </c>
      <c r="AR685">
        <v>73</v>
      </c>
      <c r="AS685" t="s">
        <v>35</v>
      </c>
      <c r="AT685" t="s">
        <v>36</v>
      </c>
      <c r="AU685" s="4">
        <f>HYPERLINK("http://mlb.mlb.com/team/player.jsp?player_id=643410",643410)</f>
        <v>643410</v>
      </c>
      <c r="AV685">
        <v>1060</v>
      </c>
      <c r="AW685">
        <v>60</v>
      </c>
      <c r="AX685">
        <v>90.7</v>
      </c>
    </row>
    <row r="686" spans="1:50" x14ac:dyDescent="0.3">
      <c r="A686" s="4">
        <f>HYPERLINK("http://legacy.baseballprospectus.com/p/103580",103580)</f>
        <v>103580</v>
      </c>
      <c r="B686" t="s">
        <v>2121</v>
      </c>
      <c r="C686" t="s">
        <v>502</v>
      </c>
      <c r="D686" s="10">
        <v>34737</v>
      </c>
      <c r="E686" t="s">
        <v>33</v>
      </c>
      <c r="F686" t="s">
        <v>33</v>
      </c>
      <c r="G686">
        <v>74</v>
      </c>
      <c r="H686">
        <v>200</v>
      </c>
      <c r="I686">
        <v>2018</v>
      </c>
      <c r="J686" s="4" t="str">
        <f>HYPERLINK("http://legacy.baseballprospectus.com/fantasy/dc/index.php?tm=PHI","PHI")</f>
        <v>PHI</v>
      </c>
      <c r="K686" t="s">
        <v>100</v>
      </c>
      <c r="L686" t="s">
        <v>34</v>
      </c>
      <c r="M686">
        <v>23</v>
      </c>
      <c r="N686">
        <v>1.2</v>
      </c>
      <c r="O686">
        <v>1.3</v>
      </c>
      <c r="P686">
        <v>0</v>
      </c>
      <c r="Q686">
        <v>0</v>
      </c>
      <c r="R686">
        <v>0</v>
      </c>
      <c r="S686">
        <v>1</v>
      </c>
      <c r="T686">
        <v>25</v>
      </c>
      <c r="U686">
        <v>0</v>
      </c>
      <c r="V686" s="9">
        <v>26.666699999999999</v>
      </c>
      <c r="W686">
        <v>115</v>
      </c>
      <c r="X686">
        <v>27</v>
      </c>
      <c r="Y686">
        <v>5</v>
      </c>
      <c r="Z686">
        <v>10</v>
      </c>
      <c r="AA686">
        <v>1</v>
      </c>
      <c r="AB686">
        <v>1</v>
      </c>
      <c r="AC686">
        <v>28</v>
      </c>
      <c r="AD686">
        <v>3.4</v>
      </c>
      <c r="AE686">
        <v>9.4</v>
      </c>
      <c r="AF686" s="5">
        <v>0.39700000000000002</v>
      </c>
      <c r="AG686">
        <v>0.29699999999999999</v>
      </c>
      <c r="AH686">
        <v>1.38</v>
      </c>
      <c r="AI686">
        <v>5.15</v>
      </c>
      <c r="AJ686">
        <v>5.08</v>
      </c>
      <c r="AK686">
        <v>-0.2</v>
      </c>
      <c r="AL686">
        <v>0</v>
      </c>
      <c r="AM686">
        <v>4</v>
      </c>
      <c r="AN686">
        <v>8</v>
      </c>
      <c r="AO686">
        <v>7</v>
      </c>
      <c r="AP686">
        <v>13</v>
      </c>
      <c r="AQ686" t="s">
        <v>3097</v>
      </c>
      <c r="AR686">
        <v>17</v>
      </c>
      <c r="AS686" t="s">
        <v>35</v>
      </c>
      <c r="AT686" t="s">
        <v>35</v>
      </c>
      <c r="AU686" s="4">
        <f>HYPERLINK("http://mlb.mlb.com/team/player.jsp?player_id=644364",644364)</f>
        <v>644364</v>
      </c>
      <c r="AV686">
        <v>1336</v>
      </c>
      <c r="AW686">
        <v>336</v>
      </c>
      <c r="AX686">
        <v>10.7</v>
      </c>
    </row>
    <row r="687" spans="1:50" x14ac:dyDescent="0.3">
      <c r="A687" s="4">
        <f>HYPERLINK("http://legacy.baseballprospectus.com/p/103737",103737)</f>
        <v>103737</v>
      </c>
      <c r="B687" t="s">
        <v>1452</v>
      </c>
      <c r="C687" t="s">
        <v>1453</v>
      </c>
      <c r="D687" s="10">
        <v>31871</v>
      </c>
      <c r="E687" t="s">
        <v>33</v>
      </c>
      <c r="F687" t="s">
        <v>33</v>
      </c>
      <c r="G687">
        <v>72</v>
      </c>
      <c r="H687">
        <v>200</v>
      </c>
      <c r="I687">
        <v>2018</v>
      </c>
      <c r="J687" s="4" t="str">
        <f>HYPERLINK("http://legacy.baseballprospectus.com/fantasy/dc/index.php?tm=MIA","MIA")</f>
        <v>MIA</v>
      </c>
      <c r="K687" t="s">
        <v>100</v>
      </c>
      <c r="L687" t="s">
        <v>34</v>
      </c>
      <c r="M687">
        <v>31</v>
      </c>
      <c r="N687">
        <v>2.2999999999999998</v>
      </c>
      <c r="O687">
        <v>2.8</v>
      </c>
      <c r="P687">
        <v>0</v>
      </c>
      <c r="Q687">
        <v>0</v>
      </c>
      <c r="R687">
        <v>0</v>
      </c>
      <c r="S687">
        <v>0</v>
      </c>
      <c r="T687">
        <v>51</v>
      </c>
      <c r="U687">
        <v>0</v>
      </c>
      <c r="V687" s="9">
        <v>54.333300000000001</v>
      </c>
      <c r="W687">
        <v>237</v>
      </c>
      <c r="X687">
        <v>54</v>
      </c>
      <c r="Y687">
        <v>7</v>
      </c>
      <c r="Z687">
        <v>22</v>
      </c>
      <c r="AA687">
        <v>2</v>
      </c>
      <c r="AB687">
        <v>3</v>
      </c>
      <c r="AC687">
        <v>41</v>
      </c>
      <c r="AD687">
        <v>3.7</v>
      </c>
      <c r="AE687">
        <v>6.8</v>
      </c>
      <c r="AF687" s="5">
        <v>0.46899999999999997</v>
      </c>
      <c r="AG687">
        <v>0.29099999999999998</v>
      </c>
      <c r="AH687">
        <v>1.41</v>
      </c>
      <c r="AI687">
        <v>4.88</v>
      </c>
      <c r="AJ687">
        <v>4.9400000000000004</v>
      </c>
      <c r="AK687">
        <v>0.3</v>
      </c>
      <c r="AL687">
        <v>0</v>
      </c>
      <c r="AM687">
        <v>15</v>
      </c>
      <c r="AN687">
        <v>38</v>
      </c>
      <c r="AO687">
        <v>21</v>
      </c>
      <c r="AP687">
        <v>19</v>
      </c>
      <c r="AQ687" t="s">
        <v>2937</v>
      </c>
      <c r="AR687">
        <v>75</v>
      </c>
      <c r="AS687" t="s">
        <v>35</v>
      </c>
      <c r="AT687" t="s">
        <v>36</v>
      </c>
      <c r="AU687" s="4">
        <f>HYPERLINK("http://mlb.mlb.com/team/player.jsp?player_id=628333",628333)</f>
        <v>628333</v>
      </c>
      <c r="AV687">
        <v>1080</v>
      </c>
      <c r="AW687">
        <v>80</v>
      </c>
      <c r="AX687">
        <v>58.3</v>
      </c>
    </row>
    <row r="688" spans="1:50" x14ac:dyDescent="0.3">
      <c r="A688" s="4">
        <f>HYPERLINK("http://legacy.baseballprospectus.com/p/103789",103789)</f>
        <v>103789</v>
      </c>
      <c r="B688" t="s">
        <v>1583</v>
      </c>
      <c r="C688" t="s">
        <v>136</v>
      </c>
      <c r="D688" s="10">
        <v>34296</v>
      </c>
      <c r="E688" t="s">
        <v>9</v>
      </c>
      <c r="F688" t="s">
        <v>9</v>
      </c>
      <c r="G688">
        <v>77</v>
      </c>
      <c r="H688">
        <v>235</v>
      </c>
      <c r="I688">
        <v>2018</v>
      </c>
      <c r="J688" s="4" t="str">
        <f>HYPERLINK("http://legacy.baseballprospectus.com/fantasy/dc/index.php?tm=SLN","SLN")</f>
        <v>SLN</v>
      </c>
      <c r="K688" t="s">
        <v>100</v>
      </c>
      <c r="L688" t="s">
        <v>34</v>
      </c>
      <c r="M688">
        <v>24</v>
      </c>
      <c r="N688">
        <v>1.4</v>
      </c>
      <c r="O688">
        <v>1.8</v>
      </c>
      <c r="P688">
        <v>2</v>
      </c>
      <c r="Q688">
        <v>0</v>
      </c>
      <c r="R688">
        <v>0</v>
      </c>
      <c r="S688">
        <v>0</v>
      </c>
      <c r="T688">
        <v>5</v>
      </c>
      <c r="U688">
        <v>5</v>
      </c>
      <c r="V688" s="9">
        <v>25</v>
      </c>
      <c r="W688">
        <v>107</v>
      </c>
      <c r="X688">
        <v>25</v>
      </c>
      <c r="Y688">
        <v>5</v>
      </c>
      <c r="Z688">
        <v>9</v>
      </c>
      <c r="AA688">
        <v>1</v>
      </c>
      <c r="AB688">
        <v>1</v>
      </c>
      <c r="AC688">
        <v>24</v>
      </c>
      <c r="AD688">
        <v>3.1</v>
      </c>
      <c r="AE688">
        <v>8.6999999999999993</v>
      </c>
      <c r="AF688" s="5">
        <v>0.39600000000000002</v>
      </c>
      <c r="AG688">
        <v>0.29299999999999998</v>
      </c>
      <c r="AH688">
        <v>1.31</v>
      </c>
      <c r="AI688">
        <v>4.9400000000000004</v>
      </c>
      <c r="AJ688">
        <v>5.24</v>
      </c>
      <c r="AK688">
        <v>0.1</v>
      </c>
      <c r="AL688">
        <v>0</v>
      </c>
      <c r="AM688">
        <v>14</v>
      </c>
      <c r="AN688">
        <v>36</v>
      </c>
      <c r="AO688">
        <v>16</v>
      </c>
      <c r="AP688">
        <v>34</v>
      </c>
      <c r="AQ688" t="s">
        <v>2941</v>
      </c>
      <c r="AR688">
        <v>57</v>
      </c>
      <c r="AS688" t="s">
        <v>35</v>
      </c>
      <c r="AT688" t="s">
        <v>35</v>
      </c>
      <c r="AU688" s="4">
        <f>HYPERLINK("http://mlb.mlb.com/team/player.jsp?player_id=596295",596295)</f>
        <v>596295</v>
      </c>
      <c r="AV688">
        <v>1204</v>
      </c>
      <c r="AW688">
        <v>204</v>
      </c>
      <c r="AX688">
        <v>0</v>
      </c>
    </row>
    <row r="689" spans="1:50" x14ac:dyDescent="0.3">
      <c r="A689" s="4">
        <f>HYPERLINK("http://legacy.baseballprospectus.com/p/103791",103791)</f>
        <v>103791</v>
      </c>
      <c r="B689" t="s">
        <v>2942</v>
      </c>
      <c r="C689" t="s">
        <v>258</v>
      </c>
      <c r="D689" s="10">
        <v>33722</v>
      </c>
      <c r="E689" t="s">
        <v>33</v>
      </c>
      <c r="F689" t="s">
        <v>33</v>
      </c>
      <c r="G689">
        <v>74</v>
      </c>
      <c r="H689">
        <v>175</v>
      </c>
      <c r="I689">
        <v>2018</v>
      </c>
      <c r="J689" s="4" t="str">
        <f>HYPERLINK("http://legacy.baseballprospectus.com/fantasy/dc/index.php?tm=SFN","SFN")</f>
        <v>SFN</v>
      </c>
      <c r="K689" t="s">
        <v>100</v>
      </c>
      <c r="L689" t="s">
        <v>34</v>
      </c>
      <c r="M689">
        <v>26</v>
      </c>
      <c r="N689">
        <v>0.9</v>
      </c>
      <c r="O689">
        <v>1.1000000000000001</v>
      </c>
      <c r="P689">
        <v>1</v>
      </c>
      <c r="Q689">
        <v>0</v>
      </c>
      <c r="R689">
        <v>0</v>
      </c>
      <c r="S689">
        <v>0</v>
      </c>
      <c r="T689">
        <v>3</v>
      </c>
      <c r="U689">
        <v>3</v>
      </c>
      <c r="V689" s="9">
        <v>16</v>
      </c>
      <c r="W689">
        <v>69</v>
      </c>
      <c r="X689">
        <v>16</v>
      </c>
      <c r="Y689">
        <v>2</v>
      </c>
      <c r="Z689">
        <v>6</v>
      </c>
      <c r="AA689">
        <v>0</v>
      </c>
      <c r="AB689">
        <v>1</v>
      </c>
      <c r="AC689">
        <v>13</v>
      </c>
      <c r="AD689">
        <v>3.2</v>
      </c>
      <c r="AE689">
        <v>7.5</v>
      </c>
      <c r="AF689" s="5">
        <v>0.50800000000000001</v>
      </c>
      <c r="AG689">
        <v>0.29699999999999999</v>
      </c>
      <c r="AH689">
        <v>1.42</v>
      </c>
      <c r="AI689">
        <v>4.41</v>
      </c>
      <c r="AJ689">
        <v>5.24</v>
      </c>
      <c r="AK689">
        <v>0</v>
      </c>
      <c r="AL689">
        <v>0</v>
      </c>
      <c r="AM689">
        <v>12</v>
      </c>
      <c r="AN689">
        <v>26</v>
      </c>
      <c r="AO689">
        <v>5</v>
      </c>
      <c r="AP689">
        <v>24</v>
      </c>
      <c r="AQ689" t="s">
        <v>2943</v>
      </c>
      <c r="AR689">
        <v>33</v>
      </c>
      <c r="AS689" t="s">
        <v>35</v>
      </c>
      <c r="AT689" t="s">
        <v>35</v>
      </c>
      <c r="AU689" s="4">
        <f>HYPERLINK("http://mlb.mlb.com/team/player.jsp?player_id=600355",600355)</f>
        <v>600355</v>
      </c>
      <c r="AV689">
        <v>0</v>
      </c>
      <c r="AW689">
        <v>0</v>
      </c>
      <c r="AX689">
        <v>0</v>
      </c>
    </row>
    <row r="690" spans="1:50" x14ac:dyDescent="0.3">
      <c r="A690" s="4">
        <f>HYPERLINK("http://legacy.baseballprospectus.com/p/103809",103809)</f>
        <v>103809</v>
      </c>
      <c r="B690" t="s">
        <v>1504</v>
      </c>
      <c r="C690" t="s">
        <v>1400</v>
      </c>
      <c r="D690" s="10">
        <v>33865</v>
      </c>
      <c r="E690" t="s">
        <v>33</v>
      </c>
      <c r="F690" t="s">
        <v>33</v>
      </c>
      <c r="G690">
        <v>75</v>
      </c>
      <c r="H690">
        <v>215</v>
      </c>
      <c r="I690">
        <v>2018</v>
      </c>
      <c r="J690" s="4" t="str">
        <f>HYPERLINK("http://legacy.baseballprospectus.com/fantasy/dc/index.php?tm=DET","DET")</f>
        <v>DET</v>
      </c>
      <c r="K690" t="s">
        <v>95</v>
      </c>
      <c r="L690" t="s">
        <v>34</v>
      </c>
      <c r="M690">
        <v>25</v>
      </c>
      <c r="N690">
        <v>0.8</v>
      </c>
      <c r="O690">
        <v>1.3</v>
      </c>
      <c r="P690">
        <v>1</v>
      </c>
      <c r="Q690">
        <v>0</v>
      </c>
      <c r="R690">
        <v>0</v>
      </c>
      <c r="S690">
        <v>0</v>
      </c>
      <c r="T690">
        <v>3</v>
      </c>
      <c r="U690">
        <v>3</v>
      </c>
      <c r="V690" s="9">
        <v>16</v>
      </c>
      <c r="W690">
        <v>72</v>
      </c>
      <c r="X690">
        <v>17</v>
      </c>
      <c r="Y690">
        <v>3</v>
      </c>
      <c r="Z690">
        <v>7</v>
      </c>
      <c r="AA690">
        <v>0</v>
      </c>
      <c r="AB690">
        <v>1</v>
      </c>
      <c r="AC690">
        <v>13</v>
      </c>
      <c r="AD690">
        <v>3.8</v>
      </c>
      <c r="AE690">
        <v>7.4</v>
      </c>
      <c r="AF690" s="5">
        <v>0.48299999999999998</v>
      </c>
      <c r="AG690">
        <v>0.29599999999999999</v>
      </c>
      <c r="AH690">
        <v>1.57</v>
      </c>
      <c r="AI690">
        <v>5.44</v>
      </c>
      <c r="AJ690">
        <v>5.63</v>
      </c>
      <c r="AK690">
        <v>-0.2</v>
      </c>
      <c r="AL690">
        <v>0</v>
      </c>
      <c r="AM690">
        <v>11</v>
      </c>
      <c r="AN690">
        <v>17</v>
      </c>
      <c r="AO690">
        <v>8</v>
      </c>
      <c r="AP690">
        <v>20</v>
      </c>
      <c r="AQ690" t="s">
        <v>3098</v>
      </c>
      <c r="AR690">
        <v>29</v>
      </c>
      <c r="AS690" t="s">
        <v>35</v>
      </c>
      <c r="AT690" t="s">
        <v>35</v>
      </c>
      <c r="AU690" s="4">
        <f>HYPERLINK("http://mlb.mlb.com/team/player.jsp?player_id=605513",605513)</f>
        <v>605513</v>
      </c>
      <c r="AV690">
        <v>173</v>
      </c>
      <c r="AW690">
        <v>1173</v>
      </c>
      <c r="AX690">
        <v>0</v>
      </c>
    </row>
    <row r="691" spans="1:50" x14ac:dyDescent="0.3">
      <c r="A691" s="4">
        <f>HYPERLINK("http://legacy.baseballprospectus.com/p/101608",101608)</f>
        <v>101608</v>
      </c>
      <c r="B691" t="s">
        <v>1602</v>
      </c>
      <c r="C691" t="s">
        <v>102</v>
      </c>
      <c r="D691" s="10">
        <v>35156</v>
      </c>
      <c r="E691" t="s">
        <v>33</v>
      </c>
      <c r="F691" t="s">
        <v>33</v>
      </c>
      <c r="G691">
        <v>76</v>
      </c>
      <c r="H691">
        <v>220</v>
      </c>
      <c r="I691">
        <v>2018</v>
      </c>
      <c r="J691" s="4" t="str">
        <f>HYPERLINK("http://legacy.baseballprospectus.com/fantasy/dc/index.php?tm=COL","COL")</f>
        <v>COL</v>
      </c>
      <c r="K691" t="s">
        <v>100</v>
      </c>
      <c r="L691" t="s">
        <v>34</v>
      </c>
      <c r="M691">
        <v>22</v>
      </c>
      <c r="N691">
        <v>8.1</v>
      </c>
      <c r="O691">
        <v>8.8000000000000007</v>
      </c>
      <c r="P691">
        <v>10.199999999999999</v>
      </c>
      <c r="Q691">
        <v>0</v>
      </c>
      <c r="R691">
        <v>0</v>
      </c>
      <c r="S691">
        <v>0</v>
      </c>
      <c r="T691">
        <v>25.4</v>
      </c>
      <c r="U691">
        <v>25.4</v>
      </c>
      <c r="V691" s="9">
        <v>133.66669999999999</v>
      </c>
      <c r="W691">
        <v>576</v>
      </c>
      <c r="X691">
        <v>151</v>
      </c>
      <c r="Y691">
        <v>27</v>
      </c>
      <c r="Z691">
        <v>49</v>
      </c>
      <c r="AA691" t="s">
        <v>1680</v>
      </c>
      <c r="AB691">
        <v>4</v>
      </c>
      <c r="AC691">
        <v>126</v>
      </c>
      <c r="AD691">
        <v>3.3</v>
      </c>
      <c r="AE691">
        <v>8.5</v>
      </c>
      <c r="AF691" s="5">
        <v>0.455197393894195</v>
      </c>
      <c r="AG691">
        <v>0.33400000000000002</v>
      </c>
      <c r="AH691">
        <v>1.49</v>
      </c>
      <c r="AI691">
        <v>5.0999999999999996</v>
      </c>
      <c r="AJ691">
        <v>5.62</v>
      </c>
      <c r="AK691">
        <v>0</v>
      </c>
      <c r="AL691">
        <v>0</v>
      </c>
      <c r="AM691">
        <v>20</v>
      </c>
      <c r="AN691">
        <v>29</v>
      </c>
      <c r="AO691">
        <v>5</v>
      </c>
      <c r="AP691">
        <v>21</v>
      </c>
      <c r="AQ691" t="s">
        <v>2385</v>
      </c>
      <c r="AR691">
        <v>39</v>
      </c>
      <c r="AS691" t="s">
        <v>36</v>
      </c>
      <c r="AT691" t="s">
        <v>35</v>
      </c>
      <c r="AU691" s="4">
        <f>HYPERLINK("http://mlb.mlb.com/team/player.jsp?player_id=624418",624418)</f>
        <v>624418</v>
      </c>
      <c r="AV691">
        <v>1219</v>
      </c>
      <c r="AW691">
        <v>219</v>
      </c>
      <c r="AX691">
        <v>0</v>
      </c>
    </row>
    <row r="692" spans="1:50" x14ac:dyDescent="0.3">
      <c r="A692" s="4">
        <f>HYPERLINK("http://legacy.baseballprospectus.com/p/101785",101785)</f>
        <v>101785</v>
      </c>
      <c r="B692" t="s">
        <v>359</v>
      </c>
      <c r="C692" t="s">
        <v>2222</v>
      </c>
      <c r="D692" s="10">
        <v>32722</v>
      </c>
      <c r="E692" t="s">
        <v>9</v>
      </c>
      <c r="F692" t="s">
        <v>9</v>
      </c>
      <c r="G692">
        <v>75</v>
      </c>
      <c r="H692">
        <v>225</v>
      </c>
      <c r="I692">
        <v>2018</v>
      </c>
      <c r="J692" s="4" t="str">
        <f>HYPERLINK("http://legacy.baseballprospectus.com/fantasy/dc/index.php?tm=KCA","KCA")</f>
        <v>KCA</v>
      </c>
      <c r="K692" t="s">
        <v>95</v>
      </c>
      <c r="L692" t="s">
        <v>34</v>
      </c>
      <c r="M692">
        <v>28</v>
      </c>
      <c r="N692">
        <v>0.7</v>
      </c>
      <c r="O692">
        <v>0.2</v>
      </c>
      <c r="P692">
        <v>0</v>
      </c>
      <c r="Q692">
        <v>0</v>
      </c>
      <c r="R692">
        <v>0</v>
      </c>
      <c r="S692">
        <v>0</v>
      </c>
      <c r="T692">
        <v>14.7</v>
      </c>
      <c r="U692">
        <v>0</v>
      </c>
      <c r="V692" s="9">
        <v>15.666700000000001</v>
      </c>
      <c r="W692">
        <v>71</v>
      </c>
      <c r="X692">
        <v>18</v>
      </c>
      <c r="Y692">
        <v>2</v>
      </c>
      <c r="Z692">
        <v>7</v>
      </c>
      <c r="AA692" t="s">
        <v>1680</v>
      </c>
      <c r="AB692">
        <v>1</v>
      </c>
      <c r="AC692">
        <v>13</v>
      </c>
      <c r="AD692">
        <v>4.2</v>
      </c>
      <c r="AE692">
        <v>7.8</v>
      </c>
      <c r="AF692" s="5">
        <v>0.46416717767715399</v>
      </c>
      <c r="AG692">
        <v>0.32100000000000001</v>
      </c>
      <c r="AH692">
        <v>1.59</v>
      </c>
      <c r="AI692">
        <v>5.1100000000000003</v>
      </c>
      <c r="AJ692">
        <v>5.35</v>
      </c>
      <c r="AK692">
        <v>-0.2</v>
      </c>
      <c r="AL692">
        <v>0</v>
      </c>
      <c r="AM692">
        <v>10</v>
      </c>
      <c r="AN692">
        <v>19</v>
      </c>
      <c r="AO692">
        <v>17</v>
      </c>
      <c r="AP692">
        <v>24</v>
      </c>
      <c r="AQ692" t="s">
        <v>3077</v>
      </c>
      <c r="AR692">
        <v>38</v>
      </c>
      <c r="AS692" t="s">
        <v>36</v>
      </c>
      <c r="AT692" t="s">
        <v>35</v>
      </c>
      <c r="AU692" s="4">
        <f>HYPERLINK("http://mlb.mlb.com/team/player.jsp?player_id=607162",607162)</f>
        <v>607162</v>
      </c>
      <c r="AV692">
        <v>0</v>
      </c>
      <c r="AW692">
        <v>0</v>
      </c>
      <c r="AX692">
        <v>6</v>
      </c>
    </row>
    <row r="693" spans="1:50" x14ac:dyDescent="0.3">
      <c r="A693" s="4">
        <f>HYPERLINK("http://legacy.baseballprospectus.com/p/101993",101993)</f>
        <v>101993</v>
      </c>
      <c r="B693" t="s">
        <v>827</v>
      </c>
      <c r="C693" t="s">
        <v>434</v>
      </c>
      <c r="D693" s="10">
        <v>34677</v>
      </c>
      <c r="E693" t="s">
        <v>33</v>
      </c>
      <c r="F693" t="s">
        <v>33</v>
      </c>
      <c r="G693">
        <v>75</v>
      </c>
      <c r="H693">
        <v>175</v>
      </c>
      <c r="I693">
        <v>2018</v>
      </c>
      <c r="J693" s="4" t="str">
        <f>HYPERLINK("http://legacy.baseballprospectus.com/fantasy/dc/index.php?tm=BAL","BAL")</f>
        <v>BAL</v>
      </c>
      <c r="K693" t="s">
        <v>95</v>
      </c>
      <c r="L693" t="s">
        <v>34</v>
      </c>
      <c r="M693">
        <v>23</v>
      </c>
      <c r="N693">
        <v>1.9</v>
      </c>
      <c r="O693">
        <v>2.8</v>
      </c>
      <c r="P693">
        <v>2.8</v>
      </c>
      <c r="Q693">
        <v>0</v>
      </c>
      <c r="R693">
        <v>0</v>
      </c>
      <c r="S693">
        <v>0</v>
      </c>
      <c r="T693">
        <v>8.1</v>
      </c>
      <c r="U693">
        <v>8.1</v>
      </c>
      <c r="V693" s="9">
        <v>33.333300000000001</v>
      </c>
      <c r="W693">
        <v>150</v>
      </c>
      <c r="X693">
        <v>35</v>
      </c>
      <c r="Y693">
        <v>7</v>
      </c>
      <c r="Z693">
        <v>16</v>
      </c>
      <c r="AA693" t="s">
        <v>1680</v>
      </c>
      <c r="AB693">
        <v>2</v>
      </c>
      <c r="AC693">
        <v>37</v>
      </c>
      <c r="AD693">
        <v>4.3</v>
      </c>
      <c r="AE693">
        <v>9.8000000000000007</v>
      </c>
      <c r="AF693" s="5">
        <v>0.38925990462303101</v>
      </c>
      <c r="AG693">
        <v>0.312</v>
      </c>
      <c r="AH693">
        <v>1.53</v>
      </c>
      <c r="AI693">
        <v>5.67</v>
      </c>
      <c r="AJ693">
        <v>5.75</v>
      </c>
      <c r="AK693">
        <v>-0.2</v>
      </c>
      <c r="AL693">
        <v>0</v>
      </c>
      <c r="AM693">
        <v>9</v>
      </c>
      <c r="AN693">
        <v>14</v>
      </c>
      <c r="AO693">
        <v>3</v>
      </c>
      <c r="AP693">
        <v>15</v>
      </c>
      <c r="AQ693" t="s">
        <v>3390</v>
      </c>
      <c r="AR693">
        <v>21</v>
      </c>
      <c r="AS693" t="s">
        <v>36</v>
      </c>
      <c r="AT693" t="s">
        <v>35</v>
      </c>
      <c r="AU693" s="4">
        <f>HYPERLINK("http://mlb.mlb.com/team/player.jsp?player_id=640451",640451)</f>
        <v>640451</v>
      </c>
      <c r="AV693">
        <v>141</v>
      </c>
      <c r="AW693">
        <v>1141</v>
      </c>
      <c r="AX693">
        <v>0</v>
      </c>
    </row>
    <row r="694" spans="1:50" x14ac:dyDescent="0.3">
      <c r="A694" s="4">
        <f>HYPERLINK("http://legacy.baseballprospectus.com/p/102199",102199)</f>
        <v>102199</v>
      </c>
      <c r="B694" t="s">
        <v>2587</v>
      </c>
      <c r="C694" t="s">
        <v>2588</v>
      </c>
      <c r="D694" s="10">
        <v>33719</v>
      </c>
      <c r="E694" t="s">
        <v>9</v>
      </c>
      <c r="F694" t="s">
        <v>9</v>
      </c>
      <c r="G694">
        <v>74</v>
      </c>
      <c r="H694">
        <v>185</v>
      </c>
      <c r="I694">
        <v>2018</v>
      </c>
      <c r="J694" s="4" t="str">
        <f>HYPERLINK("http://legacy.baseballprospectus.com/fantasy/dc/index.php?tm=MIL","MIL")</f>
        <v>MIL</v>
      </c>
      <c r="K694" t="s">
        <v>100</v>
      </c>
      <c r="L694" t="s">
        <v>34</v>
      </c>
      <c r="M694">
        <v>26</v>
      </c>
      <c r="N694">
        <v>3.4</v>
      </c>
      <c r="O694">
        <v>3.3</v>
      </c>
      <c r="P694">
        <v>3.7</v>
      </c>
      <c r="Q694">
        <v>0</v>
      </c>
      <c r="R694">
        <v>0.1</v>
      </c>
      <c r="S694">
        <v>0</v>
      </c>
      <c r="T694">
        <v>20.399999999999999</v>
      </c>
      <c r="U694">
        <v>8.8000000000000007</v>
      </c>
      <c r="V694" s="9">
        <v>60</v>
      </c>
      <c r="W694">
        <v>254</v>
      </c>
      <c r="X694">
        <v>65</v>
      </c>
      <c r="Y694">
        <v>11</v>
      </c>
      <c r="Z694">
        <v>21</v>
      </c>
      <c r="AA694" t="s">
        <v>1680</v>
      </c>
      <c r="AB694">
        <v>1</v>
      </c>
      <c r="AC694">
        <v>53</v>
      </c>
      <c r="AD694">
        <v>3.1</v>
      </c>
      <c r="AE694">
        <v>7.9</v>
      </c>
      <c r="AF694" s="5">
        <v>0.44088694453239402</v>
      </c>
      <c r="AG694">
        <v>0.31900000000000001</v>
      </c>
      <c r="AH694">
        <v>1.42</v>
      </c>
      <c r="AI694">
        <v>4.92</v>
      </c>
      <c r="AJ694">
        <v>5.52</v>
      </c>
      <c r="AK694">
        <v>0.1</v>
      </c>
      <c r="AL694">
        <v>0</v>
      </c>
      <c r="AM694">
        <v>19</v>
      </c>
      <c r="AN694">
        <v>31</v>
      </c>
      <c r="AO694">
        <v>17</v>
      </c>
      <c r="AP694">
        <v>36</v>
      </c>
      <c r="AQ694" t="s">
        <v>2589</v>
      </c>
      <c r="AR694">
        <v>52</v>
      </c>
      <c r="AS694" t="s">
        <v>36</v>
      </c>
      <c r="AT694" t="s">
        <v>35</v>
      </c>
      <c r="AU694" s="4">
        <f>HYPERLINK("http://mlb.mlb.com/team/player.jsp?player_id=623913",623913)</f>
        <v>623913</v>
      </c>
      <c r="AV694">
        <v>1355</v>
      </c>
      <c r="AW694">
        <v>355</v>
      </c>
      <c r="AX694">
        <v>1.3</v>
      </c>
    </row>
    <row r="695" spans="1:50" x14ac:dyDescent="0.3">
      <c r="A695" s="4">
        <f>HYPERLINK("http://legacy.baseballprospectus.com/p/103916",103916)</f>
        <v>103916</v>
      </c>
      <c r="B695" t="s">
        <v>2140</v>
      </c>
      <c r="C695" t="s">
        <v>344</v>
      </c>
      <c r="D695" s="10">
        <v>33719</v>
      </c>
      <c r="E695" t="s">
        <v>33</v>
      </c>
      <c r="F695" t="s">
        <v>33</v>
      </c>
      <c r="G695">
        <v>76</v>
      </c>
      <c r="H695">
        <v>202</v>
      </c>
      <c r="I695">
        <v>2018</v>
      </c>
      <c r="J695" s="4" t="str">
        <f>HYPERLINK("http://legacy.baseballprospectus.com/fantasy/dc/index.php?tm=CHN","CHN")</f>
        <v>CHN</v>
      </c>
      <c r="K695" t="s">
        <v>100</v>
      </c>
      <c r="L695" t="s">
        <v>34</v>
      </c>
      <c r="M695">
        <v>26</v>
      </c>
      <c r="N695">
        <v>2.2000000000000002</v>
      </c>
      <c r="O695">
        <v>2.2000000000000002</v>
      </c>
      <c r="P695">
        <v>2.6</v>
      </c>
      <c r="Q695">
        <v>0</v>
      </c>
      <c r="R695">
        <v>0</v>
      </c>
      <c r="S695">
        <v>0</v>
      </c>
      <c r="T695">
        <v>6.6</v>
      </c>
      <c r="U695">
        <v>6.6</v>
      </c>
      <c r="V695" s="9">
        <v>34.666699999999999</v>
      </c>
      <c r="W695">
        <v>150</v>
      </c>
      <c r="X695">
        <v>35</v>
      </c>
      <c r="Y695">
        <v>6</v>
      </c>
      <c r="Z695">
        <v>16</v>
      </c>
      <c r="AA695" t="s">
        <v>1680</v>
      </c>
      <c r="AB695">
        <v>2</v>
      </c>
      <c r="AC695">
        <v>32</v>
      </c>
      <c r="AD695">
        <v>4.2</v>
      </c>
      <c r="AE695">
        <v>8.1999999999999993</v>
      </c>
      <c r="AF695" s="5">
        <v>0.47168073058128301</v>
      </c>
      <c r="AG695">
        <v>0.313</v>
      </c>
      <c r="AH695">
        <v>1.48</v>
      </c>
      <c r="AI695">
        <v>5.1100000000000003</v>
      </c>
      <c r="AJ695">
        <v>5.62</v>
      </c>
      <c r="AK695">
        <v>0</v>
      </c>
      <c r="AL695">
        <v>0</v>
      </c>
      <c r="AM695">
        <v>4</v>
      </c>
      <c r="AN695">
        <v>13</v>
      </c>
      <c r="AO695">
        <v>1</v>
      </c>
      <c r="AP695">
        <v>10</v>
      </c>
      <c r="AQ695" t="s">
        <v>3119</v>
      </c>
      <c r="AR695">
        <v>14</v>
      </c>
      <c r="AS695" t="s">
        <v>36</v>
      </c>
      <c r="AT695" t="s">
        <v>35</v>
      </c>
      <c r="AU695" s="4">
        <f>HYPERLINK("http://mlb.mlb.com/team/player.jsp?player_id=642109",642109)</f>
        <v>642109</v>
      </c>
      <c r="AV695">
        <v>0</v>
      </c>
      <c r="AW695">
        <v>0</v>
      </c>
      <c r="AX695">
        <v>0</v>
      </c>
    </row>
    <row r="696" spans="1:50" x14ac:dyDescent="0.3">
      <c r="A696" s="4">
        <f>HYPERLINK("http://legacy.baseballprospectus.com/p/104483",104483)</f>
        <v>104483</v>
      </c>
      <c r="B696" t="s">
        <v>237</v>
      </c>
      <c r="C696" t="s">
        <v>2225</v>
      </c>
      <c r="D696" s="10">
        <v>34352</v>
      </c>
      <c r="E696" t="s">
        <v>33</v>
      </c>
      <c r="F696" t="s">
        <v>33</v>
      </c>
      <c r="G696">
        <v>75</v>
      </c>
      <c r="H696">
        <v>240</v>
      </c>
      <c r="I696">
        <v>2018</v>
      </c>
      <c r="J696" s="4" t="str">
        <f>HYPERLINK("http://legacy.baseballprospectus.com/fantasy/dc/index.php?tm=TBA","TBA")</f>
        <v>TBA</v>
      </c>
      <c r="K696" t="s">
        <v>95</v>
      </c>
      <c r="L696" t="s">
        <v>34</v>
      </c>
      <c r="M696">
        <v>24</v>
      </c>
      <c r="N696">
        <v>0.9</v>
      </c>
      <c r="O696">
        <v>0.8</v>
      </c>
      <c r="P696">
        <v>0</v>
      </c>
      <c r="Q696">
        <v>0</v>
      </c>
      <c r="R696">
        <v>0</v>
      </c>
      <c r="S696">
        <v>0</v>
      </c>
      <c r="T696">
        <v>16</v>
      </c>
      <c r="U696">
        <v>0</v>
      </c>
      <c r="V696" s="9">
        <v>17</v>
      </c>
      <c r="W696">
        <v>75</v>
      </c>
      <c r="X696">
        <v>17</v>
      </c>
      <c r="Y696">
        <v>3</v>
      </c>
      <c r="Z696">
        <v>7</v>
      </c>
      <c r="AA696">
        <v>1</v>
      </c>
      <c r="AB696">
        <v>1</v>
      </c>
      <c r="AC696">
        <v>18</v>
      </c>
      <c r="AD696">
        <v>3.9</v>
      </c>
      <c r="AE696">
        <v>9.4</v>
      </c>
      <c r="AF696" s="5">
        <v>0.45</v>
      </c>
      <c r="AG696">
        <v>0.29799999999999999</v>
      </c>
      <c r="AH696">
        <v>1.43</v>
      </c>
      <c r="AI696">
        <v>4.9000000000000004</v>
      </c>
      <c r="AJ696">
        <v>5.25</v>
      </c>
      <c r="AK696">
        <v>0</v>
      </c>
      <c r="AL696">
        <v>0</v>
      </c>
      <c r="AM696">
        <v>12</v>
      </c>
      <c r="AN696">
        <v>12</v>
      </c>
      <c r="AO696">
        <v>5</v>
      </c>
      <c r="AP696">
        <v>11</v>
      </c>
      <c r="AQ696" t="s">
        <v>3102</v>
      </c>
      <c r="AR696">
        <v>17</v>
      </c>
      <c r="AS696" t="s">
        <v>35</v>
      </c>
      <c r="AT696" t="s">
        <v>35</v>
      </c>
      <c r="AU696" s="4">
        <f>HYPERLINK("http://mlb.mlb.com/team/player.jsp?player_id=650895",650895)</f>
        <v>650895</v>
      </c>
      <c r="AV696">
        <v>0</v>
      </c>
      <c r="AW696">
        <v>0</v>
      </c>
      <c r="AX696">
        <v>0</v>
      </c>
    </row>
    <row r="697" spans="1:50" x14ac:dyDescent="0.3">
      <c r="A697" s="4">
        <f>HYPERLINK("http://legacy.baseballprospectus.com/p/104717",104717)</f>
        <v>104717</v>
      </c>
      <c r="B697" t="s">
        <v>101</v>
      </c>
      <c r="C697" t="s">
        <v>1400</v>
      </c>
      <c r="D697" s="10">
        <v>35168</v>
      </c>
      <c r="E697" t="s">
        <v>33</v>
      </c>
      <c r="F697" t="s">
        <v>33</v>
      </c>
      <c r="G697">
        <v>75</v>
      </c>
      <c r="H697">
        <v>171</v>
      </c>
      <c r="I697">
        <v>2018</v>
      </c>
      <c r="J697" s="4" t="str">
        <f>HYPERLINK("http://legacy.baseballprospectus.com/fantasy/dc/index.php?tm=CHA","CHA")</f>
        <v>CHA</v>
      </c>
      <c r="K697" t="s">
        <v>95</v>
      </c>
      <c r="L697" t="s">
        <v>34</v>
      </c>
      <c r="M697">
        <v>22</v>
      </c>
      <c r="N697">
        <v>0.8</v>
      </c>
      <c r="O697">
        <v>1.2</v>
      </c>
      <c r="P697">
        <v>1</v>
      </c>
      <c r="Q697">
        <v>0</v>
      </c>
      <c r="R697">
        <v>0</v>
      </c>
      <c r="S697">
        <v>0</v>
      </c>
      <c r="T697">
        <v>3</v>
      </c>
      <c r="U697">
        <v>3</v>
      </c>
      <c r="V697" s="9">
        <v>15</v>
      </c>
      <c r="W697">
        <v>67</v>
      </c>
      <c r="X697">
        <v>17</v>
      </c>
      <c r="Y697">
        <v>3</v>
      </c>
      <c r="Z697">
        <v>5</v>
      </c>
      <c r="AA697">
        <v>0</v>
      </c>
      <c r="AB697">
        <v>0</v>
      </c>
      <c r="AC697">
        <v>12</v>
      </c>
      <c r="AD697">
        <v>3</v>
      </c>
      <c r="AE697">
        <v>7.4</v>
      </c>
      <c r="AF697" s="5">
        <v>0.45500000000000002</v>
      </c>
      <c r="AG697">
        <v>0.29499999999999998</v>
      </c>
      <c r="AH697">
        <v>1.5</v>
      </c>
      <c r="AI697">
        <v>5.43</v>
      </c>
      <c r="AJ697">
        <v>5.8</v>
      </c>
      <c r="AK697">
        <v>-0.4</v>
      </c>
      <c r="AL697">
        <v>0</v>
      </c>
      <c r="AM697">
        <v>12</v>
      </c>
      <c r="AN697">
        <v>15</v>
      </c>
      <c r="AO697">
        <v>4</v>
      </c>
      <c r="AP697">
        <v>16</v>
      </c>
      <c r="AQ697" t="s">
        <v>2946</v>
      </c>
      <c r="AR697">
        <v>21</v>
      </c>
      <c r="AS697" t="s">
        <v>35</v>
      </c>
      <c r="AT697" t="s">
        <v>35</v>
      </c>
      <c r="AU697" s="4">
        <f>HYPERLINK("http://mlb.mlb.com/team/player.jsp?player_id=656181",656181)</f>
        <v>656181</v>
      </c>
      <c r="AV697">
        <v>159</v>
      </c>
      <c r="AW697">
        <v>1159</v>
      </c>
      <c r="AX697">
        <v>0</v>
      </c>
    </row>
    <row r="698" spans="1:50" x14ac:dyDescent="0.3">
      <c r="A698" s="4">
        <f>HYPERLINK("http://legacy.baseballprospectus.com/p/104816",104816)</f>
        <v>104816</v>
      </c>
      <c r="B698" t="s">
        <v>1513</v>
      </c>
      <c r="C698" t="s">
        <v>491</v>
      </c>
      <c r="D698" s="10">
        <v>35159</v>
      </c>
      <c r="E698" t="s">
        <v>33</v>
      </c>
      <c r="F698" t="s">
        <v>33</v>
      </c>
      <c r="G698">
        <v>75</v>
      </c>
      <c r="H698">
        <v>195</v>
      </c>
      <c r="I698">
        <v>2018</v>
      </c>
      <c r="J698" s="4" t="str">
        <f>HYPERLINK("http://legacy.baseballprospectus.com/fantasy/dc/index.php?tm=PIT","PIT")</f>
        <v>PIT</v>
      </c>
      <c r="K698" t="s">
        <v>100</v>
      </c>
      <c r="L698" t="s">
        <v>34</v>
      </c>
      <c r="M698">
        <v>22</v>
      </c>
      <c r="N698">
        <v>1.6</v>
      </c>
      <c r="O698">
        <v>2.4</v>
      </c>
      <c r="P698">
        <v>2</v>
      </c>
      <c r="Q698">
        <v>0</v>
      </c>
      <c r="R698">
        <v>0</v>
      </c>
      <c r="S698">
        <v>0</v>
      </c>
      <c r="T698">
        <v>6</v>
      </c>
      <c r="U698">
        <v>6</v>
      </c>
      <c r="V698" s="9">
        <v>31.666699999999999</v>
      </c>
      <c r="W698">
        <v>139</v>
      </c>
      <c r="X698">
        <v>32</v>
      </c>
      <c r="Y698">
        <v>6</v>
      </c>
      <c r="Z698">
        <v>13</v>
      </c>
      <c r="AA698">
        <v>1</v>
      </c>
      <c r="AB698">
        <v>2</v>
      </c>
      <c r="AC698">
        <v>31</v>
      </c>
      <c r="AD698">
        <v>3.6</v>
      </c>
      <c r="AE698">
        <v>8.9</v>
      </c>
      <c r="AF698" s="5">
        <v>0.45600000000000002</v>
      </c>
      <c r="AG698">
        <v>0.29499999999999998</v>
      </c>
      <c r="AH698">
        <v>1.4</v>
      </c>
      <c r="AI698">
        <v>4.99</v>
      </c>
      <c r="AJ698">
        <v>5.38</v>
      </c>
      <c r="AK698">
        <v>-0.4</v>
      </c>
      <c r="AL698">
        <v>0</v>
      </c>
      <c r="AM698">
        <v>14</v>
      </c>
      <c r="AN698">
        <v>28</v>
      </c>
      <c r="AO698">
        <v>7</v>
      </c>
      <c r="AP698">
        <v>20</v>
      </c>
      <c r="AQ698" t="s">
        <v>2803</v>
      </c>
      <c r="AR698">
        <v>46</v>
      </c>
      <c r="AS698" t="s">
        <v>35</v>
      </c>
      <c r="AT698" t="s">
        <v>35</v>
      </c>
      <c r="AU698" s="4">
        <f>HYPERLINK("http://mlb.mlb.com/team/player.jsp?player_id=656605",656605)</f>
        <v>656605</v>
      </c>
      <c r="AV698">
        <v>1196</v>
      </c>
      <c r="AW698">
        <v>196</v>
      </c>
      <c r="AX698">
        <v>0</v>
      </c>
    </row>
    <row r="699" spans="1:50" x14ac:dyDescent="0.3">
      <c r="A699" s="4">
        <f>HYPERLINK("http://legacy.baseballprospectus.com/p/104902",104902)</f>
        <v>104902</v>
      </c>
      <c r="B699" t="s">
        <v>1502</v>
      </c>
      <c r="C699" t="s">
        <v>1503</v>
      </c>
      <c r="D699" s="10">
        <v>35198</v>
      </c>
      <c r="E699" t="s">
        <v>9</v>
      </c>
      <c r="F699" t="s">
        <v>9</v>
      </c>
      <c r="G699">
        <v>71</v>
      </c>
      <c r="H699">
        <v>200</v>
      </c>
      <c r="I699">
        <v>2018</v>
      </c>
      <c r="J699" s="4" t="str">
        <f>HYPERLINK("http://legacy.baseballprospectus.com/fantasy/dc/index.php?tm=NYA","NYA")</f>
        <v>NYA</v>
      </c>
      <c r="K699" t="s">
        <v>95</v>
      </c>
      <c r="L699" t="s">
        <v>34</v>
      </c>
      <c r="M699">
        <v>22</v>
      </c>
      <c r="N699">
        <v>1</v>
      </c>
      <c r="O699">
        <v>0.9</v>
      </c>
      <c r="P699">
        <v>1</v>
      </c>
      <c r="Q699">
        <v>0</v>
      </c>
      <c r="R699">
        <v>0</v>
      </c>
      <c r="S699">
        <v>0</v>
      </c>
      <c r="T699">
        <v>3</v>
      </c>
      <c r="U699">
        <v>3</v>
      </c>
      <c r="V699" s="9">
        <v>15</v>
      </c>
      <c r="W699">
        <v>67</v>
      </c>
      <c r="X699">
        <v>16</v>
      </c>
      <c r="Y699">
        <v>3</v>
      </c>
      <c r="Z699">
        <v>6</v>
      </c>
      <c r="AA699">
        <v>0</v>
      </c>
      <c r="AB699">
        <v>0</v>
      </c>
      <c r="AC699">
        <v>15</v>
      </c>
      <c r="AD699">
        <v>3.8</v>
      </c>
      <c r="AE699">
        <v>9.1</v>
      </c>
      <c r="AF699" s="5">
        <v>0.434</v>
      </c>
      <c r="AG699">
        <v>0.29499999999999998</v>
      </c>
      <c r="AH699">
        <v>1.49</v>
      </c>
      <c r="AI699">
        <v>5.3</v>
      </c>
      <c r="AJ699">
        <v>5.66</v>
      </c>
      <c r="AK699">
        <v>-0.2</v>
      </c>
      <c r="AL699">
        <v>0</v>
      </c>
      <c r="AM699">
        <v>13</v>
      </c>
      <c r="AN699">
        <v>16</v>
      </c>
      <c r="AO699">
        <v>4</v>
      </c>
      <c r="AP699">
        <v>17</v>
      </c>
      <c r="AQ699" t="s">
        <v>2947</v>
      </c>
      <c r="AR699">
        <v>21</v>
      </c>
      <c r="AS699" t="s">
        <v>35</v>
      </c>
      <c r="AT699" t="s">
        <v>35</v>
      </c>
      <c r="AU699" s="4">
        <f>HYPERLINK("http://mlb.mlb.com/team/player.jsp?player_id=656954",656954)</f>
        <v>656954</v>
      </c>
      <c r="AV699">
        <v>187</v>
      </c>
      <c r="AW699">
        <v>1187</v>
      </c>
      <c r="AX699">
        <v>0</v>
      </c>
    </row>
    <row r="700" spans="1:50" x14ac:dyDescent="0.3">
      <c r="A700" s="4">
        <f>HYPERLINK("http://legacy.baseballprospectus.com/p/104974",104974)</f>
        <v>104974</v>
      </c>
      <c r="B700" t="s">
        <v>388</v>
      </c>
      <c r="C700" t="s">
        <v>1305</v>
      </c>
      <c r="D700" s="10">
        <v>33789</v>
      </c>
      <c r="E700" t="s">
        <v>9</v>
      </c>
      <c r="F700" t="s">
        <v>9</v>
      </c>
      <c r="G700">
        <v>69</v>
      </c>
      <c r="H700">
        <v>190</v>
      </c>
      <c r="I700">
        <v>2018</v>
      </c>
      <c r="J700" s="4" t="str">
        <f>HYPERLINK("http://legacy.baseballprospectus.com/fantasy/dc/index.php?tm=PHI","PHI")</f>
        <v>PHI</v>
      </c>
      <c r="K700" t="s">
        <v>100</v>
      </c>
      <c r="L700" t="s">
        <v>34</v>
      </c>
      <c r="M700">
        <v>25</v>
      </c>
      <c r="N700">
        <v>1</v>
      </c>
      <c r="O700">
        <v>1.1000000000000001</v>
      </c>
      <c r="P700">
        <v>0</v>
      </c>
      <c r="Q700">
        <v>0</v>
      </c>
      <c r="R700">
        <v>0</v>
      </c>
      <c r="S700">
        <v>0</v>
      </c>
      <c r="T700">
        <v>20</v>
      </c>
      <c r="U700">
        <v>0</v>
      </c>
      <c r="V700" s="9">
        <v>21.333300000000001</v>
      </c>
      <c r="W700">
        <v>93</v>
      </c>
      <c r="X700">
        <v>20</v>
      </c>
      <c r="Y700">
        <v>4</v>
      </c>
      <c r="Z700">
        <v>9</v>
      </c>
      <c r="AA700">
        <v>0</v>
      </c>
      <c r="AB700">
        <v>2</v>
      </c>
      <c r="AC700">
        <v>25</v>
      </c>
      <c r="AD700">
        <v>3.8</v>
      </c>
      <c r="AE700">
        <v>10.7</v>
      </c>
      <c r="AF700" s="5">
        <v>0.41599999999999998</v>
      </c>
      <c r="AG700">
        <v>0.29899999999999999</v>
      </c>
      <c r="AH700">
        <v>1.38</v>
      </c>
      <c r="AI700">
        <v>5.19</v>
      </c>
      <c r="AJ700">
        <v>5.12</v>
      </c>
      <c r="AK700">
        <v>-0.3</v>
      </c>
      <c r="AL700">
        <v>0</v>
      </c>
      <c r="AM700">
        <v>16</v>
      </c>
      <c r="AN700">
        <v>23</v>
      </c>
      <c r="AO700">
        <v>19</v>
      </c>
      <c r="AP700">
        <v>37</v>
      </c>
      <c r="AQ700" t="s">
        <v>3104</v>
      </c>
      <c r="AR700">
        <v>46</v>
      </c>
      <c r="AS700" t="s">
        <v>35</v>
      </c>
      <c r="AT700" t="s">
        <v>35</v>
      </c>
      <c r="AU700" s="4">
        <f>HYPERLINK("http://mlb.mlb.com/team/player.jsp?player_id=657205",657205)</f>
        <v>657205</v>
      </c>
      <c r="AV700">
        <v>1339</v>
      </c>
      <c r="AW700">
        <v>339</v>
      </c>
      <c r="AX700">
        <v>8.3000000000000007</v>
      </c>
    </row>
    <row r="701" spans="1:50" x14ac:dyDescent="0.3">
      <c r="A701" s="4">
        <f>HYPERLINK("http://legacy.baseballprospectus.com/p/104976",104976)</f>
        <v>104976</v>
      </c>
      <c r="B701" t="s">
        <v>3105</v>
      </c>
      <c r="C701" t="s">
        <v>1109</v>
      </c>
      <c r="D701" s="10">
        <v>34302</v>
      </c>
      <c r="E701" t="s">
        <v>33</v>
      </c>
      <c r="F701" t="s">
        <v>33</v>
      </c>
      <c r="G701">
        <v>73</v>
      </c>
      <c r="H701">
        <v>195</v>
      </c>
      <c r="I701">
        <v>2018</v>
      </c>
      <c r="J701" s="4" t="str">
        <f>HYPERLINK("http://legacy.baseballprospectus.com/fantasy/dc/index.php?tm=HOU","HOU")</f>
        <v>HOU</v>
      </c>
      <c r="K701" t="s">
        <v>95</v>
      </c>
      <c r="L701" t="s">
        <v>34</v>
      </c>
      <c r="M701">
        <v>24</v>
      </c>
      <c r="N701">
        <v>0.7</v>
      </c>
      <c r="O701">
        <v>0.7</v>
      </c>
      <c r="P701">
        <v>0</v>
      </c>
      <c r="Q701">
        <v>0</v>
      </c>
      <c r="R701">
        <v>0</v>
      </c>
      <c r="S701">
        <v>0</v>
      </c>
      <c r="T701">
        <v>14</v>
      </c>
      <c r="U701">
        <v>0</v>
      </c>
      <c r="V701" s="9">
        <v>14.666700000000001</v>
      </c>
      <c r="W701">
        <v>63</v>
      </c>
      <c r="X701">
        <v>13</v>
      </c>
      <c r="Y701">
        <v>2</v>
      </c>
      <c r="Z701">
        <v>7</v>
      </c>
      <c r="AA701">
        <v>1</v>
      </c>
      <c r="AB701">
        <v>1</v>
      </c>
      <c r="AC701">
        <v>15</v>
      </c>
      <c r="AD701">
        <v>4.4000000000000004</v>
      </c>
      <c r="AE701">
        <v>9.3000000000000007</v>
      </c>
      <c r="AF701" s="5">
        <v>0.45600000000000002</v>
      </c>
      <c r="AG701">
        <v>0.28899999999999998</v>
      </c>
      <c r="AH701">
        <v>1.38</v>
      </c>
      <c r="AI701">
        <v>4.91</v>
      </c>
      <c r="AJ701">
        <v>5.0599999999999996</v>
      </c>
      <c r="AK701">
        <v>0.3</v>
      </c>
      <c r="AL701">
        <v>0</v>
      </c>
      <c r="AM701">
        <v>20</v>
      </c>
      <c r="AN701">
        <v>35</v>
      </c>
      <c r="AO701">
        <v>13</v>
      </c>
      <c r="AP701">
        <v>30</v>
      </c>
      <c r="AQ701" t="s">
        <v>3106</v>
      </c>
      <c r="AR701">
        <v>52</v>
      </c>
      <c r="AS701" t="s">
        <v>35</v>
      </c>
      <c r="AT701" t="s">
        <v>35</v>
      </c>
      <c r="AU701" s="4">
        <f>HYPERLINK("http://mlb.mlb.com/team/player.jsp?player_id=657209",657209)</f>
        <v>657209</v>
      </c>
      <c r="AV701">
        <v>215</v>
      </c>
      <c r="AW701">
        <v>1215</v>
      </c>
      <c r="AX701">
        <v>0</v>
      </c>
    </row>
    <row r="702" spans="1:50" x14ac:dyDescent="0.3">
      <c r="A702" s="4">
        <f>HYPERLINK("http://legacy.baseballprospectus.com/p/105394",105394)</f>
        <v>105394</v>
      </c>
      <c r="B702" t="s">
        <v>2964</v>
      </c>
      <c r="C702" t="s">
        <v>1782</v>
      </c>
      <c r="D702" s="10">
        <v>34160</v>
      </c>
      <c r="E702" t="s">
        <v>9</v>
      </c>
      <c r="F702" t="s">
        <v>9</v>
      </c>
      <c r="G702">
        <v>71</v>
      </c>
      <c r="H702">
        <v>195</v>
      </c>
      <c r="I702">
        <v>2018</v>
      </c>
      <c r="J702" s="4" t="str">
        <f>HYPERLINK("http://legacy.baseballprospectus.com/fantasy/dc/index.php?tm=BOS","BOS")</f>
        <v>BOS</v>
      </c>
      <c r="K702" t="s">
        <v>95</v>
      </c>
      <c r="L702" t="s">
        <v>34</v>
      </c>
      <c r="M702">
        <v>24</v>
      </c>
      <c r="N702">
        <v>0.6</v>
      </c>
      <c r="O702">
        <v>0.7</v>
      </c>
      <c r="P702">
        <v>1</v>
      </c>
      <c r="Q702">
        <v>0</v>
      </c>
      <c r="R702">
        <v>0</v>
      </c>
      <c r="S702">
        <v>0</v>
      </c>
      <c r="T702">
        <v>2</v>
      </c>
      <c r="U702">
        <v>2</v>
      </c>
      <c r="V702" s="9">
        <v>10.666700000000001</v>
      </c>
      <c r="W702">
        <v>47</v>
      </c>
      <c r="X702">
        <v>12</v>
      </c>
      <c r="Y702">
        <v>2</v>
      </c>
      <c r="Z702">
        <v>4</v>
      </c>
      <c r="AA702">
        <v>0</v>
      </c>
      <c r="AB702">
        <v>0</v>
      </c>
      <c r="AC702">
        <v>10</v>
      </c>
      <c r="AD702">
        <v>3.4</v>
      </c>
      <c r="AE702">
        <v>8.1999999999999993</v>
      </c>
      <c r="AF702" s="5">
        <v>0.41599999999999998</v>
      </c>
      <c r="AG702">
        <v>0.29499999999999998</v>
      </c>
      <c r="AH702">
        <v>1.48</v>
      </c>
      <c r="AI702">
        <v>5.03</v>
      </c>
      <c r="AJ702">
        <v>5.72</v>
      </c>
      <c r="AK702">
        <v>-0.2</v>
      </c>
      <c r="AL702">
        <v>0</v>
      </c>
      <c r="AM702">
        <v>12</v>
      </c>
      <c r="AN702">
        <v>24</v>
      </c>
      <c r="AO702">
        <v>17</v>
      </c>
      <c r="AP702">
        <v>36</v>
      </c>
      <c r="AQ702" t="s">
        <v>2965</v>
      </c>
      <c r="AR702">
        <v>47</v>
      </c>
      <c r="AS702" t="s">
        <v>35</v>
      </c>
      <c r="AT702" t="s">
        <v>35</v>
      </c>
      <c r="AU702" s="4">
        <f>HYPERLINK("http://mlb.mlb.com/team/player.jsp?player_id=656222",656222)</f>
        <v>656222</v>
      </c>
      <c r="AV702">
        <v>152</v>
      </c>
      <c r="AW702">
        <v>1152</v>
      </c>
      <c r="AX702">
        <v>0</v>
      </c>
    </row>
    <row r="703" spans="1:50" x14ac:dyDescent="0.3">
      <c r="A703" s="4">
        <f>HYPERLINK("http://legacy.baseballprospectus.com/p/105424",105424)</f>
        <v>105424</v>
      </c>
      <c r="B703" t="s">
        <v>544</v>
      </c>
      <c r="C703" t="s">
        <v>304</v>
      </c>
      <c r="D703" s="10">
        <v>34964</v>
      </c>
      <c r="E703" t="s">
        <v>33</v>
      </c>
      <c r="F703" t="s">
        <v>33</v>
      </c>
      <c r="G703">
        <v>75</v>
      </c>
      <c r="H703">
        <v>230</v>
      </c>
      <c r="I703">
        <v>2018</v>
      </c>
      <c r="J703" s="4" t="str">
        <f>HYPERLINK("http://legacy.baseballprospectus.com/fantasy/dc/index.php?tm=MIL","MIL")</f>
        <v>MIL</v>
      </c>
      <c r="K703" t="s">
        <v>100</v>
      </c>
      <c r="L703" t="s">
        <v>34</v>
      </c>
      <c r="M703">
        <v>22</v>
      </c>
      <c r="N703">
        <v>0.9</v>
      </c>
      <c r="O703">
        <v>1.1000000000000001</v>
      </c>
      <c r="P703">
        <v>1</v>
      </c>
      <c r="Q703">
        <v>0</v>
      </c>
      <c r="R703">
        <v>0</v>
      </c>
      <c r="S703">
        <v>0</v>
      </c>
      <c r="T703">
        <v>3</v>
      </c>
      <c r="U703">
        <v>3</v>
      </c>
      <c r="V703" s="9">
        <v>15</v>
      </c>
      <c r="W703">
        <v>65</v>
      </c>
      <c r="X703">
        <v>16</v>
      </c>
      <c r="Y703">
        <v>3</v>
      </c>
      <c r="Z703">
        <v>5</v>
      </c>
      <c r="AA703">
        <v>0</v>
      </c>
      <c r="AB703">
        <v>1</v>
      </c>
      <c r="AC703">
        <v>15</v>
      </c>
      <c r="AD703">
        <v>3.2</v>
      </c>
      <c r="AE703">
        <v>8.6999999999999993</v>
      </c>
      <c r="AF703" s="5">
        <v>0.39300000000000002</v>
      </c>
      <c r="AG703">
        <v>0.29599999999999999</v>
      </c>
      <c r="AH703">
        <v>1.4</v>
      </c>
      <c r="AI703">
        <v>5.0999999999999996</v>
      </c>
      <c r="AJ703">
        <v>5.48</v>
      </c>
      <c r="AK703">
        <v>-0.3</v>
      </c>
      <c r="AL703">
        <v>0</v>
      </c>
      <c r="AM703">
        <v>5</v>
      </c>
      <c r="AN703">
        <v>10</v>
      </c>
      <c r="AO703">
        <v>3</v>
      </c>
      <c r="AP703">
        <v>12</v>
      </c>
      <c r="AQ703" t="s">
        <v>3122</v>
      </c>
      <c r="AR703">
        <v>18</v>
      </c>
      <c r="AS703" t="s">
        <v>35</v>
      </c>
      <c r="AT703" t="s">
        <v>35</v>
      </c>
      <c r="AU703" s="4">
        <f>HYPERLINK("http://mlb.mlb.com/team/player.jsp?player_id=656814",656814)</f>
        <v>656814</v>
      </c>
      <c r="AV703">
        <v>1151</v>
      </c>
      <c r="AW703">
        <v>151</v>
      </c>
      <c r="AX703">
        <v>0</v>
      </c>
    </row>
    <row r="704" spans="1:50" x14ac:dyDescent="0.3">
      <c r="A704" s="4">
        <f>HYPERLINK("http://legacy.baseballprospectus.com/p/105517",105517)</f>
        <v>105517</v>
      </c>
      <c r="B704" t="s">
        <v>2124</v>
      </c>
      <c r="C704" t="s">
        <v>2125</v>
      </c>
      <c r="D704" s="10">
        <v>34515</v>
      </c>
      <c r="E704" t="s">
        <v>33</v>
      </c>
      <c r="F704" t="s">
        <v>33</v>
      </c>
      <c r="G704">
        <v>73</v>
      </c>
      <c r="H704">
        <v>215</v>
      </c>
      <c r="I704">
        <v>2018</v>
      </c>
      <c r="J704" s="4" t="str">
        <f>HYPERLINK("http://legacy.baseballprospectus.com/fantasy/dc/index.php?tm=HOU","HOU")</f>
        <v>HOU</v>
      </c>
      <c r="K704" t="s">
        <v>95</v>
      </c>
      <c r="L704" t="s">
        <v>34</v>
      </c>
      <c r="M704">
        <v>24</v>
      </c>
      <c r="N704">
        <v>0.5</v>
      </c>
      <c r="O704">
        <v>0.5</v>
      </c>
      <c r="P704">
        <v>0</v>
      </c>
      <c r="Q704">
        <v>0</v>
      </c>
      <c r="R704">
        <v>0</v>
      </c>
      <c r="S704">
        <v>0</v>
      </c>
      <c r="T704">
        <v>9</v>
      </c>
      <c r="U704">
        <v>0</v>
      </c>
      <c r="V704" s="9">
        <v>9.6667000000000005</v>
      </c>
      <c r="W704">
        <v>41</v>
      </c>
      <c r="X704">
        <v>9</v>
      </c>
      <c r="Y704">
        <v>2</v>
      </c>
      <c r="Z704">
        <v>4</v>
      </c>
      <c r="AA704">
        <v>0</v>
      </c>
      <c r="AB704">
        <v>0</v>
      </c>
      <c r="AC704">
        <v>11</v>
      </c>
      <c r="AD704">
        <v>3.7</v>
      </c>
      <c r="AE704">
        <v>10.199999999999999</v>
      </c>
      <c r="AF704" s="5">
        <v>0.41399999999999998</v>
      </c>
      <c r="AG704">
        <v>0.29099999999999998</v>
      </c>
      <c r="AH704">
        <v>1.29</v>
      </c>
      <c r="AI704">
        <v>4.57</v>
      </c>
      <c r="AJ704">
        <v>4.8</v>
      </c>
      <c r="AK704">
        <v>0.4</v>
      </c>
      <c r="AL704">
        <v>0</v>
      </c>
      <c r="AM704">
        <v>23</v>
      </c>
      <c r="AN704">
        <v>46</v>
      </c>
      <c r="AO704">
        <v>13</v>
      </c>
      <c r="AP704">
        <v>32</v>
      </c>
      <c r="AQ704" t="s">
        <v>2966</v>
      </c>
      <c r="AR704">
        <v>64</v>
      </c>
      <c r="AS704" t="s">
        <v>35</v>
      </c>
      <c r="AT704" t="s">
        <v>35</v>
      </c>
      <c r="AU704" s="4">
        <f>HYPERLINK("http://mlb.mlb.com/team/player.jsp?player_id=660494",660494)</f>
        <v>660494</v>
      </c>
      <c r="AV704">
        <v>686</v>
      </c>
      <c r="AW704">
        <v>1686</v>
      </c>
      <c r="AX704">
        <v>0</v>
      </c>
    </row>
    <row r="705" spans="1:50" x14ac:dyDescent="0.3">
      <c r="A705" s="4">
        <f>HYPERLINK("http://legacy.baseballprospectus.com/p/105643",105643)</f>
        <v>105643</v>
      </c>
      <c r="B705" t="s">
        <v>1650</v>
      </c>
      <c r="C705" t="s">
        <v>1651</v>
      </c>
      <c r="D705" s="10">
        <v>35326</v>
      </c>
      <c r="E705" t="s">
        <v>33</v>
      </c>
      <c r="F705" t="s">
        <v>33</v>
      </c>
      <c r="G705">
        <v>74</v>
      </c>
      <c r="H705">
        <v>200</v>
      </c>
      <c r="I705">
        <v>2018</v>
      </c>
      <c r="J705" s="4" t="str">
        <f>HYPERLINK("http://legacy.baseballprospectus.com/fantasy/dc/index.php?tm=DET","DET")</f>
        <v>DET</v>
      </c>
      <c r="K705" t="s">
        <v>95</v>
      </c>
      <c r="L705" t="s">
        <v>34</v>
      </c>
      <c r="M705">
        <v>21</v>
      </c>
      <c r="N705">
        <v>0.8</v>
      </c>
      <c r="O705">
        <v>1.3</v>
      </c>
      <c r="P705">
        <v>1</v>
      </c>
      <c r="Q705">
        <v>0</v>
      </c>
      <c r="R705">
        <v>0</v>
      </c>
      <c r="S705">
        <v>0</v>
      </c>
      <c r="T705">
        <v>3</v>
      </c>
      <c r="U705">
        <v>3</v>
      </c>
      <c r="V705" s="9">
        <v>16</v>
      </c>
      <c r="W705">
        <v>71</v>
      </c>
      <c r="X705">
        <v>16</v>
      </c>
      <c r="Y705">
        <v>4</v>
      </c>
      <c r="Z705">
        <v>7</v>
      </c>
      <c r="AA705">
        <v>0</v>
      </c>
      <c r="AB705">
        <v>0</v>
      </c>
      <c r="AC705">
        <v>16</v>
      </c>
      <c r="AD705">
        <v>3.8</v>
      </c>
      <c r="AE705">
        <v>9.1</v>
      </c>
      <c r="AF705" s="5">
        <v>0.39900000000000002</v>
      </c>
      <c r="AG705">
        <v>0.29599999999999999</v>
      </c>
      <c r="AH705">
        <v>1.51</v>
      </c>
      <c r="AI705">
        <v>5.47</v>
      </c>
      <c r="AJ705">
        <v>5.66</v>
      </c>
      <c r="AK705">
        <v>-0.2</v>
      </c>
      <c r="AL705">
        <v>0</v>
      </c>
      <c r="AM705">
        <v>5</v>
      </c>
      <c r="AN705">
        <v>8</v>
      </c>
      <c r="AO705">
        <v>1</v>
      </c>
      <c r="AP705">
        <v>5</v>
      </c>
      <c r="AQ705" t="s">
        <v>2967</v>
      </c>
      <c r="AR705">
        <v>9</v>
      </c>
      <c r="AS705" t="s">
        <v>35</v>
      </c>
      <c r="AT705" t="s">
        <v>35</v>
      </c>
      <c r="AU705" s="4">
        <f>HYPERLINK("http://mlb.mlb.com/team/player.jsp?player_id=663366",663366)</f>
        <v>663366</v>
      </c>
      <c r="AV705">
        <v>167</v>
      </c>
      <c r="AW705">
        <v>1167</v>
      </c>
      <c r="AX705">
        <v>0</v>
      </c>
    </row>
    <row r="706" spans="1:50" x14ac:dyDescent="0.3">
      <c r="A706" s="4">
        <f>HYPERLINK("http://legacy.baseballprospectus.com/p/104750",104750)</f>
        <v>104750</v>
      </c>
      <c r="B706" t="s">
        <v>1526</v>
      </c>
      <c r="C706" t="s">
        <v>778</v>
      </c>
      <c r="D706" s="10">
        <v>33869</v>
      </c>
      <c r="E706" t="s">
        <v>33</v>
      </c>
      <c r="F706" t="s">
        <v>33</v>
      </c>
      <c r="G706">
        <v>74</v>
      </c>
      <c r="H706">
        <v>225</v>
      </c>
      <c r="I706">
        <v>2018</v>
      </c>
      <c r="J706" s="4" t="str">
        <f>HYPERLINK("http://legacy.baseballprospectus.com/fantasy/dc/index.php?tm=SFN","SFN")</f>
        <v>SFN</v>
      </c>
      <c r="K706" t="s">
        <v>100</v>
      </c>
      <c r="L706" t="s">
        <v>34</v>
      </c>
      <c r="M706">
        <v>25</v>
      </c>
      <c r="N706">
        <v>5.4</v>
      </c>
      <c r="O706">
        <v>6.2</v>
      </c>
      <c r="P706">
        <v>8.1999999999999993</v>
      </c>
      <c r="Q706">
        <v>0</v>
      </c>
      <c r="R706">
        <v>0</v>
      </c>
      <c r="S706">
        <v>0</v>
      </c>
      <c r="T706">
        <v>17.899999999999999</v>
      </c>
      <c r="U706">
        <v>17.899999999999999</v>
      </c>
      <c r="V706" s="9">
        <v>93.666700000000006</v>
      </c>
      <c r="W706">
        <v>394</v>
      </c>
      <c r="X706">
        <v>93</v>
      </c>
      <c r="Y706">
        <v>15</v>
      </c>
      <c r="Z706">
        <v>35</v>
      </c>
      <c r="AA706" t="s">
        <v>1680</v>
      </c>
      <c r="AB706">
        <v>5</v>
      </c>
      <c r="AC706">
        <v>89</v>
      </c>
      <c r="AD706">
        <v>3.3</v>
      </c>
      <c r="AE706">
        <v>8.5</v>
      </c>
      <c r="AF706" s="5">
        <v>0.42694950103759699</v>
      </c>
      <c r="AG706">
        <v>0.31</v>
      </c>
      <c r="AH706">
        <v>1.36</v>
      </c>
      <c r="AI706">
        <v>4.6399999999999997</v>
      </c>
      <c r="AJ706">
        <v>5.63</v>
      </c>
      <c r="AK706">
        <v>-0.1</v>
      </c>
      <c r="AL706">
        <v>0</v>
      </c>
      <c r="AM706">
        <v>15</v>
      </c>
      <c r="AN706">
        <v>20</v>
      </c>
      <c r="AO706">
        <v>12</v>
      </c>
      <c r="AP706">
        <v>25</v>
      </c>
      <c r="AQ706" t="s">
        <v>2597</v>
      </c>
      <c r="AR706">
        <v>35</v>
      </c>
      <c r="AS706" t="s">
        <v>36</v>
      </c>
      <c r="AT706" t="s">
        <v>35</v>
      </c>
      <c r="AU706" s="4">
        <f>HYPERLINK("http://mlb.mlb.com/team/player.jsp?player_id=656322",656322)</f>
        <v>656322</v>
      </c>
      <c r="AV706">
        <v>0</v>
      </c>
      <c r="AW706">
        <v>0</v>
      </c>
      <c r="AX706">
        <v>0</v>
      </c>
    </row>
    <row r="707" spans="1:50" x14ac:dyDescent="0.3">
      <c r="A707" s="4">
        <f>HYPERLINK("http://legacy.baseballprospectus.com/p/106958",106958)</f>
        <v>106958</v>
      </c>
      <c r="B707" t="s">
        <v>2023</v>
      </c>
      <c r="C707" t="s">
        <v>109</v>
      </c>
      <c r="D707" s="10">
        <v>33859</v>
      </c>
      <c r="E707" t="s">
        <v>33</v>
      </c>
      <c r="F707" t="s">
        <v>33</v>
      </c>
      <c r="G707">
        <v>73</v>
      </c>
      <c r="H707">
        <v>190</v>
      </c>
      <c r="I707">
        <v>2018</v>
      </c>
      <c r="J707" s="4" t="str">
        <f>HYPERLINK("http://legacy.baseballprospectus.com/fantasy/dc/index.php?tm=CHA","CHA")</f>
        <v>CHA</v>
      </c>
      <c r="K707" t="s">
        <v>95</v>
      </c>
      <c r="L707" t="s">
        <v>34</v>
      </c>
      <c r="M707">
        <v>25</v>
      </c>
      <c r="N707">
        <v>0.5</v>
      </c>
      <c r="O707">
        <v>0.5</v>
      </c>
      <c r="P707">
        <v>0</v>
      </c>
      <c r="Q707">
        <v>0</v>
      </c>
      <c r="R707">
        <v>0</v>
      </c>
      <c r="S707">
        <v>0</v>
      </c>
      <c r="T707">
        <v>10</v>
      </c>
      <c r="U707">
        <v>0</v>
      </c>
      <c r="V707" s="9">
        <v>10.666700000000001</v>
      </c>
      <c r="W707">
        <v>46</v>
      </c>
      <c r="X707">
        <v>10</v>
      </c>
      <c r="Y707">
        <v>2</v>
      </c>
      <c r="Z707">
        <v>5</v>
      </c>
      <c r="AA707">
        <v>0</v>
      </c>
      <c r="AB707">
        <v>1</v>
      </c>
      <c r="AC707">
        <v>11</v>
      </c>
      <c r="AD707">
        <v>4</v>
      </c>
      <c r="AE707">
        <v>9.1999999999999993</v>
      </c>
      <c r="AF707" s="5">
        <v>0.46300000000000002</v>
      </c>
      <c r="AG707">
        <v>0.29399999999999998</v>
      </c>
      <c r="AH707">
        <v>1.43</v>
      </c>
      <c r="AI707">
        <v>5.54</v>
      </c>
      <c r="AJ707">
        <v>5.51</v>
      </c>
      <c r="AK707">
        <v>-0.3</v>
      </c>
      <c r="AL707">
        <v>0</v>
      </c>
      <c r="AM707">
        <v>11</v>
      </c>
      <c r="AN707">
        <v>16</v>
      </c>
      <c r="AO707">
        <v>16</v>
      </c>
      <c r="AP707">
        <v>28</v>
      </c>
      <c r="AQ707" t="s">
        <v>3123</v>
      </c>
      <c r="AR707">
        <v>35</v>
      </c>
      <c r="AS707" t="s">
        <v>35</v>
      </c>
      <c r="AT707" t="s">
        <v>35</v>
      </c>
      <c r="AU707" s="4">
        <f>HYPERLINK("http://mlb.mlb.com/team/player.jsp?player_id=596111",596111)</f>
        <v>596111</v>
      </c>
      <c r="AV707">
        <v>0</v>
      </c>
      <c r="AW707">
        <v>0</v>
      </c>
      <c r="AX707">
        <v>0</v>
      </c>
    </row>
    <row r="708" spans="1:50" x14ac:dyDescent="0.3">
      <c r="A708" s="4">
        <f>HYPERLINK("http://legacy.baseballprospectus.com/p/106995",106995)</f>
        <v>106995</v>
      </c>
      <c r="B708" t="s">
        <v>391</v>
      </c>
      <c r="C708" t="s">
        <v>345</v>
      </c>
      <c r="D708" s="10">
        <v>33920</v>
      </c>
      <c r="E708" t="s">
        <v>33</v>
      </c>
      <c r="F708" t="s">
        <v>33</v>
      </c>
      <c r="G708">
        <v>75</v>
      </c>
      <c r="H708">
        <v>225</v>
      </c>
      <c r="I708">
        <v>2018</v>
      </c>
      <c r="J708" s="4" t="str">
        <f>HYPERLINK("http://legacy.baseballprospectus.com/fantasy/dc/index.php?tm=CLE","CLE")</f>
        <v>CLE</v>
      </c>
      <c r="K708" t="s">
        <v>95</v>
      </c>
      <c r="L708" t="s">
        <v>34</v>
      </c>
      <c r="M708">
        <v>25</v>
      </c>
      <c r="N708">
        <v>0.2</v>
      </c>
      <c r="O708">
        <v>0.3</v>
      </c>
      <c r="P708">
        <v>0</v>
      </c>
      <c r="Q708">
        <v>0</v>
      </c>
      <c r="R708">
        <v>0</v>
      </c>
      <c r="S708">
        <v>0</v>
      </c>
      <c r="T708">
        <v>5</v>
      </c>
      <c r="U708">
        <v>0</v>
      </c>
      <c r="V708" s="9">
        <v>5</v>
      </c>
      <c r="W708">
        <v>22</v>
      </c>
      <c r="X708">
        <v>5</v>
      </c>
      <c r="Y708">
        <v>1</v>
      </c>
      <c r="Z708">
        <v>2</v>
      </c>
      <c r="AA708">
        <v>0</v>
      </c>
      <c r="AB708">
        <v>0</v>
      </c>
      <c r="AC708">
        <v>5</v>
      </c>
      <c r="AD708">
        <v>3.9</v>
      </c>
      <c r="AE708">
        <v>8.9</v>
      </c>
      <c r="AF708" s="5">
        <v>0.39500000000000002</v>
      </c>
      <c r="AG708">
        <v>0.29499999999999998</v>
      </c>
      <c r="AH708">
        <v>1.47</v>
      </c>
      <c r="AI708">
        <v>5.24</v>
      </c>
      <c r="AJ708">
        <v>5.5</v>
      </c>
      <c r="AK708">
        <v>-0.1</v>
      </c>
      <c r="AL708">
        <v>0</v>
      </c>
      <c r="AM708">
        <v>23</v>
      </c>
      <c r="AN708">
        <v>29</v>
      </c>
      <c r="AO708">
        <v>14</v>
      </c>
      <c r="AP708">
        <v>27</v>
      </c>
      <c r="AQ708" t="s">
        <v>3124</v>
      </c>
      <c r="AR708">
        <v>46</v>
      </c>
      <c r="AS708" t="s">
        <v>35</v>
      </c>
      <c r="AT708" t="s">
        <v>35</v>
      </c>
      <c r="AU708" s="4">
        <f>HYPERLINK("http://mlb.mlb.com/team/player.jsp?player_id=664701",664701)</f>
        <v>664701</v>
      </c>
      <c r="AV708">
        <v>108</v>
      </c>
      <c r="AW708">
        <v>1108</v>
      </c>
      <c r="AX708">
        <v>17.3</v>
      </c>
    </row>
    <row r="709" spans="1:50" x14ac:dyDescent="0.3">
      <c r="A709" s="4">
        <f>HYPERLINK("http://legacy.baseballprospectus.com/p/108430",108430)</f>
        <v>108430</v>
      </c>
      <c r="B709" t="s">
        <v>2109</v>
      </c>
      <c r="C709" t="s">
        <v>2110</v>
      </c>
      <c r="D709" s="10">
        <v>34740</v>
      </c>
      <c r="E709" t="s">
        <v>9</v>
      </c>
      <c r="F709" t="s">
        <v>33</v>
      </c>
      <c r="G709">
        <v>74</v>
      </c>
      <c r="H709">
        <v>165</v>
      </c>
      <c r="I709">
        <v>2018</v>
      </c>
      <c r="J709" s="4" t="str">
        <f>HYPERLINK("http://legacy.baseballprospectus.com/fantasy/dc/index.php?tm=SDN","SDN")</f>
        <v>SDN</v>
      </c>
      <c r="K709" t="s">
        <v>100</v>
      </c>
      <c r="L709" t="s">
        <v>34</v>
      </c>
      <c r="M709">
        <v>23</v>
      </c>
      <c r="N709">
        <v>0.7</v>
      </c>
      <c r="O709">
        <v>1.2</v>
      </c>
      <c r="P709">
        <v>1</v>
      </c>
      <c r="Q709">
        <v>0</v>
      </c>
      <c r="R709">
        <v>0</v>
      </c>
      <c r="S709">
        <v>0</v>
      </c>
      <c r="T709">
        <v>3</v>
      </c>
      <c r="U709">
        <v>3</v>
      </c>
      <c r="V709" s="9">
        <v>15</v>
      </c>
      <c r="W709">
        <v>65</v>
      </c>
      <c r="X709">
        <v>15</v>
      </c>
      <c r="Y709">
        <v>3</v>
      </c>
      <c r="Z709">
        <v>5</v>
      </c>
      <c r="AA709">
        <v>0</v>
      </c>
      <c r="AB709">
        <v>0</v>
      </c>
      <c r="AC709">
        <v>16</v>
      </c>
      <c r="AD709">
        <v>3.2</v>
      </c>
      <c r="AE709">
        <v>9.6999999999999993</v>
      </c>
      <c r="AF709" s="5">
        <v>0.41499999999999998</v>
      </c>
      <c r="AG709">
        <v>0.29699999999999999</v>
      </c>
      <c r="AH709">
        <v>1.37</v>
      </c>
      <c r="AI709">
        <v>4.8600000000000003</v>
      </c>
      <c r="AJ709">
        <v>5.43</v>
      </c>
      <c r="AK709">
        <v>-0.3</v>
      </c>
      <c r="AL709">
        <v>0</v>
      </c>
      <c r="AM709">
        <v>8</v>
      </c>
      <c r="AN709">
        <v>8</v>
      </c>
      <c r="AO709">
        <v>1</v>
      </c>
      <c r="AP709">
        <v>9</v>
      </c>
      <c r="AQ709" t="s">
        <v>2819</v>
      </c>
      <c r="AR709">
        <v>10</v>
      </c>
      <c r="AS709" t="s">
        <v>35</v>
      </c>
      <c r="AT709" t="s">
        <v>35</v>
      </c>
      <c r="AU709" s="4">
        <f>HYPERLINK("http://mlb.mlb.com/team/player.jsp?player_id=615698",615698)</f>
        <v>615698</v>
      </c>
      <c r="AV709">
        <v>1206</v>
      </c>
      <c r="AW709">
        <v>206</v>
      </c>
      <c r="AX709">
        <v>0</v>
      </c>
    </row>
    <row r="710" spans="1:50" x14ac:dyDescent="0.3">
      <c r="A710" s="4">
        <f>HYPERLINK("http://legacy.baseballprospectus.com/p/106610",106610)</f>
        <v>106610</v>
      </c>
      <c r="B710" t="s">
        <v>2033</v>
      </c>
      <c r="C710" t="s">
        <v>234</v>
      </c>
      <c r="D710" s="10">
        <v>35072</v>
      </c>
      <c r="E710" t="s">
        <v>33</v>
      </c>
      <c r="F710" t="s">
        <v>33</v>
      </c>
      <c r="G710">
        <v>76</v>
      </c>
      <c r="H710">
        <v>195</v>
      </c>
      <c r="I710">
        <v>2018</v>
      </c>
      <c r="J710" s="4" t="str">
        <f>HYPERLINK("http://legacy.baseballprospectus.com/fantasy/dc/index.php?tm=SDN","SDN")</f>
        <v>SDN</v>
      </c>
      <c r="K710" t="s">
        <v>100</v>
      </c>
      <c r="L710" t="s">
        <v>34</v>
      </c>
      <c r="M710">
        <v>22</v>
      </c>
      <c r="N710">
        <v>1.9</v>
      </c>
      <c r="O710">
        <v>2.4</v>
      </c>
      <c r="P710">
        <v>2.9</v>
      </c>
      <c r="Q710">
        <v>0</v>
      </c>
      <c r="R710">
        <v>0.2</v>
      </c>
      <c r="S710">
        <v>0</v>
      </c>
      <c r="T710">
        <v>12.4</v>
      </c>
      <c r="U710">
        <v>6.5</v>
      </c>
      <c r="V710" s="9">
        <v>36.333300000000001</v>
      </c>
      <c r="W710">
        <v>150</v>
      </c>
      <c r="X710">
        <v>35</v>
      </c>
      <c r="Y710">
        <v>8</v>
      </c>
      <c r="Z710">
        <v>12</v>
      </c>
      <c r="AA710" t="s">
        <v>1680</v>
      </c>
      <c r="AB710">
        <v>1</v>
      </c>
      <c r="AC710">
        <v>40</v>
      </c>
      <c r="AD710">
        <v>2.9</v>
      </c>
      <c r="AE710">
        <v>10</v>
      </c>
      <c r="AF710" s="5">
        <v>0.45866772532463002</v>
      </c>
      <c r="AG710">
        <v>0.315</v>
      </c>
      <c r="AH710">
        <v>1.3</v>
      </c>
      <c r="AI710">
        <v>4.78</v>
      </c>
      <c r="AJ710">
        <v>5.55</v>
      </c>
      <c r="AK710">
        <v>-0.3</v>
      </c>
      <c r="AL710">
        <v>0</v>
      </c>
      <c r="AM710">
        <v>29</v>
      </c>
      <c r="AN710">
        <v>43</v>
      </c>
      <c r="AO710">
        <v>4</v>
      </c>
      <c r="AP710">
        <v>14</v>
      </c>
      <c r="AQ710" t="s">
        <v>2816</v>
      </c>
      <c r="AR710">
        <v>51</v>
      </c>
      <c r="AS710" t="s">
        <v>36</v>
      </c>
      <c r="AT710" t="s">
        <v>35</v>
      </c>
      <c r="AU710" s="4">
        <f>HYPERLINK("http://mlb.mlb.com/team/player.jsp?player_id=663978",663978)</f>
        <v>663978</v>
      </c>
      <c r="AV710">
        <v>1736</v>
      </c>
      <c r="AW710">
        <v>736</v>
      </c>
      <c r="AX710">
        <v>0</v>
      </c>
    </row>
    <row r="711" spans="1:50" x14ac:dyDescent="0.3">
      <c r="A711" s="4">
        <f>HYPERLINK("http://legacy.baseballprospectus.com/p/107921",107921)</f>
        <v>107921</v>
      </c>
      <c r="B711" t="s">
        <v>1789</v>
      </c>
      <c r="C711" t="s">
        <v>1425</v>
      </c>
      <c r="D711" s="10">
        <v>34617</v>
      </c>
      <c r="E711" t="s">
        <v>33</v>
      </c>
      <c r="F711" t="s">
        <v>33</v>
      </c>
      <c r="G711">
        <v>79</v>
      </c>
      <c r="H711">
        <v>235</v>
      </c>
      <c r="I711">
        <v>2018</v>
      </c>
      <c r="J711" s="4" t="str">
        <f>HYPERLINK("http://legacy.baseballprospectus.com/fantasy/dc/index.php?tm=CHA","CHA")</f>
        <v>CHA</v>
      </c>
      <c r="K711" t="s">
        <v>95</v>
      </c>
      <c r="L711" t="s">
        <v>34</v>
      </c>
      <c r="M711">
        <v>23</v>
      </c>
      <c r="N711">
        <v>5.3</v>
      </c>
      <c r="O711">
        <v>8</v>
      </c>
      <c r="P711">
        <v>7.2</v>
      </c>
      <c r="Q711">
        <v>0</v>
      </c>
      <c r="R711">
        <v>0</v>
      </c>
      <c r="S711">
        <v>0</v>
      </c>
      <c r="T711">
        <v>20.100000000000001</v>
      </c>
      <c r="U711">
        <v>20.100000000000001</v>
      </c>
      <c r="V711" s="9">
        <v>103.66670000000001</v>
      </c>
      <c r="W711">
        <v>450</v>
      </c>
      <c r="X711">
        <v>96</v>
      </c>
      <c r="Y711">
        <v>27</v>
      </c>
      <c r="Z711">
        <v>46</v>
      </c>
      <c r="AA711" t="s">
        <v>1680</v>
      </c>
      <c r="AB711">
        <v>4</v>
      </c>
      <c r="AC711">
        <v>140</v>
      </c>
      <c r="AD711">
        <v>4</v>
      </c>
      <c r="AE711">
        <v>12.2</v>
      </c>
      <c r="AF711" s="5">
        <v>0.40880304574966397</v>
      </c>
      <c r="AG711">
        <v>0.29899999999999999</v>
      </c>
      <c r="AH711">
        <v>1.38</v>
      </c>
      <c r="AI711">
        <v>5.44</v>
      </c>
      <c r="AJ711">
        <v>5.66</v>
      </c>
      <c r="AK711">
        <v>0.5</v>
      </c>
      <c r="AL711">
        <v>0</v>
      </c>
      <c r="AM711">
        <v>17</v>
      </c>
      <c r="AN711">
        <v>25</v>
      </c>
      <c r="AO711">
        <v>3</v>
      </c>
      <c r="AP711">
        <v>21</v>
      </c>
      <c r="AQ711" t="s">
        <v>3402</v>
      </c>
      <c r="AR711">
        <v>35</v>
      </c>
      <c r="AS711" t="s">
        <v>36</v>
      </c>
      <c r="AT711" t="s">
        <v>35</v>
      </c>
      <c r="AU711" s="4">
        <f>HYPERLINK("http://mlb.mlb.com/team/player.jsp?player_id=641662",641662)</f>
        <v>641662</v>
      </c>
      <c r="AV711">
        <v>160</v>
      </c>
      <c r="AW711">
        <v>1160</v>
      </c>
      <c r="AX711">
        <v>0</v>
      </c>
    </row>
    <row r="712" spans="1:50" x14ac:dyDescent="0.3">
      <c r="A712" s="4">
        <f>HYPERLINK("http://legacy.baseballprospectus.com/p/109051",109051)</f>
        <v>109051</v>
      </c>
      <c r="B712" t="s">
        <v>923</v>
      </c>
      <c r="C712" t="s">
        <v>2540</v>
      </c>
      <c r="D712" s="10">
        <v>35317</v>
      </c>
      <c r="E712" t="s">
        <v>9</v>
      </c>
      <c r="F712" t="s">
        <v>9</v>
      </c>
      <c r="G712">
        <v>72</v>
      </c>
      <c r="H712">
        <v>190</v>
      </c>
      <c r="I712">
        <v>2018</v>
      </c>
      <c r="J712" s="4" t="str">
        <f>HYPERLINK("http://legacy.baseballprospectus.com/fantasy/dc/index.php?tm=PHI","PHI")</f>
        <v>PHI</v>
      </c>
      <c r="K712" t="s">
        <v>100</v>
      </c>
      <c r="L712" t="s">
        <v>34</v>
      </c>
      <c r="M712">
        <v>21</v>
      </c>
      <c r="N712">
        <v>5.4</v>
      </c>
      <c r="O712">
        <v>6.3</v>
      </c>
      <c r="P712">
        <v>7.3</v>
      </c>
      <c r="Q712">
        <v>0</v>
      </c>
      <c r="R712">
        <v>0</v>
      </c>
      <c r="S712">
        <v>0</v>
      </c>
      <c r="T712">
        <v>17.600000000000001</v>
      </c>
      <c r="U712">
        <v>17.600000000000001</v>
      </c>
      <c r="V712" s="9">
        <v>92.666700000000006</v>
      </c>
      <c r="W712">
        <v>391</v>
      </c>
      <c r="X712">
        <v>96</v>
      </c>
      <c r="Y712">
        <v>19</v>
      </c>
      <c r="Z712">
        <v>35</v>
      </c>
      <c r="AA712" t="s">
        <v>1680</v>
      </c>
      <c r="AB712">
        <v>2</v>
      </c>
      <c r="AC712">
        <v>94</v>
      </c>
      <c r="AD712">
        <v>3.4</v>
      </c>
      <c r="AE712">
        <v>9.1</v>
      </c>
      <c r="AF712" s="5">
        <v>0.47636997699737499</v>
      </c>
      <c r="AG712">
        <v>0.32</v>
      </c>
      <c r="AH712">
        <v>1.41</v>
      </c>
      <c r="AI712">
        <v>5.0199999999999996</v>
      </c>
      <c r="AJ712">
        <v>5.59</v>
      </c>
      <c r="AK712">
        <v>0.3</v>
      </c>
      <c r="AL712">
        <v>0</v>
      </c>
      <c r="AM712">
        <v>5</v>
      </c>
      <c r="AN712">
        <v>8</v>
      </c>
      <c r="AO712">
        <v>3</v>
      </c>
      <c r="AP712">
        <v>11</v>
      </c>
      <c r="AQ712" t="s">
        <v>2541</v>
      </c>
      <c r="AR712">
        <v>12</v>
      </c>
      <c r="AS712" t="s">
        <v>36</v>
      </c>
      <c r="AT712" t="s">
        <v>35</v>
      </c>
      <c r="AU712" s="4">
        <f>HYPERLINK("http://mlb.mlb.com/team/player.jsp?player_id=668941",668941)</f>
        <v>668941</v>
      </c>
      <c r="AV712">
        <v>0</v>
      </c>
      <c r="AW712">
        <v>0</v>
      </c>
      <c r="AX712">
        <v>0</v>
      </c>
    </row>
    <row r="713" spans="1:50" x14ac:dyDescent="0.3">
      <c r="A713" s="4">
        <f>HYPERLINK("http://legacy.baseballprospectus.com/p/109772",109772)</f>
        <v>109772</v>
      </c>
      <c r="B713" t="s">
        <v>3313</v>
      </c>
      <c r="C713" t="s">
        <v>638</v>
      </c>
      <c r="D713" s="10">
        <v>35205</v>
      </c>
      <c r="E713" t="s">
        <v>33</v>
      </c>
      <c r="F713" t="s">
        <v>33</v>
      </c>
      <c r="G713">
        <v>75</v>
      </c>
      <c r="H713">
        <v>230</v>
      </c>
      <c r="I713">
        <v>2018</v>
      </c>
      <c r="J713" s="4" t="str">
        <f>HYPERLINK("http://legacy.baseballprospectus.com/fantasy/dc/index.php?tm=SEA","SEA")</f>
        <v>SEA</v>
      </c>
      <c r="K713" t="s">
        <v>95</v>
      </c>
      <c r="L713" t="s">
        <v>34</v>
      </c>
      <c r="M713">
        <v>22</v>
      </c>
      <c r="N713">
        <v>1.6</v>
      </c>
      <c r="O713">
        <v>0.5</v>
      </c>
      <c r="P713">
        <v>0</v>
      </c>
      <c r="Q713">
        <v>0</v>
      </c>
      <c r="R713">
        <v>1.3</v>
      </c>
      <c r="S713">
        <v>0</v>
      </c>
      <c r="T713">
        <v>33</v>
      </c>
      <c r="U713">
        <v>0</v>
      </c>
      <c r="V713" s="9">
        <v>35</v>
      </c>
      <c r="W713">
        <v>150</v>
      </c>
      <c r="X713">
        <v>32</v>
      </c>
      <c r="Y713">
        <v>7</v>
      </c>
      <c r="Z713">
        <v>15</v>
      </c>
      <c r="AA713" t="s">
        <v>1680</v>
      </c>
      <c r="AB713">
        <v>1</v>
      </c>
      <c r="AC713">
        <v>44</v>
      </c>
      <c r="AD713">
        <v>3.9</v>
      </c>
      <c r="AE713">
        <v>11.4</v>
      </c>
      <c r="AF713" s="5">
        <v>0.38482299447059598</v>
      </c>
      <c r="AG713">
        <v>0.30099999999999999</v>
      </c>
      <c r="AH713">
        <v>1.36</v>
      </c>
      <c r="AI713">
        <v>4.92</v>
      </c>
      <c r="AJ713">
        <v>5.24</v>
      </c>
      <c r="AK713">
        <v>0.1</v>
      </c>
      <c r="AL713">
        <v>0</v>
      </c>
      <c r="AM713">
        <v>8</v>
      </c>
      <c r="AN713">
        <v>9</v>
      </c>
      <c r="AO713">
        <v>2</v>
      </c>
      <c r="AP713">
        <v>8</v>
      </c>
      <c r="AQ713" t="s">
        <v>3314</v>
      </c>
      <c r="AR713">
        <v>11</v>
      </c>
      <c r="AS713" t="s">
        <v>36</v>
      </c>
      <c r="AT713" t="s">
        <v>35</v>
      </c>
      <c r="AU713" s="4">
        <f>HYPERLINK("http://mlb.mlb.com/team/player.jsp?player_id=676220",676220)</f>
        <v>676220</v>
      </c>
      <c r="AV713">
        <v>0</v>
      </c>
      <c r="AW713">
        <v>0</v>
      </c>
      <c r="AX713">
        <v>0</v>
      </c>
    </row>
    <row r="714" spans="1:50" x14ac:dyDescent="0.3">
      <c r="A714" s="4">
        <f>HYPERLINK("http://legacy.baseballprospectus.com/p/1250",1250)</f>
        <v>1250</v>
      </c>
      <c r="B714" t="s">
        <v>718</v>
      </c>
      <c r="C714" t="s">
        <v>719</v>
      </c>
      <c r="D714" s="10">
        <v>28332</v>
      </c>
      <c r="E714" t="s">
        <v>33</v>
      </c>
      <c r="F714" t="s">
        <v>33</v>
      </c>
      <c r="G714">
        <v>76</v>
      </c>
      <c r="H714">
        <v>250</v>
      </c>
      <c r="I714">
        <v>2018</v>
      </c>
      <c r="J714" s="4" t="str">
        <f>HYPERLINK("http://legacy.baseballprospectus.com/fantasy/dc/index.php?tm=WAS","WAS")</f>
        <v>WAS</v>
      </c>
      <c r="K714" t="s">
        <v>100</v>
      </c>
      <c r="L714" t="s">
        <v>34</v>
      </c>
      <c r="M714">
        <v>40</v>
      </c>
      <c r="N714">
        <v>1.3</v>
      </c>
      <c r="O714">
        <v>1.2</v>
      </c>
      <c r="P714">
        <v>0</v>
      </c>
      <c r="Q714">
        <v>0</v>
      </c>
      <c r="R714">
        <v>0</v>
      </c>
      <c r="S714">
        <v>1</v>
      </c>
      <c r="T714">
        <v>25</v>
      </c>
      <c r="U714">
        <v>0</v>
      </c>
      <c r="V714" s="9">
        <v>26</v>
      </c>
      <c r="W714">
        <v>114</v>
      </c>
      <c r="X714">
        <v>26</v>
      </c>
      <c r="Y714">
        <v>4</v>
      </c>
      <c r="Z714">
        <v>12</v>
      </c>
      <c r="AA714">
        <v>1</v>
      </c>
      <c r="AB714">
        <v>1</v>
      </c>
      <c r="AC714">
        <v>22</v>
      </c>
      <c r="AD714">
        <v>4.2</v>
      </c>
      <c r="AE714">
        <v>7.7</v>
      </c>
      <c r="AF714" s="5">
        <v>0.41599999999999998</v>
      </c>
      <c r="AG714">
        <v>0.28499999999999998</v>
      </c>
      <c r="AH714">
        <v>1.41</v>
      </c>
      <c r="AI714">
        <v>5.2</v>
      </c>
      <c r="AJ714">
        <v>5.22</v>
      </c>
      <c r="AK714">
        <v>-0.6</v>
      </c>
      <c r="AL714">
        <v>-0.1</v>
      </c>
      <c r="AM714">
        <v>34</v>
      </c>
      <c r="AN714">
        <v>44</v>
      </c>
      <c r="AO714">
        <v>20</v>
      </c>
      <c r="AP714">
        <v>7</v>
      </c>
      <c r="AQ714" t="s">
        <v>3019</v>
      </c>
      <c r="AR714">
        <v>82</v>
      </c>
      <c r="AS714" t="s">
        <v>35</v>
      </c>
      <c r="AT714" t="s">
        <v>36</v>
      </c>
      <c r="AU714" s="4">
        <f>HYPERLINK("http://mlb.mlb.com/team/player.jsp?player_id=276542",276542)</f>
        <v>276542</v>
      </c>
      <c r="AV714">
        <v>0</v>
      </c>
      <c r="AW714">
        <v>0</v>
      </c>
      <c r="AX714">
        <v>50.3</v>
      </c>
    </row>
    <row r="715" spans="1:50" x14ac:dyDescent="0.3">
      <c r="A715" s="4">
        <f>HYPERLINK("http://legacy.baseballprospectus.com/p/34744",34744)</f>
        <v>34744</v>
      </c>
      <c r="B715" t="s">
        <v>298</v>
      </c>
      <c r="C715" t="s">
        <v>1462</v>
      </c>
      <c r="D715" s="10">
        <v>30739</v>
      </c>
      <c r="E715" t="s">
        <v>33</v>
      </c>
      <c r="F715" t="s">
        <v>33</v>
      </c>
      <c r="G715">
        <v>76</v>
      </c>
      <c r="H715">
        <v>315</v>
      </c>
      <c r="I715">
        <v>2018</v>
      </c>
      <c r="J715" s="4" t="str">
        <f>HYPERLINK("http://legacy.baseballprospectus.com/fantasy/dc/index.php?tm=MIA","MIA")</f>
        <v>MIA</v>
      </c>
      <c r="K715" t="s">
        <v>100</v>
      </c>
      <c r="L715" t="s">
        <v>34</v>
      </c>
      <c r="M715">
        <v>34</v>
      </c>
      <c r="N715">
        <v>0.6</v>
      </c>
      <c r="O715">
        <v>0.8</v>
      </c>
      <c r="P715">
        <v>0</v>
      </c>
      <c r="Q715">
        <v>0</v>
      </c>
      <c r="R715">
        <v>0</v>
      </c>
      <c r="S715">
        <v>0</v>
      </c>
      <c r="T715">
        <v>15</v>
      </c>
      <c r="U715">
        <v>0</v>
      </c>
      <c r="V715" s="9">
        <v>16.333300000000001</v>
      </c>
      <c r="W715">
        <v>72</v>
      </c>
      <c r="X715">
        <v>16</v>
      </c>
      <c r="Y715">
        <v>3</v>
      </c>
      <c r="Z715">
        <v>8</v>
      </c>
      <c r="AA715">
        <v>1</v>
      </c>
      <c r="AB715">
        <v>1</v>
      </c>
      <c r="AC715">
        <v>15</v>
      </c>
      <c r="AD715">
        <v>4.3</v>
      </c>
      <c r="AE715">
        <v>8</v>
      </c>
      <c r="AF715" s="5">
        <v>0.434</v>
      </c>
      <c r="AG715">
        <v>0.29399999999999998</v>
      </c>
      <c r="AH715">
        <v>1.48</v>
      </c>
      <c r="AI715">
        <v>5.36</v>
      </c>
      <c r="AJ715">
        <v>5.33</v>
      </c>
      <c r="AK715">
        <v>-0.6</v>
      </c>
      <c r="AL715">
        <v>-0.1</v>
      </c>
      <c r="AM715">
        <v>14</v>
      </c>
      <c r="AN715">
        <v>25</v>
      </c>
      <c r="AO715">
        <v>21</v>
      </c>
      <c r="AP715">
        <v>11</v>
      </c>
      <c r="AQ715" t="s">
        <v>3023</v>
      </c>
      <c r="AR715">
        <v>69</v>
      </c>
      <c r="AS715" t="s">
        <v>35</v>
      </c>
      <c r="AT715" t="s">
        <v>36</v>
      </c>
      <c r="AU715" s="4">
        <f>HYPERLINK("http://mlb.mlb.com/team/player.jsp?player_id=471822",471822)</f>
        <v>471822</v>
      </c>
      <c r="AV715">
        <v>0</v>
      </c>
      <c r="AW715">
        <v>0</v>
      </c>
      <c r="AX715">
        <v>30</v>
      </c>
    </row>
    <row r="716" spans="1:50" x14ac:dyDescent="0.3">
      <c r="A716" s="4">
        <f>HYPERLINK("http://legacy.baseballprospectus.com/p/40798",40798)</f>
        <v>40798</v>
      </c>
      <c r="B716" t="s">
        <v>554</v>
      </c>
      <c r="C716" t="s">
        <v>489</v>
      </c>
      <c r="D716" s="10">
        <v>30254</v>
      </c>
      <c r="E716" t="s">
        <v>9</v>
      </c>
      <c r="F716" t="s">
        <v>9</v>
      </c>
      <c r="G716">
        <v>75</v>
      </c>
      <c r="H716">
        <v>215</v>
      </c>
      <c r="I716">
        <v>2018</v>
      </c>
      <c r="J716" s="4" t="str">
        <f>HYPERLINK("http://legacy.baseballprospectus.com/fantasy/dc/index.php?tm=SFN","SFN")</f>
        <v>SFN</v>
      </c>
      <c r="K716" t="s">
        <v>100</v>
      </c>
      <c r="L716" t="s">
        <v>34</v>
      </c>
      <c r="M716">
        <v>35</v>
      </c>
      <c r="N716">
        <v>0.8</v>
      </c>
      <c r="O716">
        <v>0.7</v>
      </c>
      <c r="P716">
        <v>0</v>
      </c>
      <c r="Q716">
        <v>0</v>
      </c>
      <c r="R716">
        <v>0</v>
      </c>
      <c r="S716">
        <v>0</v>
      </c>
      <c r="T716">
        <v>15</v>
      </c>
      <c r="U716">
        <v>0</v>
      </c>
      <c r="V716" s="9">
        <v>15.666700000000001</v>
      </c>
      <c r="W716">
        <v>71</v>
      </c>
      <c r="X716">
        <v>17</v>
      </c>
      <c r="Y716">
        <v>2</v>
      </c>
      <c r="Z716">
        <v>7</v>
      </c>
      <c r="AA716">
        <v>0</v>
      </c>
      <c r="AB716">
        <v>0</v>
      </c>
      <c r="AC716">
        <v>11</v>
      </c>
      <c r="AD716">
        <v>4.0999999999999996</v>
      </c>
      <c r="AE716">
        <v>6.4</v>
      </c>
      <c r="AF716" s="5">
        <v>0.44900000000000001</v>
      </c>
      <c r="AG716">
        <v>0.30299999999999999</v>
      </c>
      <c r="AH716">
        <v>1.59</v>
      </c>
      <c r="AI716">
        <v>4.97</v>
      </c>
      <c r="AJ716">
        <v>5.49</v>
      </c>
      <c r="AK716">
        <v>-0.8</v>
      </c>
      <c r="AL716">
        <v>-0.1</v>
      </c>
      <c r="AM716">
        <v>22</v>
      </c>
      <c r="AN716">
        <v>40</v>
      </c>
      <c r="AO716">
        <v>18</v>
      </c>
      <c r="AP716">
        <v>14</v>
      </c>
      <c r="AQ716" t="s">
        <v>5020</v>
      </c>
      <c r="AR716">
        <v>70</v>
      </c>
      <c r="AS716" t="s">
        <v>35</v>
      </c>
      <c r="AT716" t="s">
        <v>35</v>
      </c>
      <c r="AU716" s="4">
        <f>HYPERLINK("http://mlb.mlb.com/team/player.jsp?player_id=448159",448159)</f>
        <v>448159</v>
      </c>
      <c r="AV716">
        <v>0</v>
      </c>
      <c r="AW716">
        <v>0</v>
      </c>
      <c r="AX716">
        <v>0</v>
      </c>
    </row>
    <row r="717" spans="1:50" x14ac:dyDescent="0.3">
      <c r="A717" s="4">
        <f>HYPERLINK("http://legacy.baseballprospectus.com/p/46298",46298)</f>
        <v>46298</v>
      </c>
      <c r="B717" t="s">
        <v>2026</v>
      </c>
      <c r="C717" t="s">
        <v>113</v>
      </c>
      <c r="D717" s="10">
        <v>30895</v>
      </c>
      <c r="E717" t="s">
        <v>33</v>
      </c>
      <c r="F717" t="s">
        <v>33</v>
      </c>
      <c r="G717">
        <v>72</v>
      </c>
      <c r="H717">
        <v>190</v>
      </c>
      <c r="I717">
        <v>2018</v>
      </c>
      <c r="J717" s="4" t="str">
        <f>HYPERLINK("http://legacy.baseballprospectus.com/fantasy/dc/index.php?tm=WAS","WAS")</f>
        <v>WAS</v>
      </c>
      <c r="K717" t="s">
        <v>100</v>
      </c>
      <c r="L717" t="s">
        <v>34</v>
      </c>
      <c r="M717">
        <v>33</v>
      </c>
      <c r="N717">
        <v>2.6</v>
      </c>
      <c r="O717">
        <v>2.4</v>
      </c>
      <c r="P717">
        <v>0</v>
      </c>
      <c r="Q717">
        <v>0</v>
      </c>
      <c r="R717">
        <v>2</v>
      </c>
      <c r="S717">
        <v>4</v>
      </c>
      <c r="T717">
        <v>49</v>
      </c>
      <c r="U717">
        <v>0</v>
      </c>
      <c r="V717" s="9">
        <v>52</v>
      </c>
      <c r="W717">
        <v>231</v>
      </c>
      <c r="X717">
        <v>57</v>
      </c>
      <c r="Y717">
        <v>7</v>
      </c>
      <c r="Z717">
        <v>21</v>
      </c>
      <c r="AA717">
        <v>2</v>
      </c>
      <c r="AB717">
        <v>3</v>
      </c>
      <c r="AC717">
        <v>35</v>
      </c>
      <c r="AD717">
        <v>3.6</v>
      </c>
      <c r="AE717">
        <v>6.1</v>
      </c>
      <c r="AF717" s="5">
        <v>0.53700000000000003</v>
      </c>
      <c r="AG717">
        <v>0.30299999999999999</v>
      </c>
      <c r="AH717">
        <v>1.51</v>
      </c>
      <c r="AI717">
        <v>5.19</v>
      </c>
      <c r="AJ717">
        <v>5.19</v>
      </c>
      <c r="AK717">
        <v>-1.1000000000000001</v>
      </c>
      <c r="AL717">
        <v>-0.1</v>
      </c>
      <c r="AM717">
        <v>23</v>
      </c>
      <c r="AN717">
        <v>40</v>
      </c>
      <c r="AO717">
        <v>25</v>
      </c>
      <c r="AP717">
        <v>9</v>
      </c>
      <c r="AQ717" t="s">
        <v>2982</v>
      </c>
      <c r="AR717">
        <v>78</v>
      </c>
      <c r="AS717" t="s">
        <v>35</v>
      </c>
      <c r="AT717" t="s">
        <v>36</v>
      </c>
      <c r="AU717" s="4">
        <f>HYPERLINK("http://mlb.mlb.com/team/player.jsp?player_id=445213",445213)</f>
        <v>445213</v>
      </c>
      <c r="AV717">
        <v>1244</v>
      </c>
      <c r="AW717">
        <v>244</v>
      </c>
      <c r="AX717">
        <v>71.3</v>
      </c>
    </row>
    <row r="718" spans="1:50" x14ac:dyDescent="0.3">
      <c r="A718" s="4">
        <f>HYPERLINK("http://legacy.baseballprospectus.com/p/51654",51654)</f>
        <v>51654</v>
      </c>
      <c r="B718" t="s">
        <v>3323</v>
      </c>
      <c r="C718" t="s">
        <v>841</v>
      </c>
      <c r="D718" s="10">
        <v>31968</v>
      </c>
      <c r="E718" t="s">
        <v>33</v>
      </c>
      <c r="F718" t="s">
        <v>33</v>
      </c>
      <c r="G718">
        <v>74</v>
      </c>
      <c r="H718">
        <v>215</v>
      </c>
      <c r="I718">
        <v>2018</v>
      </c>
      <c r="J718" s="4" t="str">
        <f>HYPERLINK("http://legacy.baseballprospectus.com/fantasy/dc/index.php?tm=CHA","CHA")</f>
        <v>CHA</v>
      </c>
      <c r="K718" t="s">
        <v>95</v>
      </c>
      <c r="L718" t="s">
        <v>34</v>
      </c>
      <c r="M718">
        <v>30</v>
      </c>
      <c r="N718">
        <v>2.2000000000000002</v>
      </c>
      <c r="O718">
        <v>2.8</v>
      </c>
      <c r="P718">
        <v>0</v>
      </c>
      <c r="Q718">
        <v>0</v>
      </c>
      <c r="R718">
        <v>0</v>
      </c>
      <c r="S718">
        <v>1</v>
      </c>
      <c r="T718">
        <v>49</v>
      </c>
      <c r="U718">
        <v>0</v>
      </c>
      <c r="V718" s="9">
        <v>52.333300000000001</v>
      </c>
      <c r="W718">
        <v>234</v>
      </c>
      <c r="X718">
        <v>53</v>
      </c>
      <c r="Y718">
        <v>9</v>
      </c>
      <c r="Z718">
        <v>27</v>
      </c>
      <c r="AA718">
        <v>3</v>
      </c>
      <c r="AB718">
        <v>3</v>
      </c>
      <c r="AC718">
        <v>48</v>
      </c>
      <c r="AD718">
        <v>4.5999999999999996</v>
      </c>
      <c r="AE718">
        <v>8.1999999999999993</v>
      </c>
      <c r="AF718" s="5">
        <v>0.41099999999999998</v>
      </c>
      <c r="AG718">
        <v>0.29699999999999999</v>
      </c>
      <c r="AH718">
        <v>1.52</v>
      </c>
      <c r="AI718">
        <v>5.46</v>
      </c>
      <c r="AJ718">
        <v>5.42</v>
      </c>
      <c r="AK718">
        <v>-0.9</v>
      </c>
      <c r="AL718">
        <v>-0.1</v>
      </c>
      <c r="AM718">
        <v>13</v>
      </c>
      <c r="AN718">
        <v>21</v>
      </c>
      <c r="AO718">
        <v>8</v>
      </c>
      <c r="AP718">
        <v>18</v>
      </c>
      <c r="AQ718" t="s">
        <v>3324</v>
      </c>
      <c r="AR718">
        <v>34</v>
      </c>
      <c r="AS718" t="s">
        <v>35</v>
      </c>
      <c r="AT718" t="s">
        <v>36</v>
      </c>
      <c r="AU718" s="4">
        <f>HYPERLINK("http://mlb.mlb.com/team/player.jsp?player_id=500872",500872)</f>
        <v>500872</v>
      </c>
      <c r="AV718">
        <v>277</v>
      </c>
      <c r="AW718">
        <v>1277</v>
      </c>
      <c r="AX718">
        <v>54.7</v>
      </c>
    </row>
    <row r="719" spans="1:50" x14ac:dyDescent="0.3">
      <c r="A719" s="4">
        <f>HYPERLINK("http://legacy.baseballprospectus.com/p/59595",59595)</f>
        <v>59595</v>
      </c>
      <c r="B719" t="s">
        <v>1610</v>
      </c>
      <c r="C719" t="s">
        <v>1307</v>
      </c>
      <c r="D719" s="10">
        <v>32120</v>
      </c>
      <c r="E719" t="s">
        <v>9</v>
      </c>
      <c r="F719" t="s">
        <v>9</v>
      </c>
      <c r="G719">
        <v>71</v>
      </c>
      <c r="H719">
        <v>198</v>
      </c>
      <c r="I719">
        <v>2018</v>
      </c>
      <c r="J719" s="4" t="str">
        <f>HYPERLINK("http://legacy.baseballprospectus.com/fantasy/dc/index.php?tm=SDN","SDN")</f>
        <v>SDN</v>
      </c>
      <c r="K719" t="s">
        <v>100</v>
      </c>
      <c r="L719" t="s">
        <v>34</v>
      </c>
      <c r="M719">
        <v>30</v>
      </c>
      <c r="N719">
        <v>3</v>
      </c>
      <c r="O719">
        <v>2.9</v>
      </c>
      <c r="P719">
        <v>0</v>
      </c>
      <c r="Q719">
        <v>0</v>
      </c>
      <c r="R719">
        <v>0</v>
      </c>
      <c r="S719">
        <v>0</v>
      </c>
      <c r="T719">
        <v>59</v>
      </c>
      <c r="U719">
        <v>0</v>
      </c>
      <c r="V719" s="9">
        <v>62.666699999999999</v>
      </c>
      <c r="W719">
        <v>274</v>
      </c>
      <c r="X719">
        <v>58</v>
      </c>
      <c r="Y719">
        <v>9</v>
      </c>
      <c r="Z719">
        <v>30</v>
      </c>
      <c r="AA719">
        <v>2</v>
      </c>
      <c r="AB719">
        <v>5</v>
      </c>
      <c r="AC719">
        <v>63</v>
      </c>
      <c r="AD719">
        <v>4.3</v>
      </c>
      <c r="AE719">
        <v>9.1</v>
      </c>
      <c r="AF719" s="5">
        <v>0.38700000000000001</v>
      </c>
      <c r="AG719">
        <v>0.28799999999999998</v>
      </c>
      <c r="AH719">
        <v>1.38</v>
      </c>
      <c r="AI719">
        <v>4.8600000000000003</v>
      </c>
      <c r="AJ719">
        <v>5.08</v>
      </c>
      <c r="AK719">
        <v>-0.6</v>
      </c>
      <c r="AL719">
        <v>-0.1</v>
      </c>
      <c r="AM719">
        <v>14</v>
      </c>
      <c r="AN719">
        <v>23</v>
      </c>
      <c r="AO719">
        <v>11</v>
      </c>
      <c r="AP719">
        <v>18</v>
      </c>
      <c r="AQ719" t="s">
        <v>3326</v>
      </c>
      <c r="AR719">
        <v>37</v>
      </c>
      <c r="AS719" t="s">
        <v>35</v>
      </c>
      <c r="AT719" t="s">
        <v>35</v>
      </c>
      <c r="AU719" s="4">
        <f>HYPERLINK("http://mlb.mlb.com/team/player.jsp?player_id=571473",571473)</f>
        <v>571473</v>
      </c>
      <c r="AV719">
        <v>1330</v>
      </c>
      <c r="AW719">
        <v>330</v>
      </c>
      <c r="AX719">
        <v>17.7</v>
      </c>
    </row>
    <row r="720" spans="1:50" x14ac:dyDescent="0.3">
      <c r="A720" s="4">
        <f>HYPERLINK("http://legacy.baseballprospectus.com/p/60172",60172)</f>
        <v>60172</v>
      </c>
      <c r="B720" t="s">
        <v>1626</v>
      </c>
      <c r="C720" t="s">
        <v>181</v>
      </c>
      <c r="D720" s="10">
        <v>31857</v>
      </c>
      <c r="E720" t="s">
        <v>33</v>
      </c>
      <c r="F720" t="s">
        <v>33</v>
      </c>
      <c r="G720">
        <v>72</v>
      </c>
      <c r="H720">
        <v>195</v>
      </c>
      <c r="I720">
        <v>2018</v>
      </c>
      <c r="J720" s="4" t="str">
        <f>HYPERLINK("http://legacy.baseballprospectus.com/fantasy/dc/index.php?tm=MIL","MIL")</f>
        <v>MIL</v>
      </c>
      <c r="K720" t="s">
        <v>100</v>
      </c>
      <c r="L720" t="s">
        <v>34</v>
      </c>
      <c r="M720">
        <v>31</v>
      </c>
      <c r="N720">
        <v>0.9</v>
      </c>
      <c r="O720">
        <v>0.8</v>
      </c>
      <c r="P720">
        <v>0</v>
      </c>
      <c r="Q720">
        <v>0</v>
      </c>
      <c r="R720">
        <v>0</v>
      </c>
      <c r="S720">
        <v>0</v>
      </c>
      <c r="T720">
        <v>17</v>
      </c>
      <c r="U720">
        <v>0</v>
      </c>
      <c r="V720" s="9">
        <v>18.333300000000001</v>
      </c>
      <c r="W720">
        <v>80</v>
      </c>
      <c r="X720">
        <v>20</v>
      </c>
      <c r="Y720">
        <v>4</v>
      </c>
      <c r="Z720">
        <v>6</v>
      </c>
      <c r="AA720">
        <v>1</v>
      </c>
      <c r="AB720">
        <v>1</v>
      </c>
      <c r="AC720">
        <v>16</v>
      </c>
      <c r="AD720">
        <v>3.1</v>
      </c>
      <c r="AE720">
        <v>8</v>
      </c>
      <c r="AF720" s="5">
        <v>0.40100000000000002</v>
      </c>
      <c r="AG720">
        <v>0.29699999999999999</v>
      </c>
      <c r="AH720">
        <v>1.43</v>
      </c>
      <c r="AI720">
        <v>5.55</v>
      </c>
      <c r="AJ720">
        <v>5.54</v>
      </c>
      <c r="AK720">
        <v>-1</v>
      </c>
      <c r="AL720">
        <v>-0.1</v>
      </c>
      <c r="AM720">
        <v>10</v>
      </c>
      <c r="AN720">
        <v>21</v>
      </c>
      <c r="AO720">
        <v>9</v>
      </c>
      <c r="AP720">
        <v>19</v>
      </c>
      <c r="AQ720" t="s">
        <v>3000</v>
      </c>
      <c r="AR720">
        <v>31</v>
      </c>
      <c r="AS720" t="s">
        <v>35</v>
      </c>
      <c r="AT720" t="s">
        <v>35</v>
      </c>
      <c r="AU720" s="4">
        <f>HYPERLINK("http://mlb.mlb.com/team/player.jsp?player_id=572728",572728)</f>
        <v>572728</v>
      </c>
      <c r="AV720">
        <v>0</v>
      </c>
      <c r="AW720">
        <v>0</v>
      </c>
      <c r="AX720">
        <v>31.7</v>
      </c>
    </row>
    <row r="721" spans="1:50" x14ac:dyDescent="0.3">
      <c r="A721" s="4">
        <f>HYPERLINK("http://legacy.baseballprospectus.com/p/65756",65756)</f>
        <v>65756</v>
      </c>
      <c r="B721" t="s">
        <v>4947</v>
      </c>
      <c r="C721" t="s">
        <v>814</v>
      </c>
      <c r="D721" s="10">
        <v>30666</v>
      </c>
      <c r="E721" t="s">
        <v>33</v>
      </c>
      <c r="F721" t="s">
        <v>33</v>
      </c>
      <c r="G721">
        <v>78</v>
      </c>
      <c r="H721">
        <v>220</v>
      </c>
      <c r="I721">
        <v>2018</v>
      </c>
      <c r="J721" s="4" t="str">
        <f>HYPERLINK("http://legacy.baseballprospectus.com/fantasy/dc/index.php?tm=SDN","SDN")</f>
        <v>SDN</v>
      </c>
      <c r="K721" t="s">
        <v>100</v>
      </c>
      <c r="L721" t="s">
        <v>34</v>
      </c>
      <c r="M721">
        <v>34</v>
      </c>
      <c r="N721">
        <v>0.5</v>
      </c>
      <c r="O721">
        <v>0.6</v>
      </c>
      <c r="P721">
        <v>0</v>
      </c>
      <c r="Q721">
        <v>0</v>
      </c>
      <c r="R721">
        <v>0</v>
      </c>
      <c r="S721">
        <v>0</v>
      </c>
      <c r="T721">
        <v>11</v>
      </c>
      <c r="U721">
        <v>0</v>
      </c>
      <c r="V721" s="9">
        <v>11.333299999999999</v>
      </c>
      <c r="W721">
        <v>50</v>
      </c>
      <c r="X721">
        <v>11</v>
      </c>
      <c r="Y721">
        <v>2</v>
      </c>
      <c r="Z721">
        <v>5</v>
      </c>
      <c r="AA721">
        <v>0</v>
      </c>
      <c r="AB721">
        <v>1</v>
      </c>
      <c r="AC721">
        <v>9</v>
      </c>
      <c r="AD721">
        <v>4.3</v>
      </c>
      <c r="AE721">
        <v>7</v>
      </c>
      <c r="AF721" s="5">
        <v>0.46800000000000003</v>
      </c>
      <c r="AG721">
        <v>0.29399999999999998</v>
      </c>
      <c r="AH721">
        <v>1.48</v>
      </c>
      <c r="AI721">
        <v>5.29</v>
      </c>
      <c r="AJ721">
        <v>5.5</v>
      </c>
      <c r="AK721">
        <v>-0.6</v>
      </c>
      <c r="AL721">
        <v>-0.1</v>
      </c>
      <c r="AM721">
        <v>20</v>
      </c>
      <c r="AN721">
        <v>28</v>
      </c>
      <c r="AO721">
        <v>24</v>
      </c>
      <c r="AP721">
        <v>7</v>
      </c>
      <c r="AQ721" t="s">
        <v>4948</v>
      </c>
      <c r="AR721">
        <v>71</v>
      </c>
      <c r="AS721" t="s">
        <v>35</v>
      </c>
      <c r="AT721" t="s">
        <v>36</v>
      </c>
      <c r="AU721" s="4">
        <f>HYPERLINK("http://mlb.mlb.com/team/player.jsp?player_id=452666",452666)</f>
        <v>452666</v>
      </c>
      <c r="AV721">
        <v>0</v>
      </c>
      <c r="AW721">
        <v>0</v>
      </c>
      <c r="AX721">
        <v>26.3</v>
      </c>
    </row>
    <row r="722" spans="1:50" x14ac:dyDescent="0.3">
      <c r="A722" s="4">
        <f>HYPERLINK("http://legacy.baseballprospectus.com/p/66174",66174)</f>
        <v>66174</v>
      </c>
      <c r="B722" t="s">
        <v>359</v>
      </c>
      <c r="C722" t="s">
        <v>1299</v>
      </c>
      <c r="D722" s="10">
        <v>33103</v>
      </c>
      <c r="E722" t="s">
        <v>33</v>
      </c>
      <c r="F722" t="s">
        <v>33</v>
      </c>
      <c r="G722">
        <v>73</v>
      </c>
      <c r="H722">
        <v>220</v>
      </c>
      <c r="I722">
        <v>2018</v>
      </c>
      <c r="J722" s="4" t="str">
        <f>HYPERLINK("http://legacy.baseballprospectus.com/fantasy/dc/index.php?tm=LAN","LAN")</f>
        <v>LAN</v>
      </c>
      <c r="K722" t="s">
        <v>100</v>
      </c>
      <c r="L722" t="s">
        <v>34</v>
      </c>
      <c r="M722">
        <v>27</v>
      </c>
      <c r="N722">
        <v>2</v>
      </c>
      <c r="O722">
        <v>1.6</v>
      </c>
      <c r="P722">
        <v>0</v>
      </c>
      <c r="Q722">
        <v>0</v>
      </c>
      <c r="R722">
        <v>0</v>
      </c>
      <c r="S722">
        <v>1</v>
      </c>
      <c r="T722">
        <v>35</v>
      </c>
      <c r="U722">
        <v>0</v>
      </c>
      <c r="V722" s="9">
        <v>37</v>
      </c>
      <c r="W722">
        <v>160</v>
      </c>
      <c r="X722">
        <v>35</v>
      </c>
      <c r="Y722">
        <v>7</v>
      </c>
      <c r="Z722">
        <v>15</v>
      </c>
      <c r="AA722">
        <v>1</v>
      </c>
      <c r="AB722">
        <v>3</v>
      </c>
      <c r="AC722">
        <v>39</v>
      </c>
      <c r="AD722">
        <v>3.6</v>
      </c>
      <c r="AE722">
        <v>9.6</v>
      </c>
      <c r="AF722" s="5">
        <v>0.38300000000000001</v>
      </c>
      <c r="AG722">
        <v>0.28799999999999998</v>
      </c>
      <c r="AH722">
        <v>1.32</v>
      </c>
      <c r="AI722">
        <v>4.9400000000000004</v>
      </c>
      <c r="AJ722">
        <v>5.2</v>
      </c>
      <c r="AK722">
        <v>-0.8</v>
      </c>
      <c r="AL722">
        <v>-0.1</v>
      </c>
      <c r="AM722">
        <v>24</v>
      </c>
      <c r="AN722">
        <v>37</v>
      </c>
      <c r="AO722">
        <v>19</v>
      </c>
      <c r="AP722">
        <v>27</v>
      </c>
      <c r="AQ722" t="s">
        <v>3005</v>
      </c>
      <c r="AR722">
        <v>79</v>
      </c>
      <c r="AS722" t="s">
        <v>35</v>
      </c>
      <c r="AT722" t="s">
        <v>36</v>
      </c>
      <c r="AU722" s="4">
        <f>HYPERLINK("http://mlb.mlb.com/team/player.jsp?player_id=554340",554340)</f>
        <v>554340</v>
      </c>
      <c r="AV722">
        <v>1358</v>
      </c>
      <c r="AW722">
        <v>358</v>
      </c>
      <c r="AX722">
        <v>0</v>
      </c>
    </row>
    <row r="723" spans="1:50" x14ac:dyDescent="0.3">
      <c r="A723" s="4">
        <f>HYPERLINK("http://legacy.baseballprospectus.com/p/66189",66189)</f>
        <v>66189</v>
      </c>
      <c r="B723" t="s">
        <v>420</v>
      </c>
      <c r="C723" t="s">
        <v>904</v>
      </c>
      <c r="D723" s="10">
        <v>33665</v>
      </c>
      <c r="E723" t="s">
        <v>33</v>
      </c>
      <c r="F723" t="s">
        <v>33</v>
      </c>
      <c r="G723">
        <v>76</v>
      </c>
      <c r="H723">
        <v>230</v>
      </c>
      <c r="I723">
        <v>2018</v>
      </c>
      <c r="J723" s="4" t="str">
        <f>HYPERLINK("http://legacy.baseballprospectus.com/fantasy/dc/index.php?tm=CIN","CIN")</f>
        <v>CIN</v>
      </c>
      <c r="K723" t="s">
        <v>100</v>
      </c>
      <c r="L723" t="s">
        <v>34</v>
      </c>
      <c r="M723">
        <v>26</v>
      </c>
      <c r="N723">
        <v>0.8</v>
      </c>
      <c r="O723">
        <v>0.9</v>
      </c>
      <c r="P723">
        <v>0</v>
      </c>
      <c r="Q723">
        <v>0</v>
      </c>
      <c r="R723">
        <v>0</v>
      </c>
      <c r="S723">
        <v>0</v>
      </c>
      <c r="T723">
        <v>16</v>
      </c>
      <c r="U723">
        <v>0</v>
      </c>
      <c r="V723" s="9">
        <v>17</v>
      </c>
      <c r="W723">
        <v>77</v>
      </c>
      <c r="X723">
        <v>16</v>
      </c>
      <c r="Y723">
        <v>3</v>
      </c>
      <c r="Z723">
        <v>11</v>
      </c>
      <c r="AA723">
        <v>1</v>
      </c>
      <c r="AB723">
        <v>1</v>
      </c>
      <c r="AC723">
        <v>18</v>
      </c>
      <c r="AD723">
        <v>5.8</v>
      </c>
      <c r="AE723">
        <v>9.6999999999999993</v>
      </c>
      <c r="AF723" s="5">
        <v>0.43099999999999999</v>
      </c>
      <c r="AG723">
        <v>0.29199999999999998</v>
      </c>
      <c r="AH723">
        <v>1.56</v>
      </c>
      <c r="AI723">
        <v>5.87</v>
      </c>
      <c r="AJ723">
        <v>5.57</v>
      </c>
      <c r="AK723">
        <v>-1</v>
      </c>
      <c r="AL723">
        <v>-0.1</v>
      </c>
      <c r="AM723">
        <v>14</v>
      </c>
      <c r="AN723">
        <v>19</v>
      </c>
      <c r="AO723">
        <v>12</v>
      </c>
      <c r="AP723">
        <v>18</v>
      </c>
      <c r="AQ723" t="s">
        <v>3244</v>
      </c>
      <c r="AR723">
        <v>35</v>
      </c>
      <c r="AS723" t="s">
        <v>35</v>
      </c>
      <c r="AT723" t="s">
        <v>35</v>
      </c>
      <c r="AU723" s="4">
        <f>HYPERLINK("http://mlb.mlb.com/team/player.jsp?player_id=554374",554374)</f>
        <v>554374</v>
      </c>
      <c r="AV723">
        <v>1323</v>
      </c>
      <c r="AW723">
        <v>323</v>
      </c>
      <c r="AX723">
        <v>24.3</v>
      </c>
    </row>
    <row r="724" spans="1:50" x14ac:dyDescent="0.3">
      <c r="A724" s="4">
        <f>HYPERLINK("http://legacy.baseballprospectus.com/p/66213",66213)</f>
        <v>66213</v>
      </c>
      <c r="B724" t="s">
        <v>687</v>
      </c>
      <c r="C724" t="s">
        <v>266</v>
      </c>
      <c r="D724" s="10">
        <v>33023</v>
      </c>
      <c r="E724" t="s">
        <v>9</v>
      </c>
      <c r="F724" t="s">
        <v>33</v>
      </c>
      <c r="G724">
        <v>76</v>
      </c>
      <c r="H724">
        <v>195</v>
      </c>
      <c r="I724">
        <v>2018</v>
      </c>
      <c r="J724" s="4" t="str">
        <f>HYPERLINK("http://legacy.baseballprospectus.com/fantasy/dc/index.php?tm=NYN","NYN")</f>
        <v>NYN</v>
      </c>
      <c r="K724" t="s">
        <v>100</v>
      </c>
      <c r="L724" t="s">
        <v>34</v>
      </c>
      <c r="M724">
        <v>28</v>
      </c>
      <c r="N724">
        <v>6.2</v>
      </c>
      <c r="O724">
        <v>7.7</v>
      </c>
      <c r="P724">
        <v>6</v>
      </c>
      <c r="Q724">
        <v>0</v>
      </c>
      <c r="R724">
        <v>0</v>
      </c>
      <c r="S724">
        <v>0</v>
      </c>
      <c r="T724">
        <v>48</v>
      </c>
      <c r="U724">
        <v>15</v>
      </c>
      <c r="V724" s="9">
        <v>121</v>
      </c>
      <c r="W724">
        <v>535</v>
      </c>
      <c r="X724">
        <v>122</v>
      </c>
      <c r="Y724">
        <v>20</v>
      </c>
      <c r="Z724">
        <v>54</v>
      </c>
      <c r="AA724">
        <v>3</v>
      </c>
      <c r="AB724">
        <v>4</v>
      </c>
      <c r="AC724">
        <v>108</v>
      </c>
      <c r="AD724">
        <v>4</v>
      </c>
      <c r="AE724">
        <v>8</v>
      </c>
      <c r="AF724" s="5">
        <v>0.44800000000000001</v>
      </c>
      <c r="AG724">
        <v>0.29499999999999998</v>
      </c>
      <c r="AH724">
        <v>1.46</v>
      </c>
      <c r="AI724">
        <v>5.0599999999999996</v>
      </c>
      <c r="AJ724">
        <v>5.26</v>
      </c>
      <c r="AK724">
        <v>-0.9</v>
      </c>
      <c r="AL724">
        <v>-0.1</v>
      </c>
      <c r="AM724">
        <v>21</v>
      </c>
      <c r="AN724">
        <v>51</v>
      </c>
      <c r="AO724">
        <v>25</v>
      </c>
      <c r="AP724">
        <v>13</v>
      </c>
      <c r="AQ724" t="s">
        <v>2629</v>
      </c>
      <c r="AR724">
        <v>93</v>
      </c>
      <c r="AS724" t="s">
        <v>35</v>
      </c>
      <c r="AT724" t="s">
        <v>36</v>
      </c>
      <c r="AU724" s="4">
        <f>HYPERLINK("http://mlb.mlb.com/team/player.jsp?player_id=554430",554430)</f>
        <v>554430</v>
      </c>
      <c r="AV724">
        <v>1064</v>
      </c>
      <c r="AW724">
        <v>64</v>
      </c>
      <c r="AX724">
        <v>86.3</v>
      </c>
    </row>
    <row r="725" spans="1:50" x14ac:dyDescent="0.3">
      <c r="A725" s="4">
        <f>HYPERLINK("http://legacy.baseballprospectus.com/p/31330",31330)</f>
        <v>31330</v>
      </c>
      <c r="B725" t="s">
        <v>914</v>
      </c>
      <c r="C725" t="s">
        <v>713</v>
      </c>
      <c r="D725" s="10">
        <v>28719</v>
      </c>
      <c r="E725" t="s">
        <v>33</v>
      </c>
      <c r="F725" t="s">
        <v>33</v>
      </c>
      <c r="G725">
        <v>76</v>
      </c>
      <c r="H725">
        <v>235</v>
      </c>
      <c r="I725">
        <v>2018</v>
      </c>
      <c r="J725" s="4" t="str">
        <f>HYPERLINK("http://legacy.baseballprospectus.com/fantasy/dc/index.php?tm=COL","COL")</f>
        <v>COL</v>
      </c>
      <c r="K725" t="s">
        <v>100</v>
      </c>
      <c r="L725" t="s">
        <v>34</v>
      </c>
      <c r="M725">
        <v>39</v>
      </c>
      <c r="N725">
        <v>1.6</v>
      </c>
      <c r="O725">
        <v>0.6</v>
      </c>
      <c r="P725">
        <v>0</v>
      </c>
      <c r="Q725">
        <v>0</v>
      </c>
      <c r="R725">
        <v>0.2</v>
      </c>
      <c r="S725">
        <v>0</v>
      </c>
      <c r="T725">
        <v>32.5</v>
      </c>
      <c r="U725">
        <v>0</v>
      </c>
      <c r="V725" s="9">
        <v>34.333300000000001</v>
      </c>
      <c r="W725">
        <v>150</v>
      </c>
      <c r="X725">
        <v>38</v>
      </c>
      <c r="Y725">
        <v>5</v>
      </c>
      <c r="Z725">
        <v>15</v>
      </c>
      <c r="AA725" t="s">
        <v>1680</v>
      </c>
      <c r="AB725">
        <v>1</v>
      </c>
      <c r="AC725">
        <v>28</v>
      </c>
      <c r="AD725">
        <v>4</v>
      </c>
      <c r="AE725">
        <v>7.3</v>
      </c>
      <c r="AF725" s="5">
        <v>0.51662826538085904</v>
      </c>
      <c r="AG725">
        <v>0.32500000000000001</v>
      </c>
      <c r="AH725">
        <v>1.55</v>
      </c>
      <c r="AI725">
        <v>4.8600000000000003</v>
      </c>
      <c r="AJ725">
        <v>5.36</v>
      </c>
      <c r="AK725">
        <v>-0.5</v>
      </c>
      <c r="AL725">
        <v>-0.1</v>
      </c>
      <c r="AM725">
        <v>18</v>
      </c>
      <c r="AN725">
        <v>37</v>
      </c>
      <c r="AO725">
        <v>14</v>
      </c>
      <c r="AP725">
        <v>10</v>
      </c>
      <c r="AQ725" t="s">
        <v>3020</v>
      </c>
      <c r="AR725">
        <v>69</v>
      </c>
      <c r="AS725" t="s">
        <v>36</v>
      </c>
      <c r="AT725" t="s">
        <v>36</v>
      </c>
      <c r="AU725" s="4">
        <f>HYPERLINK("http://mlb.mlb.com/team/player.jsp?player_id=430589",430589)</f>
        <v>430589</v>
      </c>
      <c r="AV725">
        <v>0</v>
      </c>
      <c r="AW725">
        <v>0</v>
      </c>
      <c r="AX725">
        <v>16.7</v>
      </c>
    </row>
    <row r="726" spans="1:50" x14ac:dyDescent="0.3">
      <c r="A726" s="4">
        <f>HYPERLINK("http://legacy.baseballprospectus.com/p/32842",32842)</f>
        <v>32842</v>
      </c>
      <c r="B726" t="s">
        <v>1584</v>
      </c>
      <c r="C726" t="s">
        <v>169</v>
      </c>
      <c r="D726" s="10">
        <v>29566</v>
      </c>
      <c r="E726" t="s">
        <v>33</v>
      </c>
      <c r="F726" t="s">
        <v>33</v>
      </c>
      <c r="G726">
        <v>75</v>
      </c>
      <c r="H726">
        <v>225</v>
      </c>
      <c r="I726">
        <v>2018</v>
      </c>
      <c r="J726" s="4" t="str">
        <f>HYPERLINK("http://legacy.baseballprospectus.com/fantasy/dc/index.php?tm=WAS","WAS")</f>
        <v>WAS</v>
      </c>
      <c r="K726" t="s">
        <v>100</v>
      </c>
      <c r="L726" t="s">
        <v>34</v>
      </c>
      <c r="M726">
        <v>37</v>
      </c>
      <c r="N726">
        <v>2.2000000000000002</v>
      </c>
      <c r="O726">
        <v>1.2</v>
      </c>
      <c r="P726">
        <v>0.9</v>
      </c>
      <c r="Q726">
        <v>0</v>
      </c>
      <c r="R726">
        <v>0.2</v>
      </c>
      <c r="S726">
        <v>0</v>
      </c>
      <c r="T726">
        <v>32.799999999999997</v>
      </c>
      <c r="U726">
        <v>2.1</v>
      </c>
      <c r="V726" s="9">
        <v>43.666699999999999</v>
      </c>
      <c r="W726">
        <v>187</v>
      </c>
      <c r="X726">
        <v>45</v>
      </c>
      <c r="Y726">
        <v>8</v>
      </c>
      <c r="Z726">
        <v>17</v>
      </c>
      <c r="AA726" t="s">
        <v>1680</v>
      </c>
      <c r="AB726">
        <v>2</v>
      </c>
      <c r="AC726">
        <v>41</v>
      </c>
      <c r="AD726">
        <v>3.6</v>
      </c>
      <c r="AE726">
        <v>8.4</v>
      </c>
      <c r="AF726" s="5">
        <v>0.39601790904998702</v>
      </c>
      <c r="AG726">
        <v>0.312</v>
      </c>
      <c r="AH726">
        <v>1.43</v>
      </c>
      <c r="AI726">
        <v>4.87</v>
      </c>
      <c r="AJ726">
        <v>5.56</v>
      </c>
      <c r="AK726">
        <v>-1.3</v>
      </c>
      <c r="AL726">
        <v>-0.1</v>
      </c>
      <c r="AM726">
        <v>16</v>
      </c>
      <c r="AN726">
        <v>40</v>
      </c>
      <c r="AO726">
        <v>19</v>
      </c>
      <c r="AP726">
        <v>12</v>
      </c>
      <c r="AQ726" t="s">
        <v>2856</v>
      </c>
      <c r="AR726">
        <v>76</v>
      </c>
      <c r="AS726" t="s">
        <v>36</v>
      </c>
      <c r="AT726" t="s">
        <v>36</v>
      </c>
      <c r="AU726" s="4">
        <f>HYPERLINK("http://mlb.mlb.com/team/player.jsp?player_id=430599",430599)</f>
        <v>430599</v>
      </c>
      <c r="AV726">
        <v>0</v>
      </c>
      <c r="AW726">
        <v>0</v>
      </c>
      <c r="AX726">
        <v>44.3</v>
      </c>
    </row>
    <row r="727" spans="1:50" x14ac:dyDescent="0.3">
      <c r="A727" s="4">
        <f>HYPERLINK("http://legacy.baseballprospectus.com/p/45530",45530)</f>
        <v>45530</v>
      </c>
      <c r="B727" t="s">
        <v>3247</v>
      </c>
      <c r="C727" t="s">
        <v>814</v>
      </c>
      <c r="D727" s="10">
        <v>30144</v>
      </c>
      <c r="E727" t="s">
        <v>33</v>
      </c>
      <c r="F727" t="s">
        <v>9</v>
      </c>
      <c r="G727">
        <v>75</v>
      </c>
      <c r="H727">
        <v>218</v>
      </c>
      <c r="I727">
        <v>2018</v>
      </c>
      <c r="J727" s="4" t="str">
        <f>HYPERLINK("http://legacy.baseballprospectus.com/fantasy/dc/index.php?tm=NYN","NYN")</f>
        <v>NYN</v>
      </c>
      <c r="K727" t="s">
        <v>100</v>
      </c>
      <c r="L727" t="s">
        <v>34</v>
      </c>
      <c r="M727">
        <v>35</v>
      </c>
      <c r="N727">
        <v>1.6</v>
      </c>
      <c r="O727">
        <v>0.6</v>
      </c>
      <c r="P727">
        <v>0</v>
      </c>
      <c r="Q727">
        <v>0</v>
      </c>
      <c r="R727">
        <v>0.4</v>
      </c>
      <c r="S727">
        <v>0</v>
      </c>
      <c r="T727">
        <v>32.200000000000003</v>
      </c>
      <c r="U727">
        <v>0</v>
      </c>
      <c r="V727" s="9">
        <v>34</v>
      </c>
      <c r="W727">
        <v>150</v>
      </c>
      <c r="X727">
        <v>35</v>
      </c>
      <c r="Y727">
        <v>5</v>
      </c>
      <c r="Z727">
        <v>17</v>
      </c>
      <c r="AA727" t="s">
        <v>1680</v>
      </c>
      <c r="AB727">
        <v>3</v>
      </c>
      <c r="AC727">
        <v>31</v>
      </c>
      <c r="AD727">
        <v>4.5999999999999996</v>
      </c>
      <c r="AE727">
        <v>8.3000000000000007</v>
      </c>
      <c r="AF727" s="5">
        <v>0.45537412166595398</v>
      </c>
      <c r="AG727">
        <v>0.32200000000000001</v>
      </c>
      <c r="AH727">
        <v>1.53</v>
      </c>
      <c r="AI727">
        <v>4.92</v>
      </c>
      <c r="AJ727">
        <v>5.47</v>
      </c>
      <c r="AK727">
        <v>-0.8</v>
      </c>
      <c r="AL727">
        <v>-0.1</v>
      </c>
      <c r="AM727">
        <v>17</v>
      </c>
      <c r="AN727">
        <v>34</v>
      </c>
      <c r="AO727">
        <v>21</v>
      </c>
      <c r="AP727">
        <v>15</v>
      </c>
      <c r="AQ727" t="s">
        <v>3248</v>
      </c>
      <c r="AR727">
        <v>65</v>
      </c>
      <c r="AS727" t="s">
        <v>36</v>
      </c>
      <c r="AT727" t="s">
        <v>36</v>
      </c>
      <c r="AU727" s="4">
        <f>HYPERLINK("http://mlb.mlb.com/team/player.jsp?player_id=452733",452733)</f>
        <v>452733</v>
      </c>
      <c r="AV727">
        <v>0</v>
      </c>
      <c r="AW727">
        <v>0</v>
      </c>
      <c r="AX727">
        <v>0</v>
      </c>
    </row>
    <row r="728" spans="1:50" x14ac:dyDescent="0.3">
      <c r="A728" s="4">
        <f>HYPERLINK("http://legacy.baseballprospectus.com/p/45588",45588)</f>
        <v>45588</v>
      </c>
      <c r="B728" t="s">
        <v>955</v>
      </c>
      <c r="C728" t="s">
        <v>956</v>
      </c>
      <c r="D728" s="10">
        <v>30530</v>
      </c>
      <c r="E728" t="s">
        <v>33</v>
      </c>
      <c r="F728" t="s">
        <v>33</v>
      </c>
      <c r="G728">
        <v>72</v>
      </c>
      <c r="H728">
        <v>205</v>
      </c>
      <c r="I728">
        <v>2018</v>
      </c>
      <c r="J728" s="4" t="str">
        <f>HYPERLINK("http://legacy.baseballprospectus.com/fantasy/dc/index.php?tm=ANA","ANA")</f>
        <v>ANA</v>
      </c>
      <c r="K728" t="s">
        <v>95</v>
      </c>
      <c r="L728" t="s">
        <v>34</v>
      </c>
      <c r="M728">
        <v>34</v>
      </c>
      <c r="N728">
        <v>1.5</v>
      </c>
      <c r="O728">
        <v>0.5</v>
      </c>
      <c r="P728">
        <v>0</v>
      </c>
      <c r="Q728">
        <v>0</v>
      </c>
      <c r="R728">
        <v>6.2</v>
      </c>
      <c r="S728">
        <v>0</v>
      </c>
      <c r="T728">
        <v>32.299999999999997</v>
      </c>
      <c r="U728">
        <v>0</v>
      </c>
      <c r="V728" s="9">
        <v>34.333300000000001</v>
      </c>
      <c r="W728">
        <v>150</v>
      </c>
      <c r="X728">
        <v>33</v>
      </c>
      <c r="Y728">
        <v>6</v>
      </c>
      <c r="Z728">
        <v>16</v>
      </c>
      <c r="AA728" t="s">
        <v>1680</v>
      </c>
      <c r="AB728">
        <v>1</v>
      </c>
      <c r="AC728">
        <v>27</v>
      </c>
      <c r="AD728">
        <v>4.3</v>
      </c>
      <c r="AE728">
        <v>7.1</v>
      </c>
      <c r="AF728" s="5">
        <v>0.40957278013229298</v>
      </c>
      <c r="AG728">
        <v>0.27600000000000002</v>
      </c>
      <c r="AH728">
        <v>1.45</v>
      </c>
      <c r="AI728">
        <v>5.41</v>
      </c>
      <c r="AJ728">
        <v>5.63</v>
      </c>
      <c r="AK728">
        <v>-1.2</v>
      </c>
      <c r="AL728">
        <v>-0.1</v>
      </c>
      <c r="AM728">
        <v>10</v>
      </c>
      <c r="AN728">
        <v>23</v>
      </c>
      <c r="AO728">
        <v>37</v>
      </c>
      <c r="AP728">
        <v>8</v>
      </c>
      <c r="AQ728" t="s">
        <v>3157</v>
      </c>
      <c r="AR728">
        <v>83</v>
      </c>
      <c r="AS728" t="s">
        <v>36</v>
      </c>
      <c r="AT728" t="s">
        <v>36</v>
      </c>
      <c r="AU728" s="4">
        <f>HYPERLINK("http://mlb.mlb.com/team/player.jsp?player_id=434718",434718)</f>
        <v>434718</v>
      </c>
      <c r="AV728">
        <v>0</v>
      </c>
      <c r="AW728">
        <v>0</v>
      </c>
      <c r="AX728">
        <v>4</v>
      </c>
    </row>
    <row r="729" spans="1:50" x14ac:dyDescent="0.3">
      <c r="A729" s="4">
        <f>HYPERLINK("http://legacy.baseballprospectus.com/p/48314",48314)</f>
        <v>48314</v>
      </c>
      <c r="B729" t="s">
        <v>888</v>
      </c>
      <c r="C729" t="s">
        <v>156</v>
      </c>
      <c r="D729" s="10">
        <v>30124</v>
      </c>
      <c r="E729" t="s">
        <v>33</v>
      </c>
      <c r="F729" t="s">
        <v>33</v>
      </c>
      <c r="G729">
        <v>72</v>
      </c>
      <c r="H729">
        <v>205</v>
      </c>
      <c r="I729">
        <v>2018</v>
      </c>
      <c r="J729" s="4" t="str">
        <f>HYPERLINK("http://legacy.baseballprospectus.com/fantasy/dc/index.php?tm=ATL","ATL")</f>
        <v>ATL</v>
      </c>
      <c r="K729" t="s">
        <v>100</v>
      </c>
      <c r="L729" t="s">
        <v>34</v>
      </c>
      <c r="M729">
        <v>36</v>
      </c>
      <c r="N729">
        <v>1.7</v>
      </c>
      <c r="O729">
        <v>0.6</v>
      </c>
      <c r="P729">
        <v>0</v>
      </c>
      <c r="Q729">
        <v>0</v>
      </c>
      <c r="R729">
        <v>0.4</v>
      </c>
      <c r="S729">
        <v>0</v>
      </c>
      <c r="T729">
        <v>34.799999999999997</v>
      </c>
      <c r="U729">
        <v>0</v>
      </c>
      <c r="V729" s="9">
        <v>36.666699999999999</v>
      </c>
      <c r="W729">
        <v>158</v>
      </c>
      <c r="X729">
        <v>36</v>
      </c>
      <c r="Y729">
        <v>5</v>
      </c>
      <c r="Z729">
        <v>16</v>
      </c>
      <c r="AA729" t="s">
        <v>1680</v>
      </c>
      <c r="AB729">
        <v>2</v>
      </c>
      <c r="AC729">
        <v>31</v>
      </c>
      <c r="AD729">
        <v>4</v>
      </c>
      <c r="AE729">
        <v>7.5</v>
      </c>
      <c r="AF729" s="5">
        <v>0.420343458652496</v>
      </c>
      <c r="AG729">
        <v>0.29899999999999999</v>
      </c>
      <c r="AH729">
        <v>1.42</v>
      </c>
      <c r="AI729">
        <v>4.72</v>
      </c>
      <c r="AJ729">
        <v>5.47</v>
      </c>
      <c r="AK729">
        <v>-0.9</v>
      </c>
      <c r="AL729">
        <v>-0.1</v>
      </c>
      <c r="AM729">
        <v>21</v>
      </c>
      <c r="AN729">
        <v>41</v>
      </c>
      <c r="AO729">
        <v>16</v>
      </c>
      <c r="AP729">
        <v>3</v>
      </c>
      <c r="AQ729" t="s">
        <v>3253</v>
      </c>
      <c r="AR729">
        <v>69</v>
      </c>
      <c r="AS729" t="s">
        <v>36</v>
      </c>
      <c r="AT729" t="s">
        <v>36</v>
      </c>
      <c r="AU729" s="4">
        <f>HYPERLINK("http://mlb.mlb.com/team/player.jsp?player_id=435400",435400)</f>
        <v>435400</v>
      </c>
      <c r="AV729">
        <v>0</v>
      </c>
      <c r="AW729">
        <v>0</v>
      </c>
      <c r="AX729">
        <v>40.700000000000003</v>
      </c>
    </row>
    <row r="730" spans="1:50" x14ac:dyDescent="0.3">
      <c r="A730" s="4">
        <f>HYPERLINK("http://legacy.baseballprospectus.com/p/48557",48557)</f>
        <v>48557</v>
      </c>
      <c r="B730" t="s">
        <v>906</v>
      </c>
      <c r="C730" t="s">
        <v>907</v>
      </c>
      <c r="D730" s="10">
        <v>30377</v>
      </c>
      <c r="E730" t="s">
        <v>9</v>
      </c>
      <c r="F730" t="s">
        <v>9</v>
      </c>
      <c r="G730">
        <v>72</v>
      </c>
      <c r="H730">
        <v>205</v>
      </c>
      <c r="I730">
        <v>2018</v>
      </c>
      <c r="J730" s="4" t="str">
        <f>HYPERLINK("http://legacy.baseballprospectus.com/fantasy/dc/index.php?tm=MIN","MIN")</f>
        <v>MIN</v>
      </c>
      <c r="K730" t="s">
        <v>95</v>
      </c>
      <c r="L730" t="s">
        <v>34</v>
      </c>
      <c r="M730">
        <v>35</v>
      </c>
      <c r="N730">
        <v>1.4</v>
      </c>
      <c r="O730">
        <v>0.4</v>
      </c>
      <c r="P730">
        <v>0</v>
      </c>
      <c r="Q730">
        <v>0</v>
      </c>
      <c r="R730">
        <v>0.8</v>
      </c>
      <c r="S730">
        <v>0</v>
      </c>
      <c r="T730">
        <v>30.4</v>
      </c>
      <c r="U730">
        <v>0</v>
      </c>
      <c r="V730" s="9">
        <v>32.333300000000001</v>
      </c>
      <c r="W730">
        <v>150</v>
      </c>
      <c r="X730">
        <v>35</v>
      </c>
      <c r="Y730">
        <v>5</v>
      </c>
      <c r="Z730">
        <v>17</v>
      </c>
      <c r="AA730" t="s">
        <v>1680</v>
      </c>
      <c r="AB730">
        <v>3</v>
      </c>
      <c r="AC730">
        <v>26</v>
      </c>
      <c r="AD730">
        <v>4.8</v>
      </c>
      <c r="AE730">
        <v>7.2</v>
      </c>
      <c r="AF730" s="5">
        <v>0.41570594906806901</v>
      </c>
      <c r="AG730">
        <v>0.30599999999999999</v>
      </c>
      <c r="AH730">
        <v>1.63</v>
      </c>
      <c r="AI730">
        <v>5.57</v>
      </c>
      <c r="AJ730">
        <v>5.67</v>
      </c>
      <c r="AK730">
        <v>-1.2</v>
      </c>
      <c r="AL730">
        <v>-0.1</v>
      </c>
      <c r="AM730">
        <v>19</v>
      </c>
      <c r="AN730">
        <v>44</v>
      </c>
      <c r="AO730">
        <v>26</v>
      </c>
      <c r="AP730">
        <v>14</v>
      </c>
      <c r="AQ730" t="s">
        <v>3254</v>
      </c>
      <c r="AR730">
        <v>86</v>
      </c>
      <c r="AS730" t="s">
        <v>36</v>
      </c>
      <c r="AT730" t="s">
        <v>36</v>
      </c>
      <c r="AU730" s="4">
        <f>HYPERLINK("http://mlb.mlb.com/team/player.jsp?player_id=450282",450282)</f>
        <v>450282</v>
      </c>
      <c r="AV730">
        <v>0</v>
      </c>
      <c r="AW730">
        <v>0</v>
      </c>
      <c r="AX730">
        <v>5.7</v>
      </c>
    </row>
    <row r="731" spans="1:50" x14ac:dyDescent="0.3">
      <c r="A731" s="4">
        <f>HYPERLINK("http://legacy.baseballprospectus.com/p/48736",48736)</f>
        <v>48736</v>
      </c>
      <c r="B731" t="s">
        <v>591</v>
      </c>
      <c r="C731" t="s">
        <v>439</v>
      </c>
      <c r="D731" s="10">
        <v>30855</v>
      </c>
      <c r="E731" t="s">
        <v>9</v>
      </c>
      <c r="F731" t="s">
        <v>9</v>
      </c>
      <c r="G731">
        <v>74</v>
      </c>
      <c r="H731">
        <v>200</v>
      </c>
      <c r="I731">
        <v>2018</v>
      </c>
      <c r="J731" s="4" t="str">
        <f>HYPERLINK("http://legacy.baseballprospectus.com/fantasy/dc/index.php?tm=LAN","LAN")</f>
        <v>LAN</v>
      </c>
      <c r="K731" t="s">
        <v>100</v>
      </c>
      <c r="L731" t="s">
        <v>34</v>
      </c>
      <c r="M731">
        <v>34</v>
      </c>
      <c r="N731">
        <v>4</v>
      </c>
      <c r="O731">
        <v>2.9</v>
      </c>
      <c r="P731">
        <v>3</v>
      </c>
      <c r="Q731">
        <v>0</v>
      </c>
      <c r="R731">
        <v>0.3</v>
      </c>
      <c r="S731">
        <v>0</v>
      </c>
      <c r="T731">
        <v>52.2</v>
      </c>
      <c r="U731">
        <v>6.9</v>
      </c>
      <c r="V731" s="9">
        <v>77.333299999999994</v>
      </c>
      <c r="W731">
        <v>329</v>
      </c>
      <c r="X731">
        <v>80</v>
      </c>
      <c r="Y731">
        <v>13</v>
      </c>
      <c r="Z731">
        <v>30</v>
      </c>
      <c r="AA731" t="s">
        <v>1680</v>
      </c>
      <c r="AB731">
        <v>3</v>
      </c>
      <c r="AC731">
        <v>68</v>
      </c>
      <c r="AD731">
        <v>3.5</v>
      </c>
      <c r="AE731">
        <v>7.9</v>
      </c>
      <c r="AF731" s="5">
        <v>0.43920993804931602</v>
      </c>
      <c r="AG731">
        <v>0.314</v>
      </c>
      <c r="AH731">
        <v>1.43</v>
      </c>
      <c r="AI731">
        <v>4.87</v>
      </c>
      <c r="AJ731">
        <v>5.4</v>
      </c>
      <c r="AK731">
        <v>-0.6</v>
      </c>
      <c r="AL731">
        <v>-0.1</v>
      </c>
      <c r="AM731">
        <v>16</v>
      </c>
      <c r="AN731">
        <v>28</v>
      </c>
      <c r="AO731">
        <v>12</v>
      </c>
      <c r="AP731">
        <v>9</v>
      </c>
      <c r="AQ731" t="s">
        <v>3409</v>
      </c>
      <c r="AR731">
        <v>53</v>
      </c>
      <c r="AS731" t="s">
        <v>36</v>
      </c>
      <c r="AT731" t="s">
        <v>36</v>
      </c>
      <c r="AU731" s="4">
        <f>HYPERLINK("http://mlb.mlb.com/team/player.jsp?player_id=459987",459987)</f>
        <v>459987</v>
      </c>
      <c r="AV731">
        <v>0</v>
      </c>
      <c r="AW731">
        <v>0</v>
      </c>
      <c r="AX731">
        <v>0</v>
      </c>
    </row>
    <row r="732" spans="1:50" x14ac:dyDescent="0.3">
      <c r="A732" s="4">
        <f>HYPERLINK("http://legacy.baseballprospectus.com/p/49349",49349)</f>
        <v>49349</v>
      </c>
      <c r="B732" t="s">
        <v>804</v>
      </c>
      <c r="C732" t="s">
        <v>104</v>
      </c>
      <c r="D732" s="10">
        <v>30646</v>
      </c>
      <c r="E732" t="s">
        <v>33</v>
      </c>
      <c r="F732" t="s">
        <v>33</v>
      </c>
      <c r="G732">
        <v>76</v>
      </c>
      <c r="H732">
        <v>220</v>
      </c>
      <c r="I732">
        <v>2018</v>
      </c>
      <c r="J732" s="4" t="str">
        <f>HYPERLINK("http://legacy.baseballprospectus.com/fantasy/dc/index.php?tm=MIL","MIL")</f>
        <v>MIL</v>
      </c>
      <c r="K732" t="s">
        <v>100</v>
      </c>
      <c r="L732" t="s">
        <v>34</v>
      </c>
      <c r="M732">
        <v>34</v>
      </c>
      <c r="N732">
        <v>5.8</v>
      </c>
      <c r="O732">
        <v>6.7</v>
      </c>
      <c r="P732">
        <v>7.4</v>
      </c>
      <c r="Q732">
        <v>0</v>
      </c>
      <c r="R732">
        <v>0</v>
      </c>
      <c r="S732">
        <v>0</v>
      </c>
      <c r="T732">
        <v>18.3</v>
      </c>
      <c r="U732">
        <v>18.3</v>
      </c>
      <c r="V732" s="9">
        <v>101.33329999999999</v>
      </c>
      <c r="W732">
        <v>435</v>
      </c>
      <c r="X732">
        <v>107</v>
      </c>
      <c r="Y732">
        <v>17</v>
      </c>
      <c r="Z732">
        <v>41</v>
      </c>
      <c r="AA732" t="s">
        <v>1680</v>
      </c>
      <c r="AB732">
        <v>4</v>
      </c>
      <c r="AC732">
        <v>79</v>
      </c>
      <c r="AD732">
        <v>3.6</v>
      </c>
      <c r="AE732">
        <v>7</v>
      </c>
      <c r="AF732" s="5">
        <v>0.47059616446495001</v>
      </c>
      <c r="AG732">
        <v>0.308</v>
      </c>
      <c r="AH732">
        <v>1.47</v>
      </c>
      <c r="AI732">
        <v>5.07</v>
      </c>
      <c r="AJ732">
        <v>5.69</v>
      </c>
      <c r="AK732">
        <v>-0.7</v>
      </c>
      <c r="AL732">
        <v>-0.1</v>
      </c>
      <c r="AM732">
        <v>10</v>
      </c>
      <c r="AN732">
        <v>49</v>
      </c>
      <c r="AO732">
        <v>18</v>
      </c>
      <c r="AP732">
        <v>12</v>
      </c>
      <c r="AQ732" t="s">
        <v>3031</v>
      </c>
      <c r="AR732">
        <v>91</v>
      </c>
      <c r="AS732" t="s">
        <v>36</v>
      </c>
      <c r="AT732" t="s">
        <v>36</v>
      </c>
      <c r="AU732" s="4">
        <f>HYPERLINK("http://mlb.mlb.com/team/player.jsp?player_id=490063",490063)</f>
        <v>490063</v>
      </c>
      <c r="AV732">
        <v>0</v>
      </c>
      <c r="AW732">
        <v>0</v>
      </c>
      <c r="AX732">
        <v>114.7</v>
      </c>
    </row>
    <row r="733" spans="1:50" x14ac:dyDescent="0.3">
      <c r="A733" s="4">
        <f>HYPERLINK("http://legacy.baseballprospectus.com/p/51190",51190)</f>
        <v>51190</v>
      </c>
      <c r="B733" t="s">
        <v>794</v>
      </c>
      <c r="C733" t="s">
        <v>644</v>
      </c>
      <c r="D733" s="10">
        <v>32265</v>
      </c>
      <c r="E733" t="s">
        <v>33</v>
      </c>
      <c r="F733" t="s">
        <v>33</v>
      </c>
      <c r="G733">
        <v>75</v>
      </c>
      <c r="H733">
        <v>235</v>
      </c>
      <c r="I733">
        <v>2018</v>
      </c>
      <c r="J733" s="4" t="str">
        <f>HYPERLINK("http://legacy.baseballprospectus.com/fantasy/dc/index.php?tm=ARI","ARI")</f>
        <v>ARI</v>
      </c>
      <c r="K733" t="s">
        <v>95</v>
      </c>
      <c r="L733" t="s">
        <v>34</v>
      </c>
      <c r="M733">
        <v>30</v>
      </c>
      <c r="N733">
        <v>1.7</v>
      </c>
      <c r="O733">
        <v>0.6</v>
      </c>
      <c r="P733">
        <v>0</v>
      </c>
      <c r="Q733">
        <v>0</v>
      </c>
      <c r="R733">
        <v>1.2</v>
      </c>
      <c r="S733">
        <v>0</v>
      </c>
      <c r="T733">
        <v>36.799999999999997</v>
      </c>
      <c r="U733">
        <v>0</v>
      </c>
      <c r="V733" s="9">
        <v>39</v>
      </c>
      <c r="W733">
        <v>171</v>
      </c>
      <c r="X733">
        <v>39</v>
      </c>
      <c r="Y733">
        <v>6</v>
      </c>
      <c r="Z733">
        <v>18</v>
      </c>
      <c r="AA733" t="s">
        <v>1680</v>
      </c>
      <c r="AB733">
        <v>1</v>
      </c>
      <c r="AC733">
        <v>33</v>
      </c>
      <c r="AD733">
        <v>4.0999999999999996</v>
      </c>
      <c r="AE733">
        <v>7.7</v>
      </c>
      <c r="AF733" s="5">
        <v>0.394411951303482</v>
      </c>
      <c r="AG733">
        <v>0.28899999999999998</v>
      </c>
      <c r="AH733">
        <v>1.45</v>
      </c>
      <c r="AI733">
        <v>5.19</v>
      </c>
      <c r="AJ733">
        <v>5.43</v>
      </c>
      <c r="AK733">
        <v>-0.6</v>
      </c>
      <c r="AL733">
        <v>-0.1</v>
      </c>
      <c r="AM733">
        <v>21</v>
      </c>
      <c r="AN733">
        <v>51</v>
      </c>
      <c r="AO733">
        <v>12</v>
      </c>
      <c r="AP733">
        <v>12</v>
      </c>
      <c r="AQ733" t="s">
        <v>3162</v>
      </c>
      <c r="AR733">
        <v>79</v>
      </c>
      <c r="AS733" t="s">
        <v>36</v>
      </c>
      <c r="AT733" t="s">
        <v>36</v>
      </c>
      <c r="AU733" s="4">
        <f>HYPERLINK("http://mlb.mlb.com/team/player.jsp?player_id=491703",491703)</f>
        <v>491703</v>
      </c>
      <c r="AV733">
        <v>0</v>
      </c>
      <c r="AW733">
        <v>0</v>
      </c>
      <c r="AX733">
        <v>46</v>
      </c>
    </row>
    <row r="734" spans="1:50" x14ac:dyDescent="0.3">
      <c r="A734" s="4">
        <f>HYPERLINK("http://legacy.baseballprospectus.com/p/51993",51993)</f>
        <v>51993</v>
      </c>
      <c r="B734" t="s">
        <v>527</v>
      </c>
      <c r="C734" t="s">
        <v>126</v>
      </c>
      <c r="D734" s="10">
        <v>31864</v>
      </c>
      <c r="E734" t="s">
        <v>9</v>
      </c>
      <c r="F734" t="s">
        <v>33</v>
      </c>
      <c r="G734">
        <v>75</v>
      </c>
      <c r="H734">
        <v>220</v>
      </c>
      <c r="I734">
        <v>2018</v>
      </c>
      <c r="J734" s="4" t="str">
        <f>HYPERLINK("http://legacy.baseballprospectus.com/fantasy/dc/index.php?tm=SFN","SFN")</f>
        <v>SFN</v>
      </c>
      <c r="K734" t="s">
        <v>100</v>
      </c>
      <c r="L734" t="s">
        <v>34</v>
      </c>
      <c r="M734">
        <v>31</v>
      </c>
      <c r="N734">
        <v>1.7</v>
      </c>
      <c r="O734">
        <v>0.6</v>
      </c>
      <c r="P734">
        <v>0</v>
      </c>
      <c r="Q734">
        <v>0</v>
      </c>
      <c r="R734">
        <v>1.1000000000000001</v>
      </c>
      <c r="S734">
        <v>0</v>
      </c>
      <c r="T734">
        <v>33.200000000000003</v>
      </c>
      <c r="U734">
        <v>0</v>
      </c>
      <c r="V734" s="9">
        <v>35</v>
      </c>
      <c r="W734">
        <v>150</v>
      </c>
      <c r="X734">
        <v>35</v>
      </c>
      <c r="Y734">
        <v>4</v>
      </c>
      <c r="Z734">
        <v>16</v>
      </c>
      <c r="AA734" t="s">
        <v>1680</v>
      </c>
      <c r="AB734">
        <v>1</v>
      </c>
      <c r="AC734">
        <v>29</v>
      </c>
      <c r="AD734">
        <v>4.2</v>
      </c>
      <c r="AE734">
        <v>7.4</v>
      </c>
      <c r="AF734" s="5">
        <v>0.500466048717498</v>
      </c>
      <c r="AG734">
        <v>0.31</v>
      </c>
      <c r="AH734">
        <v>1.46</v>
      </c>
      <c r="AI734">
        <v>4.41</v>
      </c>
      <c r="AJ734">
        <v>5.4</v>
      </c>
      <c r="AK734">
        <v>-0.7</v>
      </c>
      <c r="AL734">
        <v>-0.1</v>
      </c>
      <c r="AM734">
        <v>34</v>
      </c>
      <c r="AN734">
        <v>52</v>
      </c>
      <c r="AO734">
        <v>21</v>
      </c>
      <c r="AP734">
        <v>16</v>
      </c>
      <c r="AQ734" t="s">
        <v>3260</v>
      </c>
      <c r="AR734">
        <v>88</v>
      </c>
      <c r="AS734" t="s">
        <v>36</v>
      </c>
      <c r="AT734" t="s">
        <v>36</v>
      </c>
      <c r="AU734" s="4">
        <f>HYPERLINK("http://mlb.mlb.com/team/player.jsp?player_id=457768",457768)</f>
        <v>457768</v>
      </c>
      <c r="AV734">
        <v>0</v>
      </c>
      <c r="AW734">
        <v>0</v>
      </c>
      <c r="AX734">
        <v>21</v>
      </c>
    </row>
    <row r="735" spans="1:50" x14ac:dyDescent="0.3">
      <c r="A735" s="4">
        <f>HYPERLINK("http://legacy.baseballprospectus.com/p/56334",56334)</f>
        <v>56334</v>
      </c>
      <c r="B735" t="s">
        <v>806</v>
      </c>
      <c r="C735" t="s">
        <v>807</v>
      </c>
      <c r="D735" s="10">
        <v>31530</v>
      </c>
      <c r="E735" t="s">
        <v>33</v>
      </c>
      <c r="F735" t="s">
        <v>33</v>
      </c>
      <c r="G735">
        <v>73</v>
      </c>
      <c r="H735">
        <v>205</v>
      </c>
      <c r="I735">
        <v>2018</v>
      </c>
      <c r="J735" s="4" t="str">
        <f>HYPERLINK("http://legacy.baseballprospectus.com/fantasy/dc/index.php?tm=MIN","MIN")</f>
        <v>MIN</v>
      </c>
      <c r="K735" t="s">
        <v>95</v>
      </c>
      <c r="L735" t="s">
        <v>34</v>
      </c>
      <c r="M735">
        <v>32</v>
      </c>
      <c r="N735">
        <v>5.6</v>
      </c>
      <c r="O735">
        <v>6.3</v>
      </c>
      <c r="P735">
        <v>5.4</v>
      </c>
      <c r="Q735">
        <v>0</v>
      </c>
      <c r="R735">
        <v>0.3</v>
      </c>
      <c r="S735">
        <v>0</v>
      </c>
      <c r="T735">
        <v>31.1</v>
      </c>
      <c r="U735">
        <v>15.6</v>
      </c>
      <c r="V735" s="9">
        <v>104</v>
      </c>
      <c r="W735">
        <v>471</v>
      </c>
      <c r="X735">
        <v>121</v>
      </c>
      <c r="Y735">
        <v>19</v>
      </c>
      <c r="Z735">
        <v>39</v>
      </c>
      <c r="AA735" t="s">
        <v>1680</v>
      </c>
      <c r="AB735">
        <v>6</v>
      </c>
      <c r="AC735">
        <v>76</v>
      </c>
      <c r="AD735">
        <v>3.4</v>
      </c>
      <c r="AE735">
        <v>6.6</v>
      </c>
      <c r="AF735" s="5">
        <v>0.42855498194694502</v>
      </c>
      <c r="AG735">
        <v>0.308</v>
      </c>
      <c r="AH735">
        <v>1.54</v>
      </c>
      <c r="AI735">
        <v>5.54</v>
      </c>
      <c r="AJ735">
        <v>5.63</v>
      </c>
      <c r="AK735">
        <v>-0.7</v>
      </c>
      <c r="AL735">
        <v>-0.1</v>
      </c>
      <c r="AM735">
        <v>18</v>
      </c>
      <c r="AN735">
        <v>47</v>
      </c>
      <c r="AO735">
        <v>23</v>
      </c>
      <c r="AP735">
        <v>19</v>
      </c>
      <c r="AQ735" t="s">
        <v>2868</v>
      </c>
      <c r="AR735">
        <v>88</v>
      </c>
      <c r="AS735" t="s">
        <v>36</v>
      </c>
      <c r="AT735" t="s">
        <v>36</v>
      </c>
      <c r="AU735" s="4">
        <f>HYPERLINK("http://mlb.mlb.com/team/player.jsp?player_id=518716",518716)</f>
        <v>518716</v>
      </c>
      <c r="AV735">
        <v>0</v>
      </c>
      <c r="AW735">
        <v>0</v>
      </c>
      <c r="AX735">
        <v>49.3</v>
      </c>
    </row>
    <row r="736" spans="1:50" x14ac:dyDescent="0.3">
      <c r="A736" s="4">
        <f>HYPERLINK("http://legacy.baseballprospectus.com/p/59332",59332)</f>
        <v>59332</v>
      </c>
      <c r="B736" t="s">
        <v>1160</v>
      </c>
      <c r="C736" t="s">
        <v>234</v>
      </c>
      <c r="D736" s="10">
        <v>32243</v>
      </c>
      <c r="E736" t="s">
        <v>33</v>
      </c>
      <c r="F736" t="s">
        <v>33</v>
      </c>
      <c r="G736">
        <v>75</v>
      </c>
      <c r="H736">
        <v>195</v>
      </c>
      <c r="I736">
        <v>2018</v>
      </c>
      <c r="J736" s="4" t="str">
        <f>HYPERLINK("http://legacy.baseballprospectus.com/fantasy/dc/index.php?tm=MIN","MIN")</f>
        <v>MIN</v>
      </c>
      <c r="K736" t="s">
        <v>95</v>
      </c>
      <c r="L736" t="s">
        <v>34</v>
      </c>
      <c r="M736">
        <v>30</v>
      </c>
      <c r="N736">
        <v>3.8</v>
      </c>
      <c r="O736">
        <v>4.9000000000000004</v>
      </c>
      <c r="P736">
        <v>4.0999999999999996</v>
      </c>
      <c r="Q736">
        <v>0</v>
      </c>
      <c r="R736">
        <v>0</v>
      </c>
      <c r="S736">
        <v>0</v>
      </c>
      <c r="T736">
        <v>12.3</v>
      </c>
      <c r="U736">
        <v>12.3</v>
      </c>
      <c r="V736" s="9">
        <v>68.333299999999994</v>
      </c>
      <c r="W736">
        <v>309</v>
      </c>
      <c r="X736">
        <v>77</v>
      </c>
      <c r="Y736">
        <v>12</v>
      </c>
      <c r="Z736">
        <v>31</v>
      </c>
      <c r="AA736" t="s">
        <v>1680</v>
      </c>
      <c r="AB736">
        <v>3</v>
      </c>
      <c r="AC736">
        <v>49</v>
      </c>
      <c r="AD736">
        <v>4.0999999999999996</v>
      </c>
      <c r="AE736">
        <v>6.4</v>
      </c>
      <c r="AF736" s="5">
        <v>0.47200313210487299</v>
      </c>
      <c r="AG736">
        <v>0.30399999999999999</v>
      </c>
      <c r="AH736">
        <v>1.59</v>
      </c>
      <c r="AI736">
        <v>5.68</v>
      </c>
      <c r="AJ736">
        <v>5.79</v>
      </c>
      <c r="AK736">
        <v>-0.6</v>
      </c>
      <c r="AL736">
        <v>-0.1</v>
      </c>
      <c r="AM736">
        <v>10</v>
      </c>
      <c r="AN736">
        <v>20</v>
      </c>
      <c r="AO736">
        <v>14</v>
      </c>
      <c r="AP736">
        <v>24</v>
      </c>
      <c r="AQ736" t="s">
        <v>3334</v>
      </c>
      <c r="AR736">
        <v>41</v>
      </c>
      <c r="AS736" t="s">
        <v>36</v>
      </c>
      <c r="AT736" t="s">
        <v>36</v>
      </c>
      <c r="AU736" s="4">
        <f>HYPERLINK("http://mlb.mlb.com/team/player.jsp?player_id=518790",518790)</f>
        <v>518790</v>
      </c>
      <c r="AV736">
        <v>0</v>
      </c>
      <c r="AW736">
        <v>0</v>
      </c>
      <c r="AX736">
        <v>6</v>
      </c>
    </row>
    <row r="737" spans="1:50" x14ac:dyDescent="0.3">
      <c r="A737" s="4">
        <f>HYPERLINK("http://legacy.baseballprospectus.com/p/66604",66604)</f>
        <v>66604</v>
      </c>
      <c r="B737" t="s">
        <v>2423</v>
      </c>
      <c r="C737" t="s">
        <v>119</v>
      </c>
      <c r="D737" s="10">
        <v>32933</v>
      </c>
      <c r="E737" t="s">
        <v>33</v>
      </c>
      <c r="F737" t="s">
        <v>33</v>
      </c>
      <c r="G737">
        <v>73</v>
      </c>
      <c r="H737">
        <v>200</v>
      </c>
      <c r="I737">
        <v>2018</v>
      </c>
      <c r="J737" s="4" t="str">
        <f>HYPERLINK("http://legacy.baseballprospectus.com/fantasy/dc/index.php?tm=SFN","SFN")</f>
        <v>SFN</v>
      </c>
      <c r="K737" t="s">
        <v>95</v>
      </c>
      <c r="L737" t="s">
        <v>34</v>
      </c>
      <c r="M737">
        <v>28</v>
      </c>
      <c r="N737">
        <v>2.2999999999999998</v>
      </c>
      <c r="O737">
        <v>0.8</v>
      </c>
      <c r="P737">
        <v>0</v>
      </c>
      <c r="Q737">
        <v>0</v>
      </c>
      <c r="R737">
        <v>0.5</v>
      </c>
      <c r="S737">
        <v>0</v>
      </c>
      <c r="T737">
        <v>48.7</v>
      </c>
      <c r="U737">
        <v>0</v>
      </c>
      <c r="V737" s="9">
        <v>51.666699999999999</v>
      </c>
      <c r="W737">
        <v>226</v>
      </c>
      <c r="X737">
        <v>50</v>
      </c>
      <c r="Y737">
        <v>9</v>
      </c>
      <c r="Z737">
        <v>24</v>
      </c>
      <c r="AA737" t="s">
        <v>1680</v>
      </c>
      <c r="AB737">
        <v>2</v>
      </c>
      <c r="AC737">
        <v>46</v>
      </c>
      <c r="AD737">
        <v>4.3</v>
      </c>
      <c r="AE737">
        <v>8.1</v>
      </c>
      <c r="AF737" s="5">
        <v>0.41413617134094199</v>
      </c>
      <c r="AG737">
        <v>0.28599999999999998</v>
      </c>
      <c r="AH737">
        <v>1.45</v>
      </c>
      <c r="AI737">
        <v>5.27</v>
      </c>
      <c r="AJ737">
        <v>5.48</v>
      </c>
      <c r="AK737">
        <v>-1.3</v>
      </c>
      <c r="AL737">
        <v>-0.1</v>
      </c>
      <c r="AM737">
        <v>14</v>
      </c>
      <c r="AN737">
        <v>18</v>
      </c>
      <c r="AO737">
        <v>7</v>
      </c>
      <c r="AP737">
        <v>16</v>
      </c>
      <c r="AQ737" t="s">
        <v>3335</v>
      </c>
      <c r="AR737">
        <v>31</v>
      </c>
      <c r="AS737" t="s">
        <v>36</v>
      </c>
      <c r="AT737" t="s">
        <v>36</v>
      </c>
      <c r="AU737" s="4">
        <f>HYPERLINK("http://mlb.mlb.com/team/player.jsp?player_id=572308",572308)</f>
        <v>572308</v>
      </c>
      <c r="AV737">
        <v>0</v>
      </c>
      <c r="AW737">
        <v>0</v>
      </c>
      <c r="AX737">
        <v>18</v>
      </c>
    </row>
    <row r="738" spans="1:50" x14ac:dyDescent="0.3">
      <c r="A738" s="4">
        <f>HYPERLINK("http://legacy.baseballprospectus.com/p/66866",66866)</f>
        <v>66866</v>
      </c>
      <c r="B738" t="s">
        <v>750</v>
      </c>
      <c r="C738" t="s">
        <v>289</v>
      </c>
      <c r="D738" s="10">
        <v>34144</v>
      </c>
      <c r="E738" t="s">
        <v>33</v>
      </c>
      <c r="F738" t="s">
        <v>33</v>
      </c>
      <c r="G738">
        <v>72</v>
      </c>
      <c r="H738">
        <v>204</v>
      </c>
      <c r="I738">
        <v>2018</v>
      </c>
      <c r="J738" s="4" t="str">
        <f>HYPERLINK("http://legacy.baseballprospectus.com/fantasy/dc/index.php?tm=CIN","CIN")</f>
        <v>CIN</v>
      </c>
      <c r="K738" t="s">
        <v>100</v>
      </c>
      <c r="L738" t="s">
        <v>34</v>
      </c>
      <c r="M738">
        <v>25</v>
      </c>
      <c r="N738">
        <v>2.9</v>
      </c>
      <c r="O738">
        <v>1</v>
      </c>
      <c r="P738">
        <v>0</v>
      </c>
      <c r="Q738">
        <v>0</v>
      </c>
      <c r="R738">
        <v>0.8</v>
      </c>
      <c r="S738">
        <v>0</v>
      </c>
      <c r="T738">
        <v>60.7</v>
      </c>
      <c r="U738">
        <v>0</v>
      </c>
      <c r="V738" s="9">
        <v>64.333299999999994</v>
      </c>
      <c r="W738">
        <v>275</v>
      </c>
      <c r="X738">
        <v>61</v>
      </c>
      <c r="Y738">
        <v>11</v>
      </c>
      <c r="Z738">
        <v>30</v>
      </c>
      <c r="AA738" t="s">
        <v>1680</v>
      </c>
      <c r="AB738">
        <v>4</v>
      </c>
      <c r="AC738">
        <v>69</v>
      </c>
      <c r="AD738">
        <v>4.2</v>
      </c>
      <c r="AE738">
        <v>9.6999999999999993</v>
      </c>
      <c r="AF738" s="5">
        <v>0.44176727533340399</v>
      </c>
      <c r="AG738">
        <v>0.311</v>
      </c>
      <c r="AH738">
        <v>1.42</v>
      </c>
      <c r="AI738">
        <v>4.93</v>
      </c>
      <c r="AJ738">
        <v>5.3</v>
      </c>
      <c r="AK738">
        <v>-0.9</v>
      </c>
      <c r="AL738">
        <v>-0.1</v>
      </c>
      <c r="AM738">
        <v>11</v>
      </c>
      <c r="AN738">
        <v>15</v>
      </c>
      <c r="AO738">
        <v>13</v>
      </c>
      <c r="AP738">
        <v>19</v>
      </c>
      <c r="AQ738" t="s">
        <v>4949</v>
      </c>
      <c r="AR738">
        <v>30</v>
      </c>
      <c r="AS738" t="s">
        <v>36</v>
      </c>
      <c r="AT738" t="s">
        <v>35</v>
      </c>
      <c r="AU738" s="4">
        <f>HYPERLINK("http://mlb.mlb.com/team/player.jsp?player_id=591701",591701)</f>
        <v>591701</v>
      </c>
      <c r="AV738">
        <v>0</v>
      </c>
      <c r="AW738">
        <v>0</v>
      </c>
      <c r="AX738">
        <v>6</v>
      </c>
    </row>
    <row r="739" spans="1:50" x14ac:dyDescent="0.3">
      <c r="A739" s="4">
        <f>HYPERLINK("http://legacy.baseballprospectus.com/p/67187",67187)</f>
        <v>67187</v>
      </c>
      <c r="B739" t="s">
        <v>1071</v>
      </c>
      <c r="C739" t="s">
        <v>1290</v>
      </c>
      <c r="D739" s="10">
        <v>33615</v>
      </c>
      <c r="E739" t="s">
        <v>33</v>
      </c>
      <c r="F739" t="s">
        <v>33</v>
      </c>
      <c r="G739">
        <v>79</v>
      </c>
      <c r="H739">
        <v>180</v>
      </c>
      <c r="I739">
        <v>2018</v>
      </c>
      <c r="J739" s="4" t="str">
        <f>HYPERLINK("http://legacy.baseballprospectus.com/fantasy/dc/index.php?tm=SFN","SFN")</f>
        <v>SFN</v>
      </c>
      <c r="K739" t="s">
        <v>100</v>
      </c>
      <c r="L739" t="s">
        <v>34</v>
      </c>
      <c r="M739">
        <v>26</v>
      </c>
      <c r="N739">
        <v>1.4</v>
      </c>
      <c r="O739">
        <v>1.9</v>
      </c>
      <c r="P739">
        <v>2</v>
      </c>
      <c r="Q739">
        <v>0</v>
      </c>
      <c r="R739">
        <v>0</v>
      </c>
      <c r="S739">
        <v>0</v>
      </c>
      <c r="T739">
        <v>5</v>
      </c>
      <c r="U739">
        <v>5</v>
      </c>
      <c r="V739" s="9">
        <v>25</v>
      </c>
      <c r="W739">
        <v>110</v>
      </c>
      <c r="X739">
        <v>25</v>
      </c>
      <c r="Y739">
        <v>4</v>
      </c>
      <c r="Z739">
        <v>10</v>
      </c>
      <c r="AA739">
        <v>1</v>
      </c>
      <c r="AB739">
        <v>1</v>
      </c>
      <c r="AC739">
        <v>23</v>
      </c>
      <c r="AD739">
        <v>3.7</v>
      </c>
      <c r="AE739">
        <v>8.4</v>
      </c>
      <c r="AF739" s="5">
        <v>0.376</v>
      </c>
      <c r="AG739">
        <v>0.29599999999999999</v>
      </c>
      <c r="AH739">
        <v>1.42</v>
      </c>
      <c r="AI739">
        <v>4.71</v>
      </c>
      <c r="AJ739">
        <v>5.54</v>
      </c>
      <c r="AK739">
        <v>-0.7</v>
      </c>
      <c r="AL739">
        <v>-0.1</v>
      </c>
      <c r="AM739">
        <v>22</v>
      </c>
      <c r="AN739">
        <v>29</v>
      </c>
      <c r="AO739">
        <v>7</v>
      </c>
      <c r="AP739">
        <v>30</v>
      </c>
      <c r="AQ739" t="s">
        <v>3149</v>
      </c>
      <c r="AR739">
        <v>40</v>
      </c>
      <c r="AS739" t="s">
        <v>35</v>
      </c>
      <c r="AT739" t="s">
        <v>35</v>
      </c>
      <c r="AU739" s="4">
        <f>HYPERLINK("http://mlb.mlb.com/team/player.jsp?player_id=593340",593340)</f>
        <v>593340</v>
      </c>
      <c r="AV739">
        <v>1213</v>
      </c>
      <c r="AW739">
        <v>213</v>
      </c>
      <c r="AX739">
        <v>0</v>
      </c>
    </row>
    <row r="740" spans="1:50" x14ac:dyDescent="0.3">
      <c r="A740" s="4">
        <f>HYPERLINK("http://legacy.baseballprospectus.com/p/67451",67451)</f>
        <v>67451</v>
      </c>
      <c r="B740" t="s">
        <v>1062</v>
      </c>
      <c r="C740" t="s">
        <v>1091</v>
      </c>
      <c r="D740" s="10">
        <v>34115</v>
      </c>
      <c r="E740" t="s">
        <v>33</v>
      </c>
      <c r="F740" t="s">
        <v>33</v>
      </c>
      <c r="G740">
        <v>74</v>
      </c>
      <c r="H740">
        <v>205</v>
      </c>
      <c r="I740">
        <v>2018</v>
      </c>
      <c r="J740" s="4" t="str">
        <f>HYPERLINK("http://legacy.baseballprospectus.com/fantasy/dc/index.php?tm=BAL","BAL")</f>
        <v>BAL</v>
      </c>
      <c r="K740" t="s">
        <v>95</v>
      </c>
      <c r="L740" t="s">
        <v>34</v>
      </c>
      <c r="M740">
        <v>25</v>
      </c>
      <c r="N740">
        <v>3.3</v>
      </c>
      <c r="O740">
        <v>5.0999999999999996</v>
      </c>
      <c r="P740">
        <v>5</v>
      </c>
      <c r="Q740">
        <v>0</v>
      </c>
      <c r="R740">
        <v>0</v>
      </c>
      <c r="S740">
        <v>0</v>
      </c>
      <c r="T740">
        <v>13</v>
      </c>
      <c r="U740">
        <v>13</v>
      </c>
      <c r="V740" s="9">
        <v>65</v>
      </c>
      <c r="W740">
        <v>289</v>
      </c>
      <c r="X740">
        <v>75</v>
      </c>
      <c r="Y740">
        <v>13</v>
      </c>
      <c r="Z740">
        <v>21</v>
      </c>
      <c r="AA740">
        <v>1</v>
      </c>
      <c r="AB740">
        <v>2</v>
      </c>
      <c r="AC740">
        <v>46</v>
      </c>
      <c r="AD740">
        <v>3</v>
      </c>
      <c r="AE740">
        <v>6.4</v>
      </c>
      <c r="AF740" s="5">
        <v>0.44400000000000001</v>
      </c>
      <c r="AG740">
        <v>0.29699999999999999</v>
      </c>
      <c r="AH740">
        <v>1.49</v>
      </c>
      <c r="AI740">
        <v>5.44</v>
      </c>
      <c r="AJ740">
        <v>5.68</v>
      </c>
      <c r="AK740">
        <v>-1</v>
      </c>
      <c r="AL740">
        <v>-0.1</v>
      </c>
      <c r="AM740">
        <v>25</v>
      </c>
      <c r="AN740">
        <v>32</v>
      </c>
      <c r="AO740">
        <v>11</v>
      </c>
      <c r="AP740">
        <v>38</v>
      </c>
      <c r="AQ740" t="s">
        <v>2506</v>
      </c>
      <c r="AR740">
        <v>53</v>
      </c>
      <c r="AS740" t="s">
        <v>35</v>
      </c>
      <c r="AT740" t="s">
        <v>36</v>
      </c>
      <c r="AU740" s="4">
        <f>HYPERLINK("http://mlb.mlb.com/team/player.jsp?player_id=593679",593679)</f>
        <v>593679</v>
      </c>
      <c r="AV740">
        <v>91</v>
      </c>
      <c r="AW740">
        <v>1091</v>
      </c>
      <c r="AX740">
        <v>34.700000000000003</v>
      </c>
    </row>
    <row r="741" spans="1:50" x14ac:dyDescent="0.3">
      <c r="A741" s="4">
        <f>HYPERLINK("http://legacy.baseballprospectus.com/p/67641",67641)</f>
        <v>67641</v>
      </c>
      <c r="B741" t="s">
        <v>1262</v>
      </c>
      <c r="C741" t="s">
        <v>1506</v>
      </c>
      <c r="D741" s="10">
        <v>33247</v>
      </c>
      <c r="E741" t="s">
        <v>33</v>
      </c>
      <c r="F741" t="s">
        <v>33</v>
      </c>
      <c r="G741">
        <v>80</v>
      </c>
      <c r="H741">
        <v>210</v>
      </c>
      <c r="I741">
        <v>2018</v>
      </c>
      <c r="J741" s="4" t="str">
        <f>HYPERLINK("http://legacy.baseballprospectus.com/fantasy/dc/index.php?tm=MIA","MIA")</f>
        <v>MIA</v>
      </c>
      <c r="K741" t="s">
        <v>100</v>
      </c>
      <c r="L741" t="s">
        <v>34</v>
      </c>
      <c r="M741">
        <v>27</v>
      </c>
      <c r="N741">
        <v>1.6</v>
      </c>
      <c r="O741">
        <v>2</v>
      </c>
      <c r="P741">
        <v>0</v>
      </c>
      <c r="Q741">
        <v>0</v>
      </c>
      <c r="R741">
        <v>0</v>
      </c>
      <c r="S741">
        <v>1</v>
      </c>
      <c r="T741">
        <v>36</v>
      </c>
      <c r="U741">
        <v>0</v>
      </c>
      <c r="V741" s="9">
        <v>38</v>
      </c>
      <c r="W741">
        <v>170</v>
      </c>
      <c r="X741">
        <v>37</v>
      </c>
      <c r="Y741">
        <v>6</v>
      </c>
      <c r="Z741">
        <v>19</v>
      </c>
      <c r="AA741">
        <v>1</v>
      </c>
      <c r="AB741">
        <v>2</v>
      </c>
      <c r="AC741">
        <v>37</v>
      </c>
      <c r="AD741">
        <v>4.5999999999999996</v>
      </c>
      <c r="AE741">
        <v>8.6999999999999993</v>
      </c>
      <c r="AF741" s="5">
        <v>0.42099999999999999</v>
      </c>
      <c r="AG741">
        <v>0.29399999999999998</v>
      </c>
      <c r="AH741">
        <v>1.48</v>
      </c>
      <c r="AI741">
        <v>5.27</v>
      </c>
      <c r="AJ741">
        <v>5.23</v>
      </c>
      <c r="AK741">
        <v>-0.9</v>
      </c>
      <c r="AL741">
        <v>-0.1</v>
      </c>
      <c r="AM741">
        <v>2</v>
      </c>
      <c r="AN741">
        <v>8</v>
      </c>
      <c r="AO741">
        <v>18</v>
      </c>
      <c r="AP741">
        <v>25</v>
      </c>
      <c r="AQ741" t="s">
        <v>3150</v>
      </c>
      <c r="AR741">
        <v>28</v>
      </c>
      <c r="AS741" t="s">
        <v>35</v>
      </c>
      <c r="AT741" t="s">
        <v>35</v>
      </c>
      <c r="AU741" s="4">
        <f>HYPERLINK("http://mlb.mlb.com/team/player.jsp?player_id=594027",594027)</f>
        <v>594027</v>
      </c>
      <c r="AV741">
        <v>1361</v>
      </c>
      <c r="AW741">
        <v>361</v>
      </c>
      <c r="AX741">
        <v>0</v>
      </c>
    </row>
    <row r="742" spans="1:50" x14ac:dyDescent="0.3">
      <c r="A742" s="4">
        <f>HYPERLINK("http://legacy.baseballprospectus.com/p/67891",67891)</f>
        <v>67891</v>
      </c>
      <c r="B742" t="s">
        <v>1456</v>
      </c>
      <c r="C742" t="s">
        <v>138</v>
      </c>
      <c r="D742" s="10">
        <v>32673</v>
      </c>
      <c r="E742" t="s">
        <v>33</v>
      </c>
      <c r="F742" t="s">
        <v>33</v>
      </c>
      <c r="G742">
        <v>76</v>
      </c>
      <c r="H742">
        <v>220</v>
      </c>
      <c r="I742">
        <v>2018</v>
      </c>
      <c r="J742" s="4" t="str">
        <f>HYPERLINK("http://legacy.baseballprospectus.com/fantasy/dc/index.php?tm=ATL","ATL")</f>
        <v>ATL</v>
      </c>
      <c r="K742" t="s">
        <v>100</v>
      </c>
      <c r="L742" t="s">
        <v>34</v>
      </c>
      <c r="M742">
        <v>29</v>
      </c>
      <c r="N742">
        <v>1.2</v>
      </c>
      <c r="O742">
        <v>1.3</v>
      </c>
      <c r="P742">
        <v>0</v>
      </c>
      <c r="Q742">
        <v>0</v>
      </c>
      <c r="R742">
        <v>0</v>
      </c>
      <c r="S742">
        <v>1</v>
      </c>
      <c r="T742">
        <v>26</v>
      </c>
      <c r="U742">
        <v>0</v>
      </c>
      <c r="V742" s="9">
        <v>27.333300000000001</v>
      </c>
      <c r="W742">
        <v>122</v>
      </c>
      <c r="X742">
        <v>28</v>
      </c>
      <c r="Y742">
        <v>4</v>
      </c>
      <c r="Z742">
        <v>11</v>
      </c>
      <c r="AA742">
        <v>1</v>
      </c>
      <c r="AB742">
        <v>1</v>
      </c>
      <c r="AC742">
        <v>24</v>
      </c>
      <c r="AD742">
        <v>3.7</v>
      </c>
      <c r="AE742">
        <v>7.9</v>
      </c>
      <c r="AF742" s="5">
        <v>0.39400000000000002</v>
      </c>
      <c r="AG742">
        <v>0.29599999999999999</v>
      </c>
      <c r="AH742">
        <v>1.45</v>
      </c>
      <c r="AI742">
        <v>5.1100000000000003</v>
      </c>
      <c r="AJ742">
        <v>5.3</v>
      </c>
      <c r="AK742">
        <v>-0.9</v>
      </c>
      <c r="AL742">
        <v>-0.1</v>
      </c>
      <c r="AM742">
        <v>26</v>
      </c>
      <c r="AN742">
        <v>49</v>
      </c>
      <c r="AO742">
        <v>15</v>
      </c>
      <c r="AP742">
        <v>15</v>
      </c>
      <c r="AQ742" t="s">
        <v>3246</v>
      </c>
      <c r="AR742">
        <v>87</v>
      </c>
      <c r="AS742" t="s">
        <v>35</v>
      </c>
      <c r="AT742" t="s">
        <v>36</v>
      </c>
      <c r="AU742" s="4">
        <f>HYPERLINK("http://mlb.mlb.com/team/player.jsp?player_id=595032",595032)</f>
        <v>595032</v>
      </c>
      <c r="AV742">
        <v>1277</v>
      </c>
      <c r="AW742">
        <v>277</v>
      </c>
      <c r="AX742">
        <v>57.3</v>
      </c>
    </row>
    <row r="743" spans="1:50" x14ac:dyDescent="0.3">
      <c r="A743" s="4">
        <f>HYPERLINK("http://legacy.baseballprospectus.com/p/68132",68132)</f>
        <v>68132</v>
      </c>
      <c r="B743" t="s">
        <v>2103</v>
      </c>
      <c r="C743" t="s">
        <v>2104</v>
      </c>
      <c r="D743" s="10">
        <v>33983</v>
      </c>
      <c r="E743" t="s">
        <v>33</v>
      </c>
      <c r="F743" t="s">
        <v>33</v>
      </c>
      <c r="G743">
        <v>75</v>
      </c>
      <c r="H743">
        <v>215</v>
      </c>
      <c r="I743">
        <v>2018</v>
      </c>
      <c r="J743" s="4" t="str">
        <f>HYPERLINK("http://legacy.baseballprospectus.com/fantasy/dc/index.php?tm=PIT","PIT")</f>
        <v>PIT</v>
      </c>
      <c r="K743" t="s">
        <v>100</v>
      </c>
      <c r="L743" t="s">
        <v>34</v>
      </c>
      <c r="M743">
        <v>25</v>
      </c>
      <c r="N743">
        <v>2.5</v>
      </c>
      <c r="O743">
        <v>2.7</v>
      </c>
      <c r="P743">
        <v>0</v>
      </c>
      <c r="Q743">
        <v>0</v>
      </c>
      <c r="R743">
        <v>0</v>
      </c>
      <c r="S743">
        <v>1</v>
      </c>
      <c r="T743">
        <v>51</v>
      </c>
      <c r="U743">
        <v>0</v>
      </c>
      <c r="V743" s="9">
        <v>54</v>
      </c>
      <c r="W743">
        <v>239</v>
      </c>
      <c r="X743">
        <v>56</v>
      </c>
      <c r="Y743">
        <v>8</v>
      </c>
      <c r="Z743">
        <v>24</v>
      </c>
      <c r="AA743">
        <v>2</v>
      </c>
      <c r="AB743">
        <v>2</v>
      </c>
      <c r="AC743">
        <v>46</v>
      </c>
      <c r="AD743">
        <v>4</v>
      </c>
      <c r="AE743">
        <v>7.7</v>
      </c>
      <c r="AF743" s="5">
        <v>0.47199999999999998</v>
      </c>
      <c r="AG743">
        <v>0.3</v>
      </c>
      <c r="AH743">
        <v>1.49</v>
      </c>
      <c r="AI743">
        <v>5.17</v>
      </c>
      <c r="AJ743">
        <v>5.21</v>
      </c>
      <c r="AK743">
        <v>-1.2</v>
      </c>
      <c r="AL743">
        <v>-0.1</v>
      </c>
      <c r="AM743">
        <v>27</v>
      </c>
      <c r="AN743">
        <v>38</v>
      </c>
      <c r="AO743">
        <v>11</v>
      </c>
      <c r="AP743">
        <v>29</v>
      </c>
      <c r="AQ743" t="s">
        <v>2854</v>
      </c>
      <c r="AR743">
        <v>55</v>
      </c>
      <c r="AS743" t="s">
        <v>35</v>
      </c>
      <c r="AT743" t="s">
        <v>35</v>
      </c>
      <c r="AU743" s="4">
        <f>HYPERLINK("http://mlb.mlb.com/team/player.jsp?player_id=596720",596720)</f>
        <v>596720</v>
      </c>
      <c r="AV743">
        <v>1321</v>
      </c>
      <c r="AW743">
        <v>321</v>
      </c>
      <c r="AX743">
        <v>25.3</v>
      </c>
    </row>
    <row r="744" spans="1:50" x14ac:dyDescent="0.3">
      <c r="A744" s="4">
        <f>HYPERLINK("http://legacy.baseballprospectus.com/p/68307",68307)</f>
        <v>68307</v>
      </c>
      <c r="B744" t="s">
        <v>445</v>
      </c>
      <c r="C744" t="s">
        <v>173</v>
      </c>
      <c r="D744" s="10">
        <v>33214</v>
      </c>
      <c r="E744" t="s">
        <v>9</v>
      </c>
      <c r="F744" t="s">
        <v>9</v>
      </c>
      <c r="G744">
        <v>76</v>
      </c>
      <c r="H744">
        <v>235</v>
      </c>
      <c r="I744">
        <v>2018</v>
      </c>
      <c r="J744" s="4" t="str">
        <f>HYPERLINK("http://legacy.baseballprospectus.com/fantasy/dc/index.php?tm=BOS","BOS")</f>
        <v>BOS</v>
      </c>
      <c r="K744" t="s">
        <v>95</v>
      </c>
      <c r="L744" t="s">
        <v>34</v>
      </c>
      <c r="M744">
        <v>27</v>
      </c>
      <c r="N744">
        <v>4.5</v>
      </c>
      <c r="O744">
        <v>4.8</v>
      </c>
      <c r="P744">
        <v>4</v>
      </c>
      <c r="Q744">
        <v>0</v>
      </c>
      <c r="R744">
        <v>0</v>
      </c>
      <c r="S744">
        <v>0</v>
      </c>
      <c r="T744">
        <v>32</v>
      </c>
      <c r="U744">
        <v>10</v>
      </c>
      <c r="V744" s="9">
        <v>80.333299999999994</v>
      </c>
      <c r="W744">
        <v>355</v>
      </c>
      <c r="X744">
        <v>83</v>
      </c>
      <c r="Y744">
        <v>13</v>
      </c>
      <c r="Z744">
        <v>35</v>
      </c>
      <c r="AA744">
        <v>3</v>
      </c>
      <c r="AB744">
        <v>2</v>
      </c>
      <c r="AC744">
        <v>65</v>
      </c>
      <c r="AD744">
        <v>3.9</v>
      </c>
      <c r="AE744">
        <v>7.3</v>
      </c>
      <c r="AF744" s="5">
        <v>0.40400000000000003</v>
      </c>
      <c r="AG744">
        <v>0.29099999999999998</v>
      </c>
      <c r="AH744">
        <v>1.46</v>
      </c>
      <c r="AI744">
        <v>5.05</v>
      </c>
      <c r="AJ744">
        <v>5.56</v>
      </c>
      <c r="AK744">
        <v>-1</v>
      </c>
      <c r="AL744">
        <v>-0.1</v>
      </c>
      <c r="AM744">
        <v>20</v>
      </c>
      <c r="AN744">
        <v>28</v>
      </c>
      <c r="AO744">
        <v>19</v>
      </c>
      <c r="AP744">
        <v>28</v>
      </c>
      <c r="AQ744" t="s">
        <v>3151</v>
      </c>
      <c r="AR744">
        <v>58</v>
      </c>
      <c r="AS744" t="s">
        <v>35</v>
      </c>
      <c r="AT744" t="s">
        <v>35</v>
      </c>
      <c r="AU744" s="4">
        <f>HYPERLINK("http://mlb.mlb.com/team/player.jsp?player_id=598271",598271)</f>
        <v>598271</v>
      </c>
      <c r="AV744">
        <v>98</v>
      </c>
      <c r="AW744">
        <v>1098</v>
      </c>
      <c r="AX744">
        <v>27</v>
      </c>
    </row>
    <row r="745" spans="1:50" x14ac:dyDescent="0.3">
      <c r="A745" s="4">
        <f>HYPERLINK("http://legacy.baseballprospectus.com/p/68414",68414)</f>
        <v>68414</v>
      </c>
      <c r="B745" t="s">
        <v>985</v>
      </c>
      <c r="C745" t="s">
        <v>113</v>
      </c>
      <c r="D745" s="10">
        <v>32368</v>
      </c>
      <c r="E745" t="s">
        <v>33</v>
      </c>
      <c r="F745" t="s">
        <v>33</v>
      </c>
      <c r="G745">
        <v>77</v>
      </c>
      <c r="H745">
        <v>235</v>
      </c>
      <c r="I745">
        <v>2018</v>
      </c>
      <c r="J745" s="4" t="str">
        <f>HYPERLINK("http://legacy.baseballprospectus.com/fantasy/dc/index.php?tm=BOS","BOS")</f>
        <v>BOS</v>
      </c>
      <c r="K745" t="s">
        <v>95</v>
      </c>
      <c r="L745" t="s">
        <v>34</v>
      </c>
      <c r="M745">
        <v>29</v>
      </c>
      <c r="N745">
        <v>1.4</v>
      </c>
      <c r="O745">
        <v>1.7</v>
      </c>
      <c r="P745">
        <v>0</v>
      </c>
      <c r="Q745">
        <v>0</v>
      </c>
      <c r="R745">
        <v>0</v>
      </c>
      <c r="S745">
        <v>1</v>
      </c>
      <c r="T745">
        <v>31</v>
      </c>
      <c r="U745">
        <v>0</v>
      </c>
      <c r="V745" s="9">
        <v>32.333300000000001</v>
      </c>
      <c r="W745">
        <v>144</v>
      </c>
      <c r="X745">
        <v>33</v>
      </c>
      <c r="Y745">
        <v>6</v>
      </c>
      <c r="Z745">
        <v>16</v>
      </c>
      <c r="AA745">
        <v>1</v>
      </c>
      <c r="AB745">
        <v>1</v>
      </c>
      <c r="AC745">
        <v>31</v>
      </c>
      <c r="AD745">
        <v>4.3</v>
      </c>
      <c r="AE745">
        <v>8.5</v>
      </c>
      <c r="AF745" s="5">
        <v>0.442</v>
      </c>
      <c r="AG745">
        <v>0.29699999999999999</v>
      </c>
      <c r="AH745">
        <v>1.5</v>
      </c>
      <c r="AI745">
        <v>5.3</v>
      </c>
      <c r="AJ745">
        <v>5.61</v>
      </c>
      <c r="AK745">
        <v>-1.2</v>
      </c>
      <c r="AL745">
        <v>-0.1</v>
      </c>
      <c r="AM745">
        <v>21</v>
      </c>
      <c r="AN745">
        <v>46</v>
      </c>
      <c r="AO745">
        <v>16</v>
      </c>
      <c r="AP745">
        <v>24</v>
      </c>
      <c r="AQ745" t="s">
        <v>3270</v>
      </c>
      <c r="AR745">
        <v>74</v>
      </c>
      <c r="AS745" t="s">
        <v>35</v>
      </c>
      <c r="AT745" t="s">
        <v>36</v>
      </c>
      <c r="AU745" s="4">
        <f>HYPERLINK("http://mlb.mlb.com/team/player.jsp?player_id=519443",519443)</f>
        <v>519443</v>
      </c>
      <c r="AV745">
        <v>299</v>
      </c>
      <c r="AW745">
        <v>1299</v>
      </c>
      <c r="AX745">
        <v>39.700000000000003</v>
      </c>
    </row>
    <row r="746" spans="1:50" x14ac:dyDescent="0.3">
      <c r="A746" s="4">
        <f>HYPERLINK("http://legacy.baseballprospectus.com/p/68471",68471)</f>
        <v>68471</v>
      </c>
      <c r="B746" t="s">
        <v>637</v>
      </c>
      <c r="C746" t="s">
        <v>2218</v>
      </c>
      <c r="D746" s="10">
        <v>32975</v>
      </c>
      <c r="E746" t="s">
        <v>33</v>
      </c>
      <c r="F746" t="s">
        <v>33</v>
      </c>
      <c r="G746">
        <v>76</v>
      </c>
      <c r="H746">
        <v>215</v>
      </c>
      <c r="I746">
        <v>2018</v>
      </c>
      <c r="J746" s="4" t="str">
        <f>HYPERLINK("http://legacy.baseballprospectus.com/fantasy/dc/index.php?tm=KCA","KCA")</f>
        <v>KCA</v>
      </c>
      <c r="K746" t="s">
        <v>95</v>
      </c>
      <c r="L746" t="s">
        <v>34</v>
      </c>
      <c r="M746">
        <v>28</v>
      </c>
      <c r="N746">
        <v>2.1</v>
      </c>
      <c r="O746">
        <v>2.7</v>
      </c>
      <c r="P746">
        <v>0</v>
      </c>
      <c r="Q746">
        <v>0</v>
      </c>
      <c r="R746">
        <v>0</v>
      </c>
      <c r="S746">
        <v>0</v>
      </c>
      <c r="T746">
        <v>49</v>
      </c>
      <c r="U746">
        <v>0</v>
      </c>
      <c r="V746" s="9">
        <v>51.666699999999999</v>
      </c>
      <c r="W746">
        <v>231</v>
      </c>
      <c r="X746">
        <v>51</v>
      </c>
      <c r="Y746">
        <v>8</v>
      </c>
      <c r="Z746">
        <v>25</v>
      </c>
      <c r="AA746">
        <v>2</v>
      </c>
      <c r="AB746">
        <v>3</v>
      </c>
      <c r="AC746">
        <v>49</v>
      </c>
      <c r="AD746">
        <v>4.4000000000000004</v>
      </c>
      <c r="AE746">
        <v>8.4</v>
      </c>
      <c r="AF746" s="5">
        <v>0.38500000000000001</v>
      </c>
      <c r="AG746">
        <v>0.29099999999999998</v>
      </c>
      <c r="AH746">
        <v>1.46</v>
      </c>
      <c r="AI746">
        <v>5.46</v>
      </c>
      <c r="AJ746">
        <v>5.37</v>
      </c>
      <c r="AK746">
        <v>-0.6</v>
      </c>
      <c r="AL746">
        <v>-0.1</v>
      </c>
      <c r="AM746">
        <v>14</v>
      </c>
      <c r="AN746">
        <v>23</v>
      </c>
      <c r="AO746">
        <v>5</v>
      </c>
      <c r="AP746">
        <v>14</v>
      </c>
      <c r="AQ746" t="s">
        <v>3173</v>
      </c>
      <c r="AR746">
        <v>34</v>
      </c>
      <c r="AS746" t="s">
        <v>35</v>
      </c>
      <c r="AT746" t="s">
        <v>35</v>
      </c>
      <c r="AU746" s="4">
        <f>HYPERLINK("http://mlb.mlb.com/team/player.jsp?player_id=572143",572143)</f>
        <v>572143</v>
      </c>
      <c r="AV746">
        <v>137</v>
      </c>
      <c r="AW746">
        <v>1137</v>
      </c>
      <c r="AX746">
        <v>0</v>
      </c>
    </row>
    <row r="747" spans="1:50" x14ac:dyDescent="0.3">
      <c r="A747" s="4">
        <f>HYPERLINK("http://legacy.baseballprospectus.com/p/68656",68656)</f>
        <v>68656</v>
      </c>
      <c r="B747" t="s">
        <v>1496</v>
      </c>
      <c r="C747" t="s">
        <v>313</v>
      </c>
      <c r="D747" s="10">
        <v>33514</v>
      </c>
      <c r="E747" t="s">
        <v>33</v>
      </c>
      <c r="F747" t="s">
        <v>33</v>
      </c>
      <c r="G747">
        <v>75</v>
      </c>
      <c r="H747">
        <v>200</v>
      </c>
      <c r="I747">
        <v>2018</v>
      </c>
      <c r="J747" s="4" t="str">
        <f>HYPERLINK("http://legacy.baseballprospectus.com/fantasy/dc/index.php?tm=CLE","CLE")</f>
        <v>CLE</v>
      </c>
      <c r="K747" t="s">
        <v>95</v>
      </c>
      <c r="L747" t="s">
        <v>34</v>
      </c>
      <c r="M747">
        <v>26</v>
      </c>
      <c r="N747">
        <v>1</v>
      </c>
      <c r="O747">
        <v>0.9</v>
      </c>
      <c r="P747">
        <v>0</v>
      </c>
      <c r="Q747">
        <v>0</v>
      </c>
      <c r="R747">
        <v>0</v>
      </c>
      <c r="S747">
        <v>0</v>
      </c>
      <c r="T747">
        <v>18</v>
      </c>
      <c r="U747">
        <v>0</v>
      </c>
      <c r="V747" s="9">
        <v>19.666699999999999</v>
      </c>
      <c r="W747">
        <v>85</v>
      </c>
      <c r="X747">
        <v>20</v>
      </c>
      <c r="Y747">
        <v>4</v>
      </c>
      <c r="Z747">
        <v>8</v>
      </c>
      <c r="AA747">
        <v>1</v>
      </c>
      <c r="AB747">
        <v>0</v>
      </c>
      <c r="AC747">
        <v>17</v>
      </c>
      <c r="AD747">
        <v>3.5</v>
      </c>
      <c r="AE747">
        <v>7.9</v>
      </c>
      <c r="AF747" s="5">
        <v>0.34899999999999998</v>
      </c>
      <c r="AG747">
        <v>0.28999999999999998</v>
      </c>
      <c r="AH747">
        <v>1.41</v>
      </c>
      <c r="AI747">
        <v>5.42</v>
      </c>
      <c r="AJ747">
        <v>5.65</v>
      </c>
      <c r="AK747">
        <v>-0.8</v>
      </c>
      <c r="AL747">
        <v>-0.1</v>
      </c>
      <c r="AM747">
        <v>16</v>
      </c>
      <c r="AN747">
        <v>25</v>
      </c>
      <c r="AO747">
        <v>10</v>
      </c>
      <c r="AP747">
        <v>28</v>
      </c>
      <c r="AQ747" t="s">
        <v>3043</v>
      </c>
      <c r="AR747">
        <v>39</v>
      </c>
      <c r="AS747" t="s">
        <v>35</v>
      </c>
      <c r="AT747" t="s">
        <v>35</v>
      </c>
      <c r="AU747" s="4">
        <f>HYPERLINK("http://mlb.mlb.com/team/player.jsp?player_id=592644",592644)</f>
        <v>592644</v>
      </c>
      <c r="AV747">
        <v>140</v>
      </c>
      <c r="AW747">
        <v>1140</v>
      </c>
      <c r="AX747">
        <v>0</v>
      </c>
    </row>
    <row r="748" spans="1:50" x14ac:dyDescent="0.3">
      <c r="A748" s="4">
        <f>HYPERLINK("http://legacy.baseballprospectus.com/p/68743",68743)</f>
        <v>68743</v>
      </c>
      <c r="B748" t="s">
        <v>983</v>
      </c>
      <c r="C748" t="s">
        <v>1425</v>
      </c>
      <c r="D748" s="10">
        <v>33515</v>
      </c>
      <c r="E748" t="s">
        <v>33</v>
      </c>
      <c r="F748" t="s">
        <v>33</v>
      </c>
      <c r="G748">
        <v>76</v>
      </c>
      <c r="H748">
        <v>230</v>
      </c>
      <c r="I748">
        <v>2018</v>
      </c>
      <c r="J748" s="4" t="str">
        <f>HYPERLINK("http://legacy.baseballprospectus.com/fantasy/dc/index.php?tm=BAL","BAL")</f>
        <v>BAL</v>
      </c>
      <c r="K748" t="s">
        <v>95</v>
      </c>
      <c r="L748" t="s">
        <v>34</v>
      </c>
      <c r="M748">
        <v>26</v>
      </c>
      <c r="N748">
        <v>1.8</v>
      </c>
      <c r="O748">
        <v>2.7</v>
      </c>
      <c r="P748">
        <v>2</v>
      </c>
      <c r="Q748">
        <v>0</v>
      </c>
      <c r="R748">
        <v>0</v>
      </c>
      <c r="S748">
        <v>0</v>
      </c>
      <c r="T748">
        <v>15</v>
      </c>
      <c r="U748">
        <v>5</v>
      </c>
      <c r="V748" s="9">
        <v>37.333300000000001</v>
      </c>
      <c r="W748">
        <v>166</v>
      </c>
      <c r="X748">
        <v>41</v>
      </c>
      <c r="Y748">
        <v>8</v>
      </c>
      <c r="Z748">
        <v>14</v>
      </c>
      <c r="AA748">
        <v>1</v>
      </c>
      <c r="AB748">
        <v>2</v>
      </c>
      <c r="AC748">
        <v>29</v>
      </c>
      <c r="AD748">
        <v>3.4</v>
      </c>
      <c r="AE748">
        <v>7.1</v>
      </c>
      <c r="AF748" s="5">
        <v>0.41699999999999998</v>
      </c>
      <c r="AG748">
        <v>0.28999999999999998</v>
      </c>
      <c r="AH748">
        <v>1.45</v>
      </c>
      <c r="AI748">
        <v>5.69</v>
      </c>
      <c r="AJ748">
        <v>5.78</v>
      </c>
      <c r="AK748">
        <v>-1.3</v>
      </c>
      <c r="AL748">
        <v>-0.1</v>
      </c>
      <c r="AM748">
        <v>23</v>
      </c>
      <c r="AN748">
        <v>46</v>
      </c>
      <c r="AO748">
        <v>14</v>
      </c>
      <c r="AP748">
        <v>31</v>
      </c>
      <c r="AQ748" t="s">
        <v>2739</v>
      </c>
      <c r="AR748">
        <v>74</v>
      </c>
      <c r="AS748" t="s">
        <v>35</v>
      </c>
      <c r="AT748" t="s">
        <v>36</v>
      </c>
      <c r="AU748" s="4">
        <f>HYPERLINK("http://mlb.mlb.com/team/player.jsp?player_id=594742",594742)</f>
        <v>594742</v>
      </c>
      <c r="AV748">
        <v>77</v>
      </c>
      <c r="AW748">
        <v>1077</v>
      </c>
      <c r="AX748">
        <v>60</v>
      </c>
    </row>
    <row r="749" spans="1:50" x14ac:dyDescent="0.3">
      <c r="A749" s="4">
        <f>HYPERLINK("http://legacy.baseballprospectus.com/p/68759",68759)</f>
        <v>68759</v>
      </c>
      <c r="B749" t="s">
        <v>1308</v>
      </c>
      <c r="C749" t="s">
        <v>625</v>
      </c>
      <c r="D749" s="10">
        <v>33650</v>
      </c>
      <c r="E749" t="s">
        <v>9</v>
      </c>
      <c r="F749" t="s">
        <v>9</v>
      </c>
      <c r="G749">
        <v>73</v>
      </c>
      <c r="H749">
        <v>195</v>
      </c>
      <c r="I749">
        <v>2018</v>
      </c>
      <c r="J749" s="4" t="str">
        <f>HYPERLINK("http://legacy.baseballprospectus.com/fantasy/dc/index.php?tm=SEA","SEA")</f>
        <v>SEA</v>
      </c>
      <c r="K749" t="s">
        <v>95</v>
      </c>
      <c r="L749" t="s">
        <v>34</v>
      </c>
      <c r="M749">
        <v>26</v>
      </c>
      <c r="N749">
        <v>3.8</v>
      </c>
      <c r="O749">
        <v>4.5999999999999996</v>
      </c>
      <c r="P749">
        <v>5</v>
      </c>
      <c r="Q749">
        <v>0</v>
      </c>
      <c r="R749">
        <v>0</v>
      </c>
      <c r="S749">
        <v>0</v>
      </c>
      <c r="T749">
        <v>13</v>
      </c>
      <c r="U749">
        <v>13</v>
      </c>
      <c r="V749" s="9">
        <v>65</v>
      </c>
      <c r="W749">
        <v>289</v>
      </c>
      <c r="X749">
        <v>71</v>
      </c>
      <c r="Y749">
        <v>12</v>
      </c>
      <c r="Z749">
        <v>25</v>
      </c>
      <c r="AA749">
        <v>1</v>
      </c>
      <c r="AB749">
        <v>3</v>
      </c>
      <c r="AC749">
        <v>52</v>
      </c>
      <c r="AD749">
        <v>3.5</v>
      </c>
      <c r="AE749">
        <v>7.2</v>
      </c>
      <c r="AF749" s="5">
        <v>0.433</v>
      </c>
      <c r="AG749">
        <v>0.29799999999999999</v>
      </c>
      <c r="AH749">
        <v>1.49</v>
      </c>
      <c r="AI749">
        <v>5.13</v>
      </c>
      <c r="AJ749">
        <v>5.6</v>
      </c>
      <c r="AK749">
        <v>-0.5</v>
      </c>
      <c r="AL749">
        <v>-0.1</v>
      </c>
      <c r="AM749">
        <v>18</v>
      </c>
      <c r="AN749">
        <v>39</v>
      </c>
      <c r="AO749">
        <v>22</v>
      </c>
      <c r="AP749">
        <v>36</v>
      </c>
      <c r="AQ749" t="s">
        <v>2650</v>
      </c>
      <c r="AR749">
        <v>80</v>
      </c>
      <c r="AS749" t="s">
        <v>35</v>
      </c>
      <c r="AT749" t="s">
        <v>36</v>
      </c>
      <c r="AU749" s="4">
        <f>HYPERLINK("http://mlb.mlb.com/team/player.jsp?player_id=594835",594835)</f>
        <v>594835</v>
      </c>
      <c r="AV749">
        <v>88</v>
      </c>
      <c r="AW749">
        <v>1088</v>
      </c>
      <c r="AX749">
        <v>40</v>
      </c>
    </row>
    <row r="750" spans="1:50" x14ac:dyDescent="0.3">
      <c r="A750" s="4">
        <f>HYPERLINK("http://legacy.baseballprospectus.com/p/68781",68781)</f>
        <v>68781</v>
      </c>
      <c r="B750" t="s">
        <v>1285</v>
      </c>
      <c r="C750" t="s">
        <v>345</v>
      </c>
      <c r="D750" s="10">
        <v>33668</v>
      </c>
      <c r="E750" t="s">
        <v>33</v>
      </c>
      <c r="F750" t="s">
        <v>33</v>
      </c>
      <c r="G750">
        <v>76</v>
      </c>
      <c r="H750">
        <v>190</v>
      </c>
      <c r="I750">
        <v>2018</v>
      </c>
      <c r="J750" s="4" t="str">
        <f>HYPERLINK("http://legacy.baseballprospectus.com/fantasy/dc/index.php?tm=PHI","PHI")</f>
        <v>PHI</v>
      </c>
      <c r="K750" t="s">
        <v>100</v>
      </c>
      <c r="L750" t="s">
        <v>34</v>
      </c>
      <c r="M750">
        <v>26</v>
      </c>
      <c r="N750">
        <v>4.3</v>
      </c>
      <c r="O750">
        <v>5.7</v>
      </c>
      <c r="P750">
        <v>6</v>
      </c>
      <c r="Q750">
        <v>0</v>
      </c>
      <c r="R750">
        <v>0</v>
      </c>
      <c r="S750">
        <v>0</v>
      </c>
      <c r="T750">
        <v>15</v>
      </c>
      <c r="U750">
        <v>15</v>
      </c>
      <c r="V750" s="9">
        <v>79.666700000000006</v>
      </c>
      <c r="W750">
        <v>340</v>
      </c>
      <c r="X750">
        <v>81</v>
      </c>
      <c r="Y750">
        <v>15</v>
      </c>
      <c r="Z750">
        <v>26</v>
      </c>
      <c r="AA750">
        <v>1</v>
      </c>
      <c r="AB750">
        <v>3</v>
      </c>
      <c r="AC750">
        <v>67</v>
      </c>
      <c r="AD750">
        <v>3</v>
      </c>
      <c r="AE750">
        <v>7.5</v>
      </c>
      <c r="AF750" s="5">
        <v>0.39700000000000002</v>
      </c>
      <c r="AG750">
        <v>0.28799999999999998</v>
      </c>
      <c r="AH750">
        <v>1.32</v>
      </c>
      <c r="AI750">
        <v>5.0599999999999996</v>
      </c>
      <c r="AJ750">
        <v>5.33</v>
      </c>
      <c r="AK750">
        <v>-0.5</v>
      </c>
      <c r="AL750">
        <v>-0.1</v>
      </c>
      <c r="AM750">
        <v>26</v>
      </c>
      <c r="AN750">
        <v>44</v>
      </c>
      <c r="AO750">
        <v>12</v>
      </c>
      <c r="AP750">
        <v>24</v>
      </c>
      <c r="AQ750" t="s">
        <v>2471</v>
      </c>
      <c r="AR750">
        <v>76</v>
      </c>
      <c r="AS750" t="s">
        <v>35</v>
      </c>
      <c r="AT750" t="s">
        <v>36</v>
      </c>
      <c r="AU750" s="4">
        <f>HYPERLINK("http://mlb.mlb.com/team/player.jsp?player_id=594902",594902)</f>
        <v>594902</v>
      </c>
      <c r="AV750">
        <v>1062</v>
      </c>
      <c r="AW750">
        <v>62</v>
      </c>
      <c r="AX750">
        <v>88.7</v>
      </c>
    </row>
    <row r="751" spans="1:50" x14ac:dyDescent="0.3">
      <c r="A751" s="4">
        <f>HYPERLINK("http://legacy.baseballprospectus.com/p/68913",68913)</f>
        <v>68913</v>
      </c>
      <c r="B751" t="s">
        <v>469</v>
      </c>
      <c r="C751" t="s">
        <v>234</v>
      </c>
      <c r="D751" s="10">
        <v>33833</v>
      </c>
      <c r="E751" t="s">
        <v>9</v>
      </c>
      <c r="F751" t="s">
        <v>9</v>
      </c>
      <c r="G751">
        <v>75</v>
      </c>
      <c r="H751">
        <v>180</v>
      </c>
      <c r="I751">
        <v>2018</v>
      </c>
      <c r="J751" s="4" t="str">
        <f>HYPERLINK("http://legacy.baseballprospectus.com/fantasy/dc/index.php?tm=BAL","BAL")</f>
        <v>BAL</v>
      </c>
      <c r="K751" t="s">
        <v>95</v>
      </c>
      <c r="L751" t="s">
        <v>34</v>
      </c>
      <c r="M751">
        <v>25</v>
      </c>
      <c r="N751">
        <v>0.8</v>
      </c>
      <c r="O751">
        <v>1.3</v>
      </c>
      <c r="P751">
        <v>1</v>
      </c>
      <c r="Q751">
        <v>0</v>
      </c>
      <c r="R751">
        <v>0</v>
      </c>
      <c r="S751">
        <v>0</v>
      </c>
      <c r="T751">
        <v>3</v>
      </c>
      <c r="U751">
        <v>3</v>
      </c>
      <c r="V751" s="9">
        <v>16</v>
      </c>
      <c r="W751">
        <v>73</v>
      </c>
      <c r="X751">
        <v>18</v>
      </c>
      <c r="Y751">
        <v>3</v>
      </c>
      <c r="Z751">
        <v>7</v>
      </c>
      <c r="AA751">
        <v>0</v>
      </c>
      <c r="AB751">
        <v>1</v>
      </c>
      <c r="AC751">
        <v>11</v>
      </c>
      <c r="AD751">
        <v>3.8</v>
      </c>
      <c r="AE751">
        <v>6</v>
      </c>
      <c r="AF751" s="5">
        <v>0.51300000000000001</v>
      </c>
      <c r="AG751">
        <v>0.29599999999999999</v>
      </c>
      <c r="AH751">
        <v>1.61</v>
      </c>
      <c r="AI751">
        <v>5.55</v>
      </c>
      <c r="AJ751">
        <v>5.81</v>
      </c>
      <c r="AK751">
        <v>-0.5</v>
      </c>
      <c r="AL751">
        <v>-0.1</v>
      </c>
      <c r="AM751">
        <v>15</v>
      </c>
      <c r="AN751">
        <v>25</v>
      </c>
      <c r="AO751">
        <v>7</v>
      </c>
      <c r="AP751">
        <v>23</v>
      </c>
      <c r="AQ751" t="s">
        <v>3180</v>
      </c>
      <c r="AR751">
        <v>35</v>
      </c>
      <c r="AS751" t="s">
        <v>35</v>
      </c>
      <c r="AT751" t="s">
        <v>35</v>
      </c>
      <c r="AU751" s="4">
        <f>HYPERLINK("http://mlb.mlb.com/team/player.jsp?player_id=595296",595296)</f>
        <v>595296</v>
      </c>
      <c r="AV751">
        <v>142</v>
      </c>
      <c r="AW751">
        <v>1142</v>
      </c>
      <c r="AX751">
        <v>0</v>
      </c>
    </row>
    <row r="752" spans="1:50" x14ac:dyDescent="0.3">
      <c r="A752" s="4">
        <f>HYPERLINK("http://legacy.baseballprospectus.com/p/68933",68933)</f>
        <v>68933</v>
      </c>
      <c r="B752" t="s">
        <v>1487</v>
      </c>
      <c r="C752" t="s">
        <v>808</v>
      </c>
      <c r="D752" s="10">
        <v>33428</v>
      </c>
      <c r="E752" t="s">
        <v>9</v>
      </c>
      <c r="F752" t="s">
        <v>9</v>
      </c>
      <c r="G752">
        <v>75</v>
      </c>
      <c r="H752">
        <v>210</v>
      </c>
      <c r="I752">
        <v>2018</v>
      </c>
      <c r="J752" s="4" t="str">
        <f>HYPERLINK("http://legacy.baseballprospectus.com/fantasy/dc/index.php?tm=SFN","SFN")</f>
        <v>SFN</v>
      </c>
      <c r="K752" t="s">
        <v>100</v>
      </c>
      <c r="L752" t="s">
        <v>34</v>
      </c>
      <c r="M752">
        <v>26</v>
      </c>
      <c r="N752">
        <v>1.3</v>
      </c>
      <c r="O752">
        <v>1.2</v>
      </c>
      <c r="P752">
        <v>0</v>
      </c>
      <c r="Q752">
        <v>0</v>
      </c>
      <c r="R752">
        <v>0</v>
      </c>
      <c r="S752">
        <v>1</v>
      </c>
      <c r="T752">
        <v>25</v>
      </c>
      <c r="U752">
        <v>0</v>
      </c>
      <c r="V752" s="9">
        <v>26</v>
      </c>
      <c r="W752">
        <v>115</v>
      </c>
      <c r="X752">
        <v>26</v>
      </c>
      <c r="Y752">
        <v>4</v>
      </c>
      <c r="Z752">
        <v>11</v>
      </c>
      <c r="AA752">
        <v>1</v>
      </c>
      <c r="AB752">
        <v>1</v>
      </c>
      <c r="AC752">
        <v>26</v>
      </c>
      <c r="AD752">
        <v>3.8</v>
      </c>
      <c r="AE752">
        <v>9</v>
      </c>
      <c r="AF752" s="5">
        <v>0.42</v>
      </c>
      <c r="AG752">
        <v>0.30099999999999999</v>
      </c>
      <c r="AH752">
        <v>1.43</v>
      </c>
      <c r="AI752">
        <v>4.6900000000000004</v>
      </c>
      <c r="AJ752">
        <v>5.17</v>
      </c>
      <c r="AK752">
        <v>-0.5</v>
      </c>
      <c r="AL752">
        <v>-0.1</v>
      </c>
      <c r="AM752">
        <v>28</v>
      </c>
      <c r="AN752">
        <v>35</v>
      </c>
      <c r="AO752">
        <v>17</v>
      </c>
      <c r="AP752">
        <v>20</v>
      </c>
      <c r="AQ752" t="s">
        <v>3045</v>
      </c>
      <c r="AR752">
        <v>59</v>
      </c>
      <c r="AS752" t="s">
        <v>35</v>
      </c>
      <c r="AT752" t="s">
        <v>35</v>
      </c>
      <c r="AU752" s="4">
        <f>HYPERLINK("http://mlb.mlb.com/team/player.jsp?player_id=595345",595345)</f>
        <v>595345</v>
      </c>
      <c r="AV752">
        <v>1318</v>
      </c>
      <c r="AW752">
        <v>318</v>
      </c>
      <c r="AX752">
        <v>27</v>
      </c>
    </row>
    <row r="753" spans="1:50" x14ac:dyDescent="0.3">
      <c r="A753" s="4">
        <f>HYPERLINK("http://legacy.baseballprospectus.com/p/68990",68990)</f>
        <v>68990</v>
      </c>
      <c r="B753" t="s">
        <v>1475</v>
      </c>
      <c r="C753" t="s">
        <v>232</v>
      </c>
      <c r="D753" s="10">
        <v>32906</v>
      </c>
      <c r="E753" t="s">
        <v>33</v>
      </c>
      <c r="F753" t="s">
        <v>33</v>
      </c>
      <c r="G753">
        <v>75</v>
      </c>
      <c r="H753">
        <v>205</v>
      </c>
      <c r="I753">
        <v>2018</v>
      </c>
      <c r="J753" s="4" t="str">
        <f>HYPERLINK("http://legacy.baseballprospectus.com/fantasy/dc/index.php?tm=ATL","ATL")</f>
        <v>ATL</v>
      </c>
      <c r="K753" t="s">
        <v>100</v>
      </c>
      <c r="L753" t="s">
        <v>34</v>
      </c>
      <c r="M753">
        <v>28</v>
      </c>
      <c r="N753">
        <v>2.1</v>
      </c>
      <c r="O753">
        <v>2.1</v>
      </c>
      <c r="P753">
        <v>0</v>
      </c>
      <c r="Q753">
        <v>0</v>
      </c>
      <c r="R753">
        <v>0</v>
      </c>
      <c r="S753">
        <v>1</v>
      </c>
      <c r="T753">
        <v>41</v>
      </c>
      <c r="U753">
        <v>0</v>
      </c>
      <c r="V753" s="9">
        <v>43.666699999999999</v>
      </c>
      <c r="W753">
        <v>188</v>
      </c>
      <c r="X753">
        <v>38</v>
      </c>
      <c r="Y753">
        <v>8</v>
      </c>
      <c r="Z753">
        <v>22</v>
      </c>
      <c r="AA753">
        <v>2</v>
      </c>
      <c r="AB753">
        <v>1</v>
      </c>
      <c r="AC753">
        <v>49</v>
      </c>
      <c r="AD753">
        <v>4.5999999999999996</v>
      </c>
      <c r="AE753">
        <v>10.1</v>
      </c>
      <c r="AF753" s="5">
        <v>0.45600000000000002</v>
      </c>
      <c r="AG753">
        <v>0.28199999999999997</v>
      </c>
      <c r="AH753">
        <v>1.36</v>
      </c>
      <c r="AI753">
        <v>5.01</v>
      </c>
      <c r="AJ753">
        <v>5.18</v>
      </c>
      <c r="AK753">
        <v>-0.8</v>
      </c>
      <c r="AL753">
        <v>-0.1</v>
      </c>
      <c r="AM753">
        <v>22</v>
      </c>
      <c r="AN753">
        <v>40</v>
      </c>
      <c r="AO753">
        <v>14</v>
      </c>
      <c r="AP753">
        <v>27</v>
      </c>
      <c r="AQ753" t="s">
        <v>2741</v>
      </c>
      <c r="AR753">
        <v>57</v>
      </c>
      <c r="AS753" t="s">
        <v>35</v>
      </c>
      <c r="AT753" t="s">
        <v>35</v>
      </c>
      <c r="AU753" s="4">
        <f>HYPERLINK("http://mlb.mlb.com/team/player.jsp?player_id=595465",595465)</f>
        <v>595465</v>
      </c>
      <c r="AV753">
        <v>1119</v>
      </c>
      <c r="AW753">
        <v>119</v>
      </c>
      <c r="AX753">
        <v>14.3</v>
      </c>
    </row>
    <row r="754" spans="1:50" x14ac:dyDescent="0.3">
      <c r="A754" s="4">
        <f>HYPERLINK("http://legacy.baseballprospectus.com/p/69354",69354)</f>
        <v>69354</v>
      </c>
      <c r="B754" t="s">
        <v>3181</v>
      </c>
      <c r="C754" t="s">
        <v>218</v>
      </c>
      <c r="D754" s="10">
        <v>33891</v>
      </c>
      <c r="E754" t="s">
        <v>9</v>
      </c>
      <c r="F754" t="s">
        <v>9</v>
      </c>
      <c r="G754">
        <v>73</v>
      </c>
      <c r="H754">
        <v>180</v>
      </c>
      <c r="I754">
        <v>2018</v>
      </c>
      <c r="J754" s="4" t="str">
        <f>HYPERLINK("http://legacy.baseballprospectus.com/fantasy/dc/index.php?tm=MIA","MIA")</f>
        <v>MIA</v>
      </c>
      <c r="K754" t="s">
        <v>100</v>
      </c>
      <c r="L754" t="s">
        <v>34</v>
      </c>
      <c r="M754">
        <v>25</v>
      </c>
      <c r="N754">
        <v>1.1000000000000001</v>
      </c>
      <c r="O754">
        <v>1.4</v>
      </c>
      <c r="P754">
        <v>0</v>
      </c>
      <c r="Q754">
        <v>0</v>
      </c>
      <c r="R754">
        <v>0</v>
      </c>
      <c r="S754">
        <v>1</v>
      </c>
      <c r="T754">
        <v>26</v>
      </c>
      <c r="U754">
        <v>0</v>
      </c>
      <c r="V754" s="9">
        <v>27</v>
      </c>
      <c r="W754">
        <v>124</v>
      </c>
      <c r="X754">
        <v>29</v>
      </c>
      <c r="Y754">
        <v>4</v>
      </c>
      <c r="Z754">
        <v>13</v>
      </c>
      <c r="AA754">
        <v>1</v>
      </c>
      <c r="AB754">
        <v>2</v>
      </c>
      <c r="AC754">
        <v>25</v>
      </c>
      <c r="AD754">
        <v>4.2</v>
      </c>
      <c r="AE754">
        <v>8.3000000000000007</v>
      </c>
      <c r="AF754" s="5">
        <v>0.44900000000000001</v>
      </c>
      <c r="AG754">
        <v>0.308</v>
      </c>
      <c r="AH754">
        <v>1.57</v>
      </c>
      <c r="AI754">
        <v>5.29</v>
      </c>
      <c r="AJ754">
        <v>5.25</v>
      </c>
      <c r="AK754">
        <v>-0.7</v>
      </c>
      <c r="AL754">
        <v>-0.1</v>
      </c>
      <c r="AM754">
        <v>1</v>
      </c>
      <c r="AN754">
        <v>3</v>
      </c>
      <c r="AO754">
        <v>4</v>
      </c>
      <c r="AP754">
        <v>4</v>
      </c>
      <c r="AQ754" t="s">
        <v>3182</v>
      </c>
      <c r="AR754">
        <v>7</v>
      </c>
      <c r="AS754" t="s">
        <v>35</v>
      </c>
      <c r="AT754" t="s">
        <v>35</v>
      </c>
      <c r="AU754" s="4">
        <f>HYPERLINK("http://mlb.mlb.com/team/player.jsp?player_id=600887",600887)</f>
        <v>600887</v>
      </c>
      <c r="AV754">
        <v>0</v>
      </c>
      <c r="AW754">
        <v>0</v>
      </c>
      <c r="AX754">
        <v>0</v>
      </c>
    </row>
    <row r="755" spans="1:50" x14ac:dyDescent="0.3">
      <c r="A755" s="4">
        <f>HYPERLINK("http://legacy.baseballprospectus.com/p/69494",69494)</f>
        <v>69494</v>
      </c>
      <c r="B755" t="s">
        <v>111</v>
      </c>
      <c r="C755" t="s">
        <v>575</v>
      </c>
      <c r="D755" s="10">
        <v>34336</v>
      </c>
      <c r="E755" t="s">
        <v>33</v>
      </c>
      <c r="F755" t="s">
        <v>33</v>
      </c>
      <c r="G755">
        <v>74</v>
      </c>
      <c r="H755">
        <v>170</v>
      </c>
      <c r="I755">
        <v>2018</v>
      </c>
      <c r="J755" s="4" t="str">
        <f>HYPERLINK("http://legacy.baseballprospectus.com/fantasy/dc/index.php?tm=MIN","MIN")</f>
        <v>MIN</v>
      </c>
      <c r="K755" t="s">
        <v>95</v>
      </c>
      <c r="L755" t="s">
        <v>34</v>
      </c>
      <c r="M755">
        <v>24</v>
      </c>
      <c r="N755">
        <v>0.6</v>
      </c>
      <c r="O755">
        <v>0.8</v>
      </c>
      <c r="P755">
        <v>1</v>
      </c>
      <c r="Q755">
        <v>0</v>
      </c>
      <c r="R755">
        <v>0</v>
      </c>
      <c r="S755">
        <v>0</v>
      </c>
      <c r="T755">
        <v>2</v>
      </c>
      <c r="U755">
        <v>2</v>
      </c>
      <c r="V755" s="9">
        <v>10.666700000000001</v>
      </c>
      <c r="W755">
        <v>47</v>
      </c>
      <c r="X755">
        <v>13</v>
      </c>
      <c r="Y755">
        <v>3</v>
      </c>
      <c r="Z755">
        <v>4</v>
      </c>
      <c r="AA755">
        <v>0</v>
      </c>
      <c r="AB755">
        <v>0</v>
      </c>
      <c r="AC755">
        <v>8</v>
      </c>
      <c r="AD755">
        <v>3.1</v>
      </c>
      <c r="AE755">
        <v>6.5</v>
      </c>
      <c r="AF755" s="5">
        <v>0.45500000000000002</v>
      </c>
      <c r="AG755">
        <v>0.29499999999999998</v>
      </c>
      <c r="AH755">
        <v>1.55</v>
      </c>
      <c r="AI755">
        <v>5.69</v>
      </c>
      <c r="AJ755">
        <v>6.03</v>
      </c>
      <c r="AK755">
        <v>-0.6</v>
      </c>
      <c r="AL755">
        <v>-0.1</v>
      </c>
      <c r="AM755">
        <v>12</v>
      </c>
      <c r="AN755">
        <v>20</v>
      </c>
      <c r="AO755">
        <v>3</v>
      </c>
      <c r="AP755">
        <v>15</v>
      </c>
      <c r="AQ755" t="s">
        <v>2885</v>
      </c>
      <c r="AR755">
        <v>23</v>
      </c>
      <c r="AS755" t="s">
        <v>35</v>
      </c>
      <c r="AT755" t="s">
        <v>35</v>
      </c>
      <c r="AU755" s="4">
        <f>HYPERLINK("http://mlb.mlb.com/team/player.jsp?player_id=602928",602928)</f>
        <v>602928</v>
      </c>
      <c r="AV755">
        <v>117</v>
      </c>
      <c r="AW755">
        <v>1117</v>
      </c>
      <c r="AX755">
        <v>7.7</v>
      </c>
    </row>
    <row r="756" spans="1:50" x14ac:dyDescent="0.3">
      <c r="A756" s="4">
        <f>HYPERLINK("http://legacy.baseballprospectus.com/p/69788",69788)</f>
        <v>69788</v>
      </c>
      <c r="B756" t="s">
        <v>359</v>
      </c>
      <c r="C756" t="s">
        <v>1533</v>
      </c>
      <c r="D756" s="10">
        <v>33987</v>
      </c>
      <c r="E756" t="s">
        <v>9</v>
      </c>
      <c r="F756" t="s">
        <v>9</v>
      </c>
      <c r="G756">
        <v>75</v>
      </c>
      <c r="H756">
        <v>215</v>
      </c>
      <c r="I756">
        <v>2018</v>
      </c>
      <c r="J756" s="4" t="str">
        <f>HYPERLINK("http://legacy.baseballprospectus.com/fantasy/dc/index.php?tm=MIA","MIA")</f>
        <v>MIA</v>
      </c>
      <c r="K756" t="s">
        <v>100</v>
      </c>
      <c r="L756" t="s">
        <v>34</v>
      </c>
      <c r="M756">
        <v>25</v>
      </c>
      <c r="N756">
        <v>1.6</v>
      </c>
      <c r="O756">
        <v>2</v>
      </c>
      <c r="P756">
        <v>0</v>
      </c>
      <c r="Q756">
        <v>0</v>
      </c>
      <c r="R756">
        <v>0</v>
      </c>
      <c r="S756">
        <v>1</v>
      </c>
      <c r="T756">
        <v>36</v>
      </c>
      <c r="U756">
        <v>0</v>
      </c>
      <c r="V756" s="9">
        <v>38</v>
      </c>
      <c r="W756">
        <v>167</v>
      </c>
      <c r="X756">
        <v>38</v>
      </c>
      <c r="Y756">
        <v>6</v>
      </c>
      <c r="Z756">
        <v>16</v>
      </c>
      <c r="AA756">
        <v>2</v>
      </c>
      <c r="AB756">
        <v>2</v>
      </c>
      <c r="AC756">
        <v>34</v>
      </c>
      <c r="AD756">
        <v>3.7</v>
      </c>
      <c r="AE756">
        <v>8.1</v>
      </c>
      <c r="AF756" s="5">
        <v>0.42499999999999999</v>
      </c>
      <c r="AG756">
        <v>0.29499999999999998</v>
      </c>
      <c r="AH756">
        <v>1.43</v>
      </c>
      <c r="AI756">
        <v>5.15</v>
      </c>
      <c r="AJ756">
        <v>5.14</v>
      </c>
      <c r="AK756">
        <v>-0.6</v>
      </c>
      <c r="AL756">
        <v>-0.1</v>
      </c>
      <c r="AM756">
        <v>21</v>
      </c>
      <c r="AN756">
        <v>36</v>
      </c>
      <c r="AO756">
        <v>17</v>
      </c>
      <c r="AP756">
        <v>47</v>
      </c>
      <c r="AQ756" t="s">
        <v>3050</v>
      </c>
      <c r="AR756">
        <v>68</v>
      </c>
      <c r="AS756" t="s">
        <v>35</v>
      </c>
      <c r="AT756" t="s">
        <v>36</v>
      </c>
      <c r="AU756" s="4">
        <f>HYPERLINK("http://mlb.mlb.com/team/player.jsp?player_id=606424",606424)</f>
        <v>606424</v>
      </c>
      <c r="AV756">
        <v>1290</v>
      </c>
      <c r="AW756">
        <v>290</v>
      </c>
      <c r="AX756">
        <v>53.3</v>
      </c>
    </row>
    <row r="757" spans="1:50" x14ac:dyDescent="0.3">
      <c r="A757" s="4">
        <f>HYPERLINK("http://legacy.baseballprospectus.com/p/69801",69801)</f>
        <v>69801</v>
      </c>
      <c r="B757" t="s">
        <v>5021</v>
      </c>
      <c r="C757" t="s">
        <v>121</v>
      </c>
      <c r="D757" s="10">
        <v>34152</v>
      </c>
      <c r="E757" t="s">
        <v>33</v>
      </c>
      <c r="F757" t="s">
        <v>33</v>
      </c>
      <c r="G757">
        <v>75</v>
      </c>
      <c r="H757">
        <v>214</v>
      </c>
      <c r="I757">
        <v>2018</v>
      </c>
      <c r="J757" s="4" t="str">
        <f>HYPERLINK("http://legacy.baseballprospectus.com/fantasy/dc/index.php?tm=BAL","BAL")</f>
        <v>BAL</v>
      </c>
      <c r="K757" t="s">
        <v>95</v>
      </c>
      <c r="L757" t="s">
        <v>34</v>
      </c>
      <c r="M757">
        <v>24</v>
      </c>
      <c r="N757">
        <v>1.3</v>
      </c>
      <c r="O757">
        <v>1.8</v>
      </c>
      <c r="P757">
        <v>0</v>
      </c>
      <c r="Q757">
        <v>0</v>
      </c>
      <c r="R757">
        <v>0</v>
      </c>
      <c r="S757">
        <v>1</v>
      </c>
      <c r="T757">
        <v>31</v>
      </c>
      <c r="U757">
        <v>0</v>
      </c>
      <c r="V757" s="9">
        <v>32.666699999999999</v>
      </c>
      <c r="W757">
        <v>143</v>
      </c>
      <c r="X757">
        <v>33</v>
      </c>
      <c r="Y757">
        <v>8</v>
      </c>
      <c r="Z757">
        <v>14</v>
      </c>
      <c r="AA757">
        <v>1</v>
      </c>
      <c r="AB757">
        <v>1</v>
      </c>
      <c r="AC757">
        <v>38</v>
      </c>
      <c r="AD757">
        <v>3.7</v>
      </c>
      <c r="AE757">
        <v>10.4</v>
      </c>
      <c r="AF757" s="5">
        <v>0.378</v>
      </c>
      <c r="AG757">
        <v>0.29899999999999999</v>
      </c>
      <c r="AH757">
        <v>1.43</v>
      </c>
      <c r="AI757">
        <v>5.64</v>
      </c>
      <c r="AJ757">
        <v>5.5</v>
      </c>
      <c r="AK757">
        <v>-0.8</v>
      </c>
      <c r="AL757">
        <v>-0.1</v>
      </c>
      <c r="AM757">
        <v>7</v>
      </c>
      <c r="AN757">
        <v>8</v>
      </c>
      <c r="AO757">
        <v>7</v>
      </c>
      <c r="AP757">
        <v>9</v>
      </c>
      <c r="AQ757" t="s">
        <v>5022</v>
      </c>
      <c r="AR757">
        <v>15</v>
      </c>
      <c r="AS757" t="s">
        <v>35</v>
      </c>
      <c r="AT757" t="s">
        <v>35</v>
      </c>
      <c r="AU757" s="4">
        <f>HYPERLINK("http://mlb.mlb.com/team/player.jsp?player_id=606478",606478)</f>
        <v>606478</v>
      </c>
      <c r="AV757">
        <v>0</v>
      </c>
      <c r="AW757">
        <v>0</v>
      </c>
      <c r="AX757">
        <v>0</v>
      </c>
    </row>
    <row r="758" spans="1:50" x14ac:dyDescent="0.3">
      <c r="A758" s="4">
        <f>HYPERLINK("http://legacy.baseballprospectus.com/p/70297",70297)</f>
        <v>70297</v>
      </c>
      <c r="B758" t="s">
        <v>229</v>
      </c>
      <c r="C758" t="s">
        <v>102</v>
      </c>
      <c r="D758" s="10">
        <v>33107</v>
      </c>
      <c r="E758" t="s">
        <v>9</v>
      </c>
      <c r="F758" t="s">
        <v>9</v>
      </c>
      <c r="G758">
        <v>77</v>
      </c>
      <c r="H758">
        <v>210</v>
      </c>
      <c r="I758">
        <v>2018</v>
      </c>
      <c r="J758" s="4" t="str">
        <f>HYPERLINK("http://legacy.baseballprospectus.com/fantasy/dc/index.php?tm=DET","DET")</f>
        <v>DET</v>
      </c>
      <c r="K758" t="s">
        <v>95</v>
      </c>
      <c r="L758" t="s">
        <v>34</v>
      </c>
      <c r="M758">
        <v>27</v>
      </c>
      <c r="N758">
        <v>0.7</v>
      </c>
      <c r="O758">
        <v>1.3</v>
      </c>
      <c r="P758">
        <v>1</v>
      </c>
      <c r="Q758">
        <v>0</v>
      </c>
      <c r="R758">
        <v>0</v>
      </c>
      <c r="S758">
        <v>0</v>
      </c>
      <c r="T758">
        <v>3</v>
      </c>
      <c r="U758">
        <v>3</v>
      </c>
      <c r="V758" s="9">
        <v>16</v>
      </c>
      <c r="W758">
        <v>72</v>
      </c>
      <c r="X758">
        <v>18</v>
      </c>
      <c r="Y758">
        <v>4</v>
      </c>
      <c r="Z758">
        <v>6</v>
      </c>
      <c r="AA758">
        <v>0</v>
      </c>
      <c r="AB758">
        <v>1</v>
      </c>
      <c r="AC758">
        <v>13</v>
      </c>
      <c r="AD758">
        <v>3.2</v>
      </c>
      <c r="AE758">
        <v>7.3</v>
      </c>
      <c r="AF758" s="5">
        <v>0.40899999999999997</v>
      </c>
      <c r="AG758">
        <v>0.29699999999999999</v>
      </c>
      <c r="AH758">
        <v>1.56</v>
      </c>
      <c r="AI758">
        <v>5.67</v>
      </c>
      <c r="AJ758">
        <v>5.88</v>
      </c>
      <c r="AK758">
        <v>-0.6</v>
      </c>
      <c r="AL758">
        <v>-0.1</v>
      </c>
      <c r="AM758">
        <v>23</v>
      </c>
      <c r="AN758">
        <v>31</v>
      </c>
      <c r="AO758">
        <v>13</v>
      </c>
      <c r="AP758">
        <v>22</v>
      </c>
      <c r="AQ758" t="s">
        <v>3052</v>
      </c>
      <c r="AR758">
        <v>49</v>
      </c>
      <c r="AS758" t="s">
        <v>35</v>
      </c>
      <c r="AT758" t="s">
        <v>35</v>
      </c>
      <c r="AU758" s="4">
        <f>HYPERLINK("http://mlb.mlb.com/team/player.jsp?player_id=543001",543001)</f>
        <v>543001</v>
      </c>
      <c r="AV758">
        <v>174</v>
      </c>
      <c r="AW758">
        <v>1174</v>
      </c>
      <c r="AX758">
        <v>0</v>
      </c>
    </row>
    <row r="759" spans="1:50" x14ac:dyDescent="0.3">
      <c r="A759" s="4">
        <f>HYPERLINK("http://legacy.baseballprospectus.com/p/70455",70455)</f>
        <v>70455</v>
      </c>
      <c r="B759" t="s">
        <v>1673</v>
      </c>
      <c r="C759" t="s">
        <v>690</v>
      </c>
      <c r="D759" s="10">
        <v>33740</v>
      </c>
      <c r="E759" t="s">
        <v>9</v>
      </c>
      <c r="F759" t="s">
        <v>9</v>
      </c>
      <c r="G759">
        <v>76</v>
      </c>
      <c r="H759">
        <v>200</v>
      </c>
      <c r="I759">
        <v>2018</v>
      </c>
      <c r="J759" s="4" t="str">
        <f>HYPERLINK("http://legacy.baseballprospectus.com/fantasy/dc/index.php?tm=BOS","BOS")</f>
        <v>BOS</v>
      </c>
      <c r="K759" t="s">
        <v>95</v>
      </c>
      <c r="L759" t="s">
        <v>34</v>
      </c>
      <c r="M759">
        <v>26</v>
      </c>
      <c r="N759">
        <v>0.8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17</v>
      </c>
      <c r="U759">
        <v>0</v>
      </c>
      <c r="V759" s="9">
        <v>18.666699999999999</v>
      </c>
      <c r="W759">
        <v>83</v>
      </c>
      <c r="X759">
        <v>20</v>
      </c>
      <c r="Y759">
        <v>3</v>
      </c>
      <c r="Z759">
        <v>8</v>
      </c>
      <c r="AA759">
        <v>1</v>
      </c>
      <c r="AB759">
        <v>1</v>
      </c>
      <c r="AC759">
        <v>17</v>
      </c>
      <c r="AD759">
        <v>3.9</v>
      </c>
      <c r="AE759">
        <v>8.4</v>
      </c>
      <c r="AF759" s="5">
        <v>0.44</v>
      </c>
      <c r="AG759">
        <v>0.30399999999999999</v>
      </c>
      <c r="AH759">
        <v>1.55</v>
      </c>
      <c r="AI759">
        <v>5.25</v>
      </c>
      <c r="AJ759">
        <v>5.56</v>
      </c>
      <c r="AK759">
        <v>-0.6</v>
      </c>
      <c r="AL759">
        <v>-0.1</v>
      </c>
      <c r="AM759">
        <v>6</v>
      </c>
      <c r="AN759">
        <v>6</v>
      </c>
      <c r="AO759">
        <v>2</v>
      </c>
      <c r="AP759">
        <v>9</v>
      </c>
      <c r="AQ759" t="s">
        <v>3055</v>
      </c>
      <c r="AR759">
        <v>11</v>
      </c>
      <c r="AS759" t="s">
        <v>35</v>
      </c>
      <c r="AT759" t="s">
        <v>35</v>
      </c>
      <c r="AU759" s="4">
        <f>HYPERLINK("http://mlb.mlb.com/team/player.jsp?player_id=605301",605301)</f>
        <v>605301</v>
      </c>
      <c r="AV759">
        <v>0</v>
      </c>
      <c r="AW759">
        <v>0</v>
      </c>
      <c r="AX759">
        <v>0</v>
      </c>
    </row>
    <row r="760" spans="1:50" x14ac:dyDescent="0.3">
      <c r="A760" s="4">
        <f>HYPERLINK("http://legacy.baseballprospectus.com/p/70509",70509)</f>
        <v>70509</v>
      </c>
      <c r="B760" t="s">
        <v>1381</v>
      </c>
      <c r="C760" t="s">
        <v>1472</v>
      </c>
      <c r="D760" s="10">
        <v>32356</v>
      </c>
      <c r="E760" t="s">
        <v>9</v>
      </c>
      <c r="F760" t="s">
        <v>9</v>
      </c>
      <c r="G760">
        <v>73</v>
      </c>
      <c r="H760">
        <v>205</v>
      </c>
      <c r="I760">
        <v>2018</v>
      </c>
      <c r="J760" s="4" t="str">
        <f>HYPERLINK("http://legacy.baseballprospectus.com/fantasy/dc/index.php?tm=BOS","BOS")</f>
        <v>BOS</v>
      </c>
      <c r="K760" t="s">
        <v>95</v>
      </c>
      <c r="L760" t="s">
        <v>34</v>
      </c>
      <c r="M760">
        <v>29</v>
      </c>
      <c r="N760">
        <v>0.6</v>
      </c>
      <c r="O760">
        <v>0.7</v>
      </c>
      <c r="P760">
        <v>0</v>
      </c>
      <c r="Q760">
        <v>0</v>
      </c>
      <c r="R760">
        <v>0</v>
      </c>
      <c r="S760">
        <v>0</v>
      </c>
      <c r="T760">
        <v>13</v>
      </c>
      <c r="U760">
        <v>0</v>
      </c>
      <c r="V760" s="9">
        <v>14</v>
      </c>
      <c r="W760">
        <v>62</v>
      </c>
      <c r="X760">
        <v>15</v>
      </c>
      <c r="Y760">
        <v>3</v>
      </c>
      <c r="Z760">
        <v>6</v>
      </c>
      <c r="AA760">
        <v>1</v>
      </c>
      <c r="AB760">
        <v>1</v>
      </c>
      <c r="AC760">
        <v>12</v>
      </c>
      <c r="AD760">
        <v>3.8</v>
      </c>
      <c r="AE760">
        <v>7.6</v>
      </c>
      <c r="AF760" s="5">
        <v>0.40200000000000002</v>
      </c>
      <c r="AG760">
        <v>0.29599999999999999</v>
      </c>
      <c r="AH760">
        <v>1.5</v>
      </c>
      <c r="AI760">
        <v>5.53</v>
      </c>
      <c r="AJ760">
        <v>5.85</v>
      </c>
      <c r="AK760">
        <v>-0.9</v>
      </c>
      <c r="AL760">
        <v>-0.1</v>
      </c>
      <c r="AM760">
        <v>19</v>
      </c>
      <c r="AN760">
        <v>41</v>
      </c>
      <c r="AO760">
        <v>11</v>
      </c>
      <c r="AP760">
        <v>20</v>
      </c>
      <c r="AQ760" t="s">
        <v>3186</v>
      </c>
      <c r="AR760">
        <v>63</v>
      </c>
      <c r="AS760" t="s">
        <v>35</v>
      </c>
      <c r="AT760" t="s">
        <v>36</v>
      </c>
      <c r="AU760" s="4">
        <f>HYPERLINK("http://mlb.mlb.com/team/player.jsp?player_id=606273",606273)</f>
        <v>606273</v>
      </c>
      <c r="AV760">
        <v>129</v>
      </c>
      <c r="AW760">
        <v>1129</v>
      </c>
      <c r="AX760">
        <v>0.3</v>
      </c>
    </row>
    <row r="761" spans="1:50" x14ac:dyDescent="0.3">
      <c r="A761" s="4">
        <f>HYPERLINK("http://legacy.baseballprospectus.com/p/70984",70984)</f>
        <v>70984</v>
      </c>
      <c r="B761" t="s">
        <v>5013</v>
      </c>
      <c r="C761" t="s">
        <v>200</v>
      </c>
      <c r="D761" s="10">
        <v>33999</v>
      </c>
      <c r="E761" t="s">
        <v>33</v>
      </c>
      <c r="F761" t="s">
        <v>33</v>
      </c>
      <c r="G761">
        <v>73</v>
      </c>
      <c r="H761">
        <v>170</v>
      </c>
      <c r="I761">
        <v>2018</v>
      </c>
      <c r="J761" s="4" t="str">
        <f>HYPERLINK("http://legacy.baseballprospectus.com/fantasy/dc/index.php?tm=MIA","MIA")</f>
        <v>MIA</v>
      </c>
      <c r="K761" t="s">
        <v>100</v>
      </c>
      <c r="L761" t="s">
        <v>34</v>
      </c>
      <c r="M761">
        <v>25</v>
      </c>
      <c r="N761">
        <v>1.1000000000000001</v>
      </c>
      <c r="O761">
        <v>1.4</v>
      </c>
      <c r="P761">
        <v>0</v>
      </c>
      <c r="Q761">
        <v>0</v>
      </c>
      <c r="R761">
        <v>0</v>
      </c>
      <c r="S761">
        <v>1</v>
      </c>
      <c r="T761">
        <v>26</v>
      </c>
      <c r="U761">
        <v>0</v>
      </c>
      <c r="V761" s="9">
        <v>27</v>
      </c>
      <c r="W761">
        <v>119</v>
      </c>
      <c r="X761">
        <v>28</v>
      </c>
      <c r="Y761">
        <v>5</v>
      </c>
      <c r="Z761">
        <v>10</v>
      </c>
      <c r="AA761">
        <v>1</v>
      </c>
      <c r="AB761">
        <v>1</v>
      </c>
      <c r="AC761">
        <v>24</v>
      </c>
      <c r="AD761">
        <v>3.5</v>
      </c>
      <c r="AE761">
        <v>8.1</v>
      </c>
      <c r="AF761" s="5">
        <v>0.45600000000000002</v>
      </c>
      <c r="AG761">
        <v>0.29699999999999999</v>
      </c>
      <c r="AH761">
        <v>1.43</v>
      </c>
      <c r="AI761">
        <v>5.45</v>
      </c>
      <c r="AJ761">
        <v>5.42</v>
      </c>
      <c r="AK761">
        <v>-1.2</v>
      </c>
      <c r="AL761">
        <v>-0.1</v>
      </c>
      <c r="AM761">
        <v>1</v>
      </c>
      <c r="AN761">
        <v>2</v>
      </c>
      <c r="AO761">
        <v>9</v>
      </c>
      <c r="AP761">
        <v>10</v>
      </c>
      <c r="AQ761" t="s">
        <v>5014</v>
      </c>
      <c r="AR761">
        <v>11</v>
      </c>
      <c r="AS761" t="s">
        <v>35</v>
      </c>
      <c r="AT761" t="s">
        <v>35</v>
      </c>
      <c r="AU761" s="4">
        <f>HYPERLINK("http://mlb.mlb.com/team/player.jsp?player_id=605255",605255)</f>
        <v>605255</v>
      </c>
      <c r="AV761">
        <v>0</v>
      </c>
      <c r="AW761">
        <v>0</v>
      </c>
      <c r="AX761">
        <v>0</v>
      </c>
    </row>
    <row r="762" spans="1:50" x14ac:dyDescent="0.3">
      <c r="A762" s="4">
        <f>HYPERLINK("http://legacy.baseballprospectus.com/p/71057",71057)</f>
        <v>71057</v>
      </c>
      <c r="B762" t="s">
        <v>3192</v>
      </c>
      <c r="C762" t="s">
        <v>277</v>
      </c>
      <c r="D762" s="10">
        <v>34233</v>
      </c>
      <c r="E762" t="s">
        <v>9</v>
      </c>
      <c r="F762" t="s">
        <v>9</v>
      </c>
      <c r="G762">
        <v>75</v>
      </c>
      <c r="H762">
        <v>200</v>
      </c>
      <c r="I762">
        <v>2018</v>
      </c>
      <c r="J762" s="4" t="str">
        <f>HYPERLINK("http://legacy.baseballprospectus.com/fantasy/dc/index.php?tm=CHA","CHA")</f>
        <v>CHA</v>
      </c>
      <c r="K762" t="s">
        <v>95</v>
      </c>
      <c r="L762" t="s">
        <v>34</v>
      </c>
      <c r="M762">
        <v>24</v>
      </c>
      <c r="N762">
        <v>1.8</v>
      </c>
      <c r="O762">
        <v>2.1</v>
      </c>
      <c r="P762">
        <v>0</v>
      </c>
      <c r="Q762">
        <v>0</v>
      </c>
      <c r="R762">
        <v>0</v>
      </c>
      <c r="S762">
        <v>1</v>
      </c>
      <c r="T762">
        <v>40</v>
      </c>
      <c r="U762">
        <v>0</v>
      </c>
      <c r="V762" s="9">
        <v>42</v>
      </c>
      <c r="W762">
        <v>187</v>
      </c>
      <c r="X762">
        <v>41</v>
      </c>
      <c r="Y762">
        <v>8</v>
      </c>
      <c r="Z762">
        <v>22</v>
      </c>
      <c r="AA762">
        <v>2</v>
      </c>
      <c r="AB762">
        <v>1</v>
      </c>
      <c r="AC762">
        <v>42</v>
      </c>
      <c r="AD762">
        <v>4.8</v>
      </c>
      <c r="AE762">
        <v>9</v>
      </c>
      <c r="AF762" s="5">
        <v>0.49399999999999999</v>
      </c>
      <c r="AG762">
        <v>0.29299999999999998</v>
      </c>
      <c r="AH762">
        <v>1.51</v>
      </c>
      <c r="AI762">
        <v>5.43</v>
      </c>
      <c r="AJ762">
        <v>5.39</v>
      </c>
      <c r="AK762">
        <v>-0.6</v>
      </c>
      <c r="AL762">
        <v>-0.1</v>
      </c>
      <c r="AM762">
        <v>20</v>
      </c>
      <c r="AN762">
        <v>27</v>
      </c>
      <c r="AO762">
        <v>8</v>
      </c>
      <c r="AP762">
        <v>25</v>
      </c>
      <c r="AQ762" t="s">
        <v>3193</v>
      </c>
      <c r="AR762">
        <v>45</v>
      </c>
      <c r="AS762" t="s">
        <v>35</v>
      </c>
      <c r="AT762" t="s">
        <v>35</v>
      </c>
      <c r="AU762" s="4">
        <f>HYPERLINK("http://mlb.mlb.com/team/player.jsp?player_id=607481",607481)</f>
        <v>607481</v>
      </c>
      <c r="AV762">
        <v>315</v>
      </c>
      <c r="AW762">
        <v>1315</v>
      </c>
      <c r="AX762">
        <v>22</v>
      </c>
    </row>
    <row r="763" spans="1:50" x14ac:dyDescent="0.3">
      <c r="A763" s="4">
        <f>HYPERLINK("http://legacy.baseballprospectus.com/p/71331",71331)</f>
        <v>71331</v>
      </c>
      <c r="B763" t="s">
        <v>429</v>
      </c>
      <c r="C763" t="s">
        <v>353</v>
      </c>
      <c r="D763" s="10">
        <v>34033</v>
      </c>
      <c r="E763" t="s">
        <v>33</v>
      </c>
      <c r="F763" t="s">
        <v>9</v>
      </c>
      <c r="G763">
        <v>75</v>
      </c>
      <c r="H763">
        <v>170</v>
      </c>
      <c r="I763">
        <v>2018</v>
      </c>
      <c r="J763" s="4" t="str">
        <f>HYPERLINK("http://legacy.baseballprospectus.com/fantasy/dc/index.php?tm=COL","COL")</f>
        <v>COL</v>
      </c>
      <c r="K763" t="s">
        <v>100</v>
      </c>
      <c r="L763" t="s">
        <v>34</v>
      </c>
      <c r="M763">
        <v>25</v>
      </c>
      <c r="N763">
        <v>0.7</v>
      </c>
      <c r="O763">
        <v>0.9</v>
      </c>
      <c r="P763">
        <v>0</v>
      </c>
      <c r="Q763">
        <v>0</v>
      </c>
      <c r="R763">
        <v>0</v>
      </c>
      <c r="S763">
        <v>0</v>
      </c>
      <c r="T763">
        <v>16</v>
      </c>
      <c r="U763">
        <v>0</v>
      </c>
      <c r="V763" s="9">
        <v>16.666699999999999</v>
      </c>
      <c r="W763">
        <v>74</v>
      </c>
      <c r="X763">
        <v>17</v>
      </c>
      <c r="Y763">
        <v>3</v>
      </c>
      <c r="Z763">
        <v>7</v>
      </c>
      <c r="AA763">
        <v>1</v>
      </c>
      <c r="AB763">
        <v>1</v>
      </c>
      <c r="AC763">
        <v>15</v>
      </c>
      <c r="AD763">
        <v>3.7</v>
      </c>
      <c r="AE763">
        <v>8.1999999999999993</v>
      </c>
      <c r="AF763" s="5">
        <v>0.41299999999999998</v>
      </c>
      <c r="AG763">
        <v>0.29499999999999998</v>
      </c>
      <c r="AH763">
        <v>1.46</v>
      </c>
      <c r="AI763">
        <v>5.65</v>
      </c>
      <c r="AJ763">
        <v>5.47</v>
      </c>
      <c r="AK763">
        <v>-0.8</v>
      </c>
      <c r="AL763">
        <v>-0.1</v>
      </c>
      <c r="AM763">
        <v>16</v>
      </c>
      <c r="AN763">
        <v>27</v>
      </c>
      <c r="AO763">
        <v>10</v>
      </c>
      <c r="AP763">
        <v>26</v>
      </c>
      <c r="AQ763" t="s">
        <v>3063</v>
      </c>
      <c r="AR763">
        <v>44</v>
      </c>
      <c r="AS763" t="s">
        <v>35</v>
      </c>
      <c r="AT763" t="s">
        <v>35</v>
      </c>
      <c r="AU763" s="4">
        <f>HYPERLINK("http://mlb.mlb.com/team/player.jsp?player_id=607572",607572)</f>
        <v>607572</v>
      </c>
      <c r="AV763">
        <v>1221</v>
      </c>
      <c r="AW763">
        <v>221</v>
      </c>
      <c r="AX763">
        <v>0</v>
      </c>
    </row>
    <row r="764" spans="1:50" x14ac:dyDescent="0.3">
      <c r="A764" s="4">
        <f>HYPERLINK("http://legacy.baseballprospectus.com/p/99618",99618)</f>
        <v>99618</v>
      </c>
      <c r="B764" t="s">
        <v>380</v>
      </c>
      <c r="C764" t="s">
        <v>2083</v>
      </c>
      <c r="D764" s="10">
        <v>33164</v>
      </c>
      <c r="E764" t="s">
        <v>33</v>
      </c>
      <c r="F764" t="s">
        <v>33</v>
      </c>
      <c r="G764">
        <v>75</v>
      </c>
      <c r="H764">
        <v>175</v>
      </c>
      <c r="I764">
        <v>2018</v>
      </c>
      <c r="J764" s="4" t="str">
        <f>HYPERLINK("http://legacy.baseballprospectus.com/fantasy/dc/index.php?tm=COL","COL")</f>
        <v>COL</v>
      </c>
      <c r="K764" t="s">
        <v>100</v>
      </c>
      <c r="L764" t="s">
        <v>34</v>
      </c>
      <c r="M764">
        <v>27</v>
      </c>
      <c r="N764">
        <v>1</v>
      </c>
      <c r="O764">
        <v>1.1000000000000001</v>
      </c>
      <c r="P764">
        <v>0</v>
      </c>
      <c r="Q764">
        <v>0</v>
      </c>
      <c r="R764">
        <v>0</v>
      </c>
      <c r="S764">
        <v>1</v>
      </c>
      <c r="T764">
        <v>21</v>
      </c>
      <c r="U764">
        <v>0</v>
      </c>
      <c r="V764" s="9">
        <v>22</v>
      </c>
      <c r="W764">
        <v>102</v>
      </c>
      <c r="X764">
        <v>25</v>
      </c>
      <c r="Y764">
        <v>4</v>
      </c>
      <c r="Z764">
        <v>11</v>
      </c>
      <c r="AA764">
        <v>1</v>
      </c>
      <c r="AB764">
        <v>1</v>
      </c>
      <c r="AC764">
        <v>20</v>
      </c>
      <c r="AD764">
        <v>4.5999999999999996</v>
      </c>
      <c r="AE764">
        <v>8.1999999999999993</v>
      </c>
      <c r="AF764" s="5">
        <v>0.51800000000000002</v>
      </c>
      <c r="AG764">
        <v>0.312</v>
      </c>
      <c r="AH764">
        <v>1.66</v>
      </c>
      <c r="AI764">
        <v>5.39</v>
      </c>
      <c r="AJ764">
        <v>5.21</v>
      </c>
      <c r="AK764">
        <v>-0.5</v>
      </c>
      <c r="AL764">
        <v>-0.1</v>
      </c>
      <c r="AM764">
        <v>4</v>
      </c>
      <c r="AN764">
        <v>6</v>
      </c>
      <c r="AO764">
        <v>8</v>
      </c>
      <c r="AP764">
        <v>15</v>
      </c>
      <c r="AQ764" t="s">
        <v>3064</v>
      </c>
      <c r="AR764">
        <v>16</v>
      </c>
      <c r="AS764" t="s">
        <v>35</v>
      </c>
      <c r="AT764" t="s">
        <v>35</v>
      </c>
      <c r="AU764" s="4">
        <f>HYPERLINK("http://mlb.mlb.com/team/player.jsp?player_id=543234",543234)</f>
        <v>543234</v>
      </c>
      <c r="AV764">
        <v>0</v>
      </c>
      <c r="AW764">
        <v>0</v>
      </c>
      <c r="AX764">
        <v>0</v>
      </c>
    </row>
    <row r="765" spans="1:50" x14ac:dyDescent="0.3">
      <c r="A765" s="4">
        <f>HYPERLINK("http://legacy.baseballprospectus.com/p/99823",99823)</f>
        <v>99823</v>
      </c>
      <c r="B765" t="s">
        <v>1234</v>
      </c>
      <c r="C765" t="s">
        <v>344</v>
      </c>
      <c r="D765" s="10">
        <v>33441</v>
      </c>
      <c r="E765" t="s">
        <v>33</v>
      </c>
      <c r="F765" t="s">
        <v>33</v>
      </c>
      <c r="G765">
        <v>74</v>
      </c>
      <c r="H765">
        <v>240</v>
      </c>
      <c r="I765">
        <v>2018</v>
      </c>
      <c r="J765" s="4" t="str">
        <f>HYPERLINK("http://legacy.baseballprospectus.com/fantasy/dc/index.php?tm=ARI","ARI")</f>
        <v>ARI</v>
      </c>
      <c r="K765" t="s">
        <v>100</v>
      </c>
      <c r="L765" t="s">
        <v>34</v>
      </c>
      <c r="M765">
        <v>26</v>
      </c>
      <c r="N765">
        <v>1.5</v>
      </c>
      <c r="O765">
        <v>1.4</v>
      </c>
      <c r="P765">
        <v>0</v>
      </c>
      <c r="Q765">
        <v>0</v>
      </c>
      <c r="R765">
        <v>0</v>
      </c>
      <c r="S765">
        <v>1</v>
      </c>
      <c r="T765">
        <v>28</v>
      </c>
      <c r="U765">
        <v>0</v>
      </c>
      <c r="V765" s="9">
        <v>30</v>
      </c>
      <c r="W765">
        <v>131</v>
      </c>
      <c r="X765">
        <v>29</v>
      </c>
      <c r="Y765">
        <v>4</v>
      </c>
      <c r="Z765">
        <v>14</v>
      </c>
      <c r="AA765">
        <v>1</v>
      </c>
      <c r="AB765">
        <v>1</v>
      </c>
      <c r="AC765">
        <v>29</v>
      </c>
      <c r="AD765">
        <v>4.3</v>
      </c>
      <c r="AE765">
        <v>8.8000000000000007</v>
      </c>
      <c r="AF765" s="5">
        <v>0.43</v>
      </c>
      <c r="AG765">
        <v>0.29699999999999999</v>
      </c>
      <c r="AH765">
        <v>1.45</v>
      </c>
      <c r="AI765">
        <v>4.9000000000000004</v>
      </c>
      <c r="AJ765">
        <v>5.16</v>
      </c>
      <c r="AK765">
        <v>-0.5</v>
      </c>
      <c r="AL765">
        <v>-0.1</v>
      </c>
      <c r="AM765">
        <v>27</v>
      </c>
      <c r="AN765">
        <v>39</v>
      </c>
      <c r="AO765">
        <v>19</v>
      </c>
      <c r="AP765">
        <v>22</v>
      </c>
      <c r="AQ765" t="s">
        <v>3194</v>
      </c>
      <c r="AR765">
        <v>65</v>
      </c>
      <c r="AS765" t="s">
        <v>35</v>
      </c>
      <c r="AT765" t="s">
        <v>36</v>
      </c>
      <c r="AU765" s="4">
        <f>HYPERLINK("http://mlb.mlb.com/team/player.jsp?player_id=545332",545332)</f>
        <v>545332</v>
      </c>
      <c r="AV765">
        <v>1317</v>
      </c>
      <c r="AW765">
        <v>317</v>
      </c>
      <c r="AX765">
        <v>27</v>
      </c>
    </row>
    <row r="766" spans="1:50" x14ac:dyDescent="0.3">
      <c r="A766" s="4">
        <f>HYPERLINK("http://legacy.baseballprospectus.com/p/99842",99842)</f>
        <v>99842</v>
      </c>
      <c r="B766" t="s">
        <v>3272</v>
      </c>
      <c r="C766" t="s">
        <v>432</v>
      </c>
      <c r="D766" s="10">
        <v>33190</v>
      </c>
      <c r="E766" t="s">
        <v>33</v>
      </c>
      <c r="F766" t="s">
        <v>33</v>
      </c>
      <c r="G766">
        <v>75</v>
      </c>
      <c r="H766">
        <v>202</v>
      </c>
      <c r="I766">
        <v>2018</v>
      </c>
      <c r="J766" s="4" t="str">
        <f>HYPERLINK("http://legacy.baseballprospectus.com/fantasy/dc/index.php?tm=ANA","ANA")</f>
        <v>ANA</v>
      </c>
      <c r="K766" t="s">
        <v>95</v>
      </c>
      <c r="L766" t="s">
        <v>34</v>
      </c>
      <c r="M766">
        <v>27</v>
      </c>
      <c r="N766">
        <v>2.2000000000000002</v>
      </c>
      <c r="O766">
        <v>2.6</v>
      </c>
      <c r="P766">
        <v>0</v>
      </c>
      <c r="Q766">
        <v>0</v>
      </c>
      <c r="R766">
        <v>0</v>
      </c>
      <c r="S766">
        <v>1</v>
      </c>
      <c r="T766">
        <v>49</v>
      </c>
      <c r="U766">
        <v>0</v>
      </c>
      <c r="V766" s="9">
        <v>51.666699999999999</v>
      </c>
      <c r="W766">
        <v>231</v>
      </c>
      <c r="X766">
        <v>53</v>
      </c>
      <c r="Y766">
        <v>10</v>
      </c>
      <c r="Z766">
        <v>23</v>
      </c>
      <c r="AA766">
        <v>2</v>
      </c>
      <c r="AB766">
        <v>3</v>
      </c>
      <c r="AC766">
        <v>52</v>
      </c>
      <c r="AD766">
        <v>4</v>
      </c>
      <c r="AE766">
        <v>9</v>
      </c>
      <c r="AF766" s="5">
        <v>0.45200000000000001</v>
      </c>
      <c r="AG766">
        <v>0.30499999999999999</v>
      </c>
      <c r="AH766">
        <v>1.49</v>
      </c>
      <c r="AI766">
        <v>5.32</v>
      </c>
      <c r="AJ766">
        <v>5.35</v>
      </c>
      <c r="AK766">
        <v>-0.5</v>
      </c>
      <c r="AL766">
        <v>-0.1</v>
      </c>
      <c r="AM766">
        <v>8</v>
      </c>
      <c r="AN766">
        <v>12</v>
      </c>
      <c r="AO766">
        <v>11</v>
      </c>
      <c r="AP766">
        <v>21</v>
      </c>
      <c r="AQ766" t="s">
        <v>3273</v>
      </c>
      <c r="AR766">
        <v>26</v>
      </c>
      <c r="AS766" t="s">
        <v>35</v>
      </c>
      <c r="AT766" t="s">
        <v>35</v>
      </c>
      <c r="AU766" s="4">
        <f>HYPERLINK("http://mlb.mlb.com/team/player.jsp?player_id=572703",572703)</f>
        <v>572703</v>
      </c>
      <c r="AV766">
        <v>0</v>
      </c>
      <c r="AW766">
        <v>0</v>
      </c>
      <c r="AX766">
        <v>0</v>
      </c>
    </row>
    <row r="767" spans="1:50" x14ac:dyDescent="0.3">
      <c r="A767" s="4">
        <f>HYPERLINK("http://legacy.baseballprospectus.com/p/99938",99938)</f>
        <v>99938</v>
      </c>
      <c r="B767" t="s">
        <v>211</v>
      </c>
      <c r="C767" t="s">
        <v>610</v>
      </c>
      <c r="D767" s="10">
        <v>33310</v>
      </c>
      <c r="E767" t="s">
        <v>33</v>
      </c>
      <c r="F767" t="s">
        <v>33</v>
      </c>
      <c r="G767">
        <v>74</v>
      </c>
      <c r="H767">
        <v>180</v>
      </c>
      <c r="I767">
        <v>2018</v>
      </c>
      <c r="J767" s="4" t="str">
        <f>HYPERLINK("http://legacy.baseballprospectus.com/fantasy/dc/index.php?tm=CHN","CHN")</f>
        <v>CHN</v>
      </c>
      <c r="K767" t="s">
        <v>100</v>
      </c>
      <c r="L767" t="s">
        <v>34</v>
      </c>
      <c r="M767">
        <v>27</v>
      </c>
      <c r="N767">
        <v>2.9</v>
      </c>
      <c r="O767">
        <v>2.9</v>
      </c>
      <c r="P767">
        <v>1</v>
      </c>
      <c r="Q767">
        <v>0</v>
      </c>
      <c r="R767">
        <v>0</v>
      </c>
      <c r="S767">
        <v>1</v>
      </c>
      <c r="T767">
        <v>42</v>
      </c>
      <c r="U767">
        <v>3</v>
      </c>
      <c r="V767" s="9">
        <v>56</v>
      </c>
      <c r="W767">
        <v>247</v>
      </c>
      <c r="X767">
        <v>58</v>
      </c>
      <c r="Y767">
        <v>8</v>
      </c>
      <c r="Z767">
        <v>24</v>
      </c>
      <c r="AA767">
        <v>2</v>
      </c>
      <c r="AB767">
        <v>3</v>
      </c>
      <c r="AC767">
        <v>42</v>
      </c>
      <c r="AD767">
        <v>3.9</v>
      </c>
      <c r="AE767">
        <v>6.7</v>
      </c>
      <c r="AF767" s="5">
        <v>0.46300000000000002</v>
      </c>
      <c r="AG767">
        <v>0.28999999999999998</v>
      </c>
      <c r="AH767">
        <v>1.45</v>
      </c>
      <c r="AI767">
        <v>5.24</v>
      </c>
      <c r="AJ767">
        <v>5.15</v>
      </c>
      <c r="AK767">
        <v>-0.5</v>
      </c>
      <c r="AL767">
        <v>-0.1</v>
      </c>
      <c r="AM767">
        <v>19</v>
      </c>
      <c r="AN767">
        <v>39</v>
      </c>
      <c r="AO767">
        <v>12</v>
      </c>
      <c r="AP767">
        <v>23</v>
      </c>
      <c r="AQ767" t="s">
        <v>3065</v>
      </c>
      <c r="AR767">
        <v>66</v>
      </c>
      <c r="AS767" t="s">
        <v>35</v>
      </c>
      <c r="AT767" t="s">
        <v>36</v>
      </c>
      <c r="AU767" s="4">
        <f>HYPERLINK("http://mlb.mlb.com/team/player.jsp?player_id=572750",572750)</f>
        <v>572750</v>
      </c>
      <c r="AV767">
        <v>1083</v>
      </c>
      <c r="AW767">
        <v>83</v>
      </c>
      <c r="AX767">
        <v>54.7</v>
      </c>
    </row>
    <row r="768" spans="1:50" x14ac:dyDescent="0.3">
      <c r="A768" s="4">
        <f>HYPERLINK("http://legacy.baseballprospectus.com/p/99962",99962)</f>
        <v>99962</v>
      </c>
      <c r="B768" t="s">
        <v>3196</v>
      </c>
      <c r="C768" t="s">
        <v>136</v>
      </c>
      <c r="D768" s="10">
        <v>33371</v>
      </c>
      <c r="E768" t="s">
        <v>33</v>
      </c>
      <c r="F768" t="s">
        <v>33</v>
      </c>
      <c r="G768">
        <v>74</v>
      </c>
      <c r="H768">
        <v>220</v>
      </c>
      <c r="I768">
        <v>2018</v>
      </c>
      <c r="J768" s="4" t="str">
        <f>HYPERLINK("http://legacy.baseballprospectus.com/fantasy/dc/index.php?tm=BOS","BOS")</f>
        <v>BOS</v>
      </c>
      <c r="K768" t="s">
        <v>95</v>
      </c>
      <c r="L768" t="s">
        <v>34</v>
      </c>
      <c r="M768">
        <v>27</v>
      </c>
      <c r="N768">
        <v>0.8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17</v>
      </c>
      <c r="U768">
        <v>0</v>
      </c>
      <c r="V768" s="9">
        <v>18.666699999999999</v>
      </c>
      <c r="W768">
        <v>83</v>
      </c>
      <c r="X768">
        <v>20</v>
      </c>
      <c r="Y768">
        <v>3</v>
      </c>
      <c r="Z768">
        <v>8</v>
      </c>
      <c r="AA768">
        <v>1</v>
      </c>
      <c r="AB768">
        <v>1</v>
      </c>
      <c r="AC768">
        <v>17</v>
      </c>
      <c r="AD768">
        <v>4</v>
      </c>
      <c r="AE768">
        <v>8.1</v>
      </c>
      <c r="AF768" s="5">
        <v>0.374</v>
      </c>
      <c r="AG768">
        <v>0.29699999999999999</v>
      </c>
      <c r="AH768">
        <v>1.52</v>
      </c>
      <c r="AI768">
        <v>5.4</v>
      </c>
      <c r="AJ768">
        <v>5.72</v>
      </c>
      <c r="AK768">
        <v>-0.9</v>
      </c>
      <c r="AL768">
        <v>-0.1</v>
      </c>
      <c r="AM768">
        <v>14</v>
      </c>
      <c r="AN768">
        <v>17</v>
      </c>
      <c r="AO768">
        <v>4</v>
      </c>
      <c r="AP768">
        <v>18</v>
      </c>
      <c r="AQ768" t="s">
        <v>3197</v>
      </c>
      <c r="AR768">
        <v>24</v>
      </c>
      <c r="AS768" t="s">
        <v>35</v>
      </c>
      <c r="AT768" t="s">
        <v>35</v>
      </c>
      <c r="AU768" s="4">
        <f>HYPERLINK("http://mlb.mlb.com/team/player.jsp?player_id=545348",545348)</f>
        <v>545348</v>
      </c>
      <c r="AV768">
        <v>323</v>
      </c>
      <c r="AW768">
        <v>1323</v>
      </c>
      <c r="AX768">
        <v>17.3</v>
      </c>
    </row>
    <row r="769" spans="1:50" x14ac:dyDescent="0.3">
      <c r="A769" s="4">
        <f>HYPERLINK("http://legacy.baseballprospectus.com/p/100368",100368)</f>
        <v>100368</v>
      </c>
      <c r="B769" t="s">
        <v>239</v>
      </c>
      <c r="C769" t="s">
        <v>218</v>
      </c>
      <c r="D769" s="10">
        <v>34692</v>
      </c>
      <c r="E769" t="s">
        <v>33</v>
      </c>
      <c r="F769" t="s">
        <v>33</v>
      </c>
      <c r="G769">
        <v>79</v>
      </c>
      <c r="H769">
        <v>205</v>
      </c>
      <c r="I769">
        <v>2018</v>
      </c>
      <c r="J769" s="4" t="str">
        <f>HYPERLINK("http://legacy.baseballprospectus.com/fantasy/dc/index.php?tm=BAL","BAL")</f>
        <v>BAL</v>
      </c>
      <c r="K769" t="s">
        <v>95</v>
      </c>
      <c r="L769" t="s">
        <v>34</v>
      </c>
      <c r="M769">
        <v>23</v>
      </c>
      <c r="N769">
        <v>2.2999999999999998</v>
      </c>
      <c r="O769">
        <v>3.2</v>
      </c>
      <c r="P769">
        <v>1</v>
      </c>
      <c r="Q769">
        <v>0</v>
      </c>
      <c r="R769">
        <v>0</v>
      </c>
      <c r="S769">
        <v>0</v>
      </c>
      <c r="T769">
        <v>43</v>
      </c>
      <c r="U769">
        <v>2</v>
      </c>
      <c r="V769" s="9">
        <v>55</v>
      </c>
      <c r="W769">
        <v>244</v>
      </c>
      <c r="X769">
        <v>56</v>
      </c>
      <c r="Y769">
        <v>10</v>
      </c>
      <c r="Z769">
        <v>26</v>
      </c>
      <c r="AA769">
        <v>2</v>
      </c>
      <c r="AB769">
        <v>2</v>
      </c>
      <c r="AC769">
        <v>46</v>
      </c>
      <c r="AD769">
        <v>4.3</v>
      </c>
      <c r="AE769">
        <v>7.6</v>
      </c>
      <c r="AF769" s="5">
        <v>0.46700000000000003</v>
      </c>
      <c r="AG769">
        <v>0.28599999999999998</v>
      </c>
      <c r="AH769">
        <v>1.48</v>
      </c>
      <c r="AI769">
        <v>5.65</v>
      </c>
      <c r="AJ769">
        <v>5.54</v>
      </c>
      <c r="AK769">
        <v>-1.4</v>
      </c>
      <c r="AL769">
        <v>-0.1</v>
      </c>
      <c r="AM769">
        <v>29</v>
      </c>
      <c r="AN769">
        <v>47</v>
      </c>
      <c r="AO769">
        <v>23</v>
      </c>
      <c r="AP769">
        <v>25</v>
      </c>
      <c r="AQ769" t="s">
        <v>3199</v>
      </c>
      <c r="AR769">
        <v>79</v>
      </c>
      <c r="AS769" t="s">
        <v>35</v>
      </c>
      <c r="AT769" t="s">
        <v>36</v>
      </c>
      <c r="AU769" s="4">
        <f>HYPERLINK("http://mlb.mlb.com/team/player.jsp?player_id=612434",612434)</f>
        <v>612434</v>
      </c>
      <c r="AV769">
        <v>73</v>
      </c>
      <c r="AW769">
        <v>1073</v>
      </c>
      <c r="AX769">
        <v>66.3</v>
      </c>
    </row>
    <row r="770" spans="1:50" x14ac:dyDescent="0.3">
      <c r="A770" s="4">
        <f>HYPERLINK("http://legacy.baseballprospectus.com/p/100472",100472)</f>
        <v>100472</v>
      </c>
      <c r="B770" t="s">
        <v>1073</v>
      </c>
      <c r="C770" t="s">
        <v>1410</v>
      </c>
      <c r="D770" s="10">
        <v>34354</v>
      </c>
      <c r="E770" t="s">
        <v>33</v>
      </c>
      <c r="F770" t="s">
        <v>33</v>
      </c>
      <c r="G770">
        <v>72</v>
      </c>
      <c r="H770">
        <v>165</v>
      </c>
      <c r="I770">
        <v>2018</v>
      </c>
      <c r="J770" s="4" t="str">
        <f>HYPERLINK("http://legacy.baseballprospectus.com/fantasy/dc/index.php?tm=PHI","PHI")</f>
        <v>PHI</v>
      </c>
      <c r="K770" t="s">
        <v>100</v>
      </c>
      <c r="L770" t="s">
        <v>34</v>
      </c>
      <c r="M770">
        <v>24</v>
      </c>
      <c r="N770">
        <v>1</v>
      </c>
      <c r="O770">
        <v>1.1000000000000001</v>
      </c>
      <c r="P770">
        <v>0</v>
      </c>
      <c r="Q770">
        <v>0</v>
      </c>
      <c r="R770">
        <v>0</v>
      </c>
      <c r="S770">
        <v>1</v>
      </c>
      <c r="T770">
        <v>20</v>
      </c>
      <c r="U770">
        <v>0</v>
      </c>
      <c r="V770" s="9">
        <v>21.333300000000001</v>
      </c>
      <c r="W770">
        <v>92</v>
      </c>
      <c r="X770">
        <v>22</v>
      </c>
      <c r="Y770">
        <v>4</v>
      </c>
      <c r="Z770">
        <v>8</v>
      </c>
      <c r="AA770">
        <v>1</v>
      </c>
      <c r="AB770">
        <v>1</v>
      </c>
      <c r="AC770">
        <v>19</v>
      </c>
      <c r="AD770">
        <v>3.6</v>
      </c>
      <c r="AE770">
        <v>7.9</v>
      </c>
      <c r="AF770" s="5">
        <v>0.41899999999999998</v>
      </c>
      <c r="AG770">
        <v>0.28899999999999998</v>
      </c>
      <c r="AH770">
        <v>1.39</v>
      </c>
      <c r="AI770">
        <v>5.51</v>
      </c>
      <c r="AJ770">
        <v>5.48</v>
      </c>
      <c r="AK770">
        <v>-0.5</v>
      </c>
      <c r="AL770">
        <v>-0.1</v>
      </c>
      <c r="AM770">
        <v>12</v>
      </c>
      <c r="AN770">
        <v>20</v>
      </c>
      <c r="AO770">
        <v>15</v>
      </c>
      <c r="AP770">
        <v>22</v>
      </c>
      <c r="AQ770" t="s">
        <v>3068</v>
      </c>
      <c r="AR770">
        <v>40</v>
      </c>
      <c r="AS770" t="s">
        <v>35</v>
      </c>
      <c r="AT770" t="s">
        <v>35</v>
      </c>
      <c r="AU770" s="4">
        <f>HYPERLINK("http://mlb.mlb.com/team/player.jsp?player_id=620982",620982)</f>
        <v>620982</v>
      </c>
      <c r="AV770">
        <v>1315</v>
      </c>
      <c r="AW770">
        <v>315</v>
      </c>
      <c r="AX770">
        <v>29.7</v>
      </c>
    </row>
    <row r="771" spans="1:50" x14ac:dyDescent="0.3">
      <c r="A771" s="4">
        <f>HYPERLINK("http://legacy.baseballprospectus.com/p/100518",100518)</f>
        <v>100518</v>
      </c>
      <c r="B771" t="s">
        <v>1322</v>
      </c>
      <c r="C771" t="s">
        <v>487</v>
      </c>
      <c r="D771" s="10">
        <v>34432</v>
      </c>
      <c r="E771" t="s">
        <v>33</v>
      </c>
      <c r="F771" t="s">
        <v>33</v>
      </c>
      <c r="G771">
        <v>78</v>
      </c>
      <c r="H771">
        <v>215</v>
      </c>
      <c r="I771">
        <v>2018</v>
      </c>
      <c r="J771" s="4" t="str">
        <f>HYPERLINK("http://legacy.baseballprospectus.com/fantasy/dc/index.php?tm=PHI","PHI")</f>
        <v>PHI</v>
      </c>
      <c r="K771" t="s">
        <v>100</v>
      </c>
      <c r="L771" t="s">
        <v>34</v>
      </c>
      <c r="M771">
        <v>24</v>
      </c>
      <c r="N771">
        <v>2.5</v>
      </c>
      <c r="O771">
        <v>3.1</v>
      </c>
      <c r="P771">
        <v>2</v>
      </c>
      <c r="Q771">
        <v>0</v>
      </c>
      <c r="R771">
        <v>0</v>
      </c>
      <c r="S771">
        <v>0</v>
      </c>
      <c r="T771">
        <v>21</v>
      </c>
      <c r="U771">
        <v>6</v>
      </c>
      <c r="V771" s="9">
        <v>47.666699999999999</v>
      </c>
      <c r="W771">
        <v>206</v>
      </c>
      <c r="X771">
        <v>49</v>
      </c>
      <c r="Y771">
        <v>9</v>
      </c>
      <c r="Z771">
        <v>16</v>
      </c>
      <c r="AA771">
        <v>1</v>
      </c>
      <c r="AB771">
        <v>2</v>
      </c>
      <c r="AC771">
        <v>40</v>
      </c>
      <c r="AD771">
        <v>3</v>
      </c>
      <c r="AE771">
        <v>7.5</v>
      </c>
      <c r="AF771" s="5">
        <v>0.42799999999999999</v>
      </c>
      <c r="AG771">
        <v>0.29199999999999998</v>
      </c>
      <c r="AH771">
        <v>1.36</v>
      </c>
      <c r="AI771">
        <v>5.24</v>
      </c>
      <c r="AJ771">
        <v>5.34</v>
      </c>
      <c r="AK771">
        <v>-0.8</v>
      </c>
      <c r="AL771">
        <v>-0.1</v>
      </c>
      <c r="AM771">
        <v>24</v>
      </c>
      <c r="AN771">
        <v>46</v>
      </c>
      <c r="AO771">
        <v>14</v>
      </c>
      <c r="AP771">
        <v>30</v>
      </c>
      <c r="AQ771" t="s">
        <v>2764</v>
      </c>
      <c r="AR771">
        <v>71</v>
      </c>
      <c r="AS771" t="s">
        <v>35</v>
      </c>
      <c r="AT771" t="s">
        <v>36</v>
      </c>
      <c r="AU771" s="4">
        <f>HYPERLINK("http://mlb.mlb.com/team/player.jsp?player_id=621107",621107)</f>
        <v>621107</v>
      </c>
      <c r="AV771">
        <v>1075</v>
      </c>
      <c r="AW771">
        <v>75</v>
      </c>
      <c r="AX771">
        <v>64.3</v>
      </c>
    </row>
    <row r="772" spans="1:50" x14ac:dyDescent="0.3">
      <c r="A772" s="4">
        <f>HYPERLINK("http://legacy.baseballprospectus.com/p/100555",100555)</f>
        <v>100555</v>
      </c>
      <c r="B772" t="s">
        <v>1590</v>
      </c>
      <c r="C772" t="s">
        <v>1425</v>
      </c>
      <c r="D772" s="10">
        <v>33572</v>
      </c>
      <c r="E772" t="s">
        <v>33</v>
      </c>
      <c r="F772" t="s">
        <v>33</v>
      </c>
      <c r="G772">
        <v>76</v>
      </c>
      <c r="H772">
        <v>190</v>
      </c>
      <c r="I772">
        <v>2018</v>
      </c>
      <c r="J772" s="4" t="str">
        <f>HYPERLINK("http://legacy.baseballprospectus.com/fantasy/dc/index.php?tm=CHN","CHN")</f>
        <v>CHN</v>
      </c>
      <c r="K772" t="s">
        <v>100</v>
      </c>
      <c r="L772" t="s">
        <v>34</v>
      </c>
      <c r="M772">
        <v>26</v>
      </c>
      <c r="N772">
        <v>2.2999999999999998</v>
      </c>
      <c r="O772">
        <v>2.4</v>
      </c>
      <c r="P772">
        <v>2</v>
      </c>
      <c r="Q772">
        <v>0</v>
      </c>
      <c r="R772">
        <v>0</v>
      </c>
      <c r="S772">
        <v>0</v>
      </c>
      <c r="T772">
        <v>16</v>
      </c>
      <c r="U772">
        <v>6</v>
      </c>
      <c r="V772" s="9">
        <v>38.666699999999999</v>
      </c>
      <c r="W772">
        <v>171</v>
      </c>
      <c r="X772">
        <v>42</v>
      </c>
      <c r="Y772">
        <v>7</v>
      </c>
      <c r="Z772">
        <v>15</v>
      </c>
      <c r="AA772">
        <v>1</v>
      </c>
      <c r="AB772">
        <v>2</v>
      </c>
      <c r="AC772">
        <v>31</v>
      </c>
      <c r="AD772">
        <v>3.4</v>
      </c>
      <c r="AE772">
        <v>7.2</v>
      </c>
      <c r="AF772" s="5">
        <v>0.46</v>
      </c>
      <c r="AG772">
        <v>0.30099999999999999</v>
      </c>
      <c r="AH772">
        <v>1.5</v>
      </c>
      <c r="AI772">
        <v>5.26</v>
      </c>
      <c r="AJ772">
        <v>5.35</v>
      </c>
      <c r="AK772">
        <v>-0.6</v>
      </c>
      <c r="AL772">
        <v>-0.1</v>
      </c>
      <c r="AM772">
        <v>24</v>
      </c>
      <c r="AN772">
        <v>35</v>
      </c>
      <c r="AO772">
        <v>12</v>
      </c>
      <c r="AP772">
        <v>26</v>
      </c>
      <c r="AQ772" t="s">
        <v>2765</v>
      </c>
      <c r="AR772">
        <v>63</v>
      </c>
      <c r="AS772" t="s">
        <v>35</v>
      </c>
      <c r="AT772" t="s">
        <v>35</v>
      </c>
      <c r="AU772" s="4">
        <f>HYPERLINK("http://mlb.mlb.com/team/player.jsp?player_id=621219",621219)</f>
        <v>621219</v>
      </c>
      <c r="AV772">
        <v>1149</v>
      </c>
      <c r="AW772">
        <v>149</v>
      </c>
      <c r="AX772">
        <v>0</v>
      </c>
    </row>
    <row r="773" spans="1:50" x14ac:dyDescent="0.3">
      <c r="A773" s="4">
        <f>HYPERLINK("http://legacy.baseballprospectus.com/p/100568",100568)</f>
        <v>100568</v>
      </c>
      <c r="B773" t="s">
        <v>2153</v>
      </c>
      <c r="C773" t="s">
        <v>119</v>
      </c>
      <c r="D773" s="10">
        <v>34840</v>
      </c>
      <c r="E773" t="s">
        <v>9</v>
      </c>
      <c r="F773" t="s">
        <v>9</v>
      </c>
      <c r="G773">
        <v>74</v>
      </c>
      <c r="H773">
        <v>245</v>
      </c>
      <c r="I773">
        <v>2018</v>
      </c>
      <c r="J773" s="4" t="str">
        <f>HYPERLINK("http://legacy.baseballprospectus.com/fantasy/dc/index.php?tm=TBA","TBA")</f>
        <v>TBA</v>
      </c>
      <c r="K773" t="s">
        <v>95</v>
      </c>
      <c r="L773" t="s">
        <v>34</v>
      </c>
      <c r="M773">
        <v>23</v>
      </c>
      <c r="N773">
        <v>2.2000000000000002</v>
      </c>
      <c r="O773">
        <v>2.1</v>
      </c>
      <c r="P773">
        <v>0</v>
      </c>
      <c r="Q773">
        <v>0</v>
      </c>
      <c r="R773">
        <v>0</v>
      </c>
      <c r="S773">
        <v>1</v>
      </c>
      <c r="T773">
        <v>43</v>
      </c>
      <c r="U773">
        <v>0</v>
      </c>
      <c r="V773" s="9">
        <v>45.333300000000001</v>
      </c>
      <c r="W773">
        <v>202</v>
      </c>
      <c r="X773">
        <v>41</v>
      </c>
      <c r="Y773">
        <v>7</v>
      </c>
      <c r="Z773">
        <v>27</v>
      </c>
      <c r="AA773">
        <v>2</v>
      </c>
      <c r="AB773">
        <v>1</v>
      </c>
      <c r="AC773">
        <v>51</v>
      </c>
      <c r="AD773">
        <v>5.4</v>
      </c>
      <c r="AE773">
        <v>10.1</v>
      </c>
      <c r="AF773" s="5">
        <v>0.51500000000000001</v>
      </c>
      <c r="AG773">
        <v>0.29299999999999998</v>
      </c>
      <c r="AH773">
        <v>1.5</v>
      </c>
      <c r="AI773">
        <v>5.03</v>
      </c>
      <c r="AJ773">
        <v>5.37</v>
      </c>
      <c r="AK773">
        <v>-0.6</v>
      </c>
      <c r="AL773">
        <v>-0.1</v>
      </c>
      <c r="AM773">
        <v>13</v>
      </c>
      <c r="AN773">
        <v>15</v>
      </c>
      <c r="AO773">
        <v>12</v>
      </c>
      <c r="AP773">
        <v>19</v>
      </c>
      <c r="AQ773" t="s">
        <v>3071</v>
      </c>
      <c r="AR773">
        <v>32</v>
      </c>
      <c r="AS773" t="s">
        <v>35</v>
      </c>
      <c r="AT773" t="s">
        <v>35</v>
      </c>
      <c r="AU773" s="4">
        <f>HYPERLINK("http://mlb.mlb.com/team/player.jsp?player_id=621237",621237)</f>
        <v>621237</v>
      </c>
      <c r="AV773">
        <v>310</v>
      </c>
      <c r="AW773">
        <v>1310</v>
      </c>
      <c r="AX773">
        <v>29.7</v>
      </c>
    </row>
    <row r="774" spans="1:50" x14ac:dyDescent="0.3">
      <c r="A774" s="4">
        <f>HYPERLINK("http://legacy.baseballprospectus.com/p/100606",100606)</f>
        <v>100606</v>
      </c>
      <c r="B774" t="s">
        <v>1658</v>
      </c>
      <c r="C774" t="s">
        <v>102</v>
      </c>
      <c r="D774" s="10">
        <v>34424</v>
      </c>
      <c r="E774" t="s">
        <v>9</v>
      </c>
      <c r="F774" t="s">
        <v>9</v>
      </c>
      <c r="G774">
        <v>76</v>
      </c>
      <c r="H774">
        <v>175</v>
      </c>
      <c r="I774">
        <v>2018</v>
      </c>
      <c r="J774" s="4" t="str">
        <f>HYPERLINK("http://legacy.baseballprospectus.com/fantasy/dc/index.php?tm=TOR","TOR")</f>
        <v>TOR</v>
      </c>
      <c r="K774" t="s">
        <v>95</v>
      </c>
      <c r="L774" t="s">
        <v>34</v>
      </c>
      <c r="M774">
        <v>24</v>
      </c>
      <c r="N774">
        <v>2.2000000000000002</v>
      </c>
      <c r="O774">
        <v>2.9</v>
      </c>
      <c r="P774">
        <v>3</v>
      </c>
      <c r="Q774">
        <v>0</v>
      </c>
      <c r="R774">
        <v>0</v>
      </c>
      <c r="S774">
        <v>0</v>
      </c>
      <c r="T774">
        <v>12</v>
      </c>
      <c r="U774">
        <v>7</v>
      </c>
      <c r="V774" s="9">
        <v>40.333300000000001</v>
      </c>
      <c r="W774">
        <v>179</v>
      </c>
      <c r="X774">
        <v>43</v>
      </c>
      <c r="Y774">
        <v>8</v>
      </c>
      <c r="Z774">
        <v>17</v>
      </c>
      <c r="AA774">
        <v>1</v>
      </c>
      <c r="AB774">
        <v>2</v>
      </c>
      <c r="AC774">
        <v>37</v>
      </c>
      <c r="AD774">
        <v>3.8</v>
      </c>
      <c r="AE774">
        <v>8.3000000000000007</v>
      </c>
      <c r="AF774" s="5">
        <v>0.45</v>
      </c>
      <c r="AG774">
        <v>0.29899999999999999</v>
      </c>
      <c r="AH774">
        <v>1.51</v>
      </c>
      <c r="AI774">
        <v>5.26</v>
      </c>
      <c r="AJ774">
        <v>5.64</v>
      </c>
      <c r="AK774">
        <v>-0.6</v>
      </c>
      <c r="AL774">
        <v>-0.1</v>
      </c>
      <c r="AM774">
        <v>14</v>
      </c>
      <c r="AN774">
        <v>28</v>
      </c>
      <c r="AO774">
        <v>13</v>
      </c>
      <c r="AP774">
        <v>34</v>
      </c>
      <c r="AQ774" t="s">
        <v>2768</v>
      </c>
      <c r="AR774">
        <v>46</v>
      </c>
      <c r="AS774" t="s">
        <v>35</v>
      </c>
      <c r="AT774" t="s">
        <v>35</v>
      </c>
      <c r="AU774" s="4">
        <f>HYPERLINK("http://mlb.mlb.com/team/player.jsp?player_id=621366",621366)</f>
        <v>621366</v>
      </c>
      <c r="AV774">
        <v>210</v>
      </c>
      <c r="AW774">
        <v>1210</v>
      </c>
      <c r="AX774">
        <v>0</v>
      </c>
    </row>
    <row r="775" spans="1:50" x14ac:dyDescent="0.3">
      <c r="A775" s="4">
        <f>HYPERLINK("http://legacy.baseballprospectus.com/p/100720",100720)</f>
        <v>100720</v>
      </c>
      <c r="B775" t="s">
        <v>114</v>
      </c>
      <c r="C775" t="s">
        <v>1649</v>
      </c>
      <c r="D775" s="10">
        <v>34489</v>
      </c>
      <c r="E775" t="s">
        <v>37</v>
      </c>
      <c r="F775" t="s">
        <v>33</v>
      </c>
      <c r="G775">
        <v>75</v>
      </c>
      <c r="H775">
        <v>205</v>
      </c>
      <c r="I775">
        <v>2018</v>
      </c>
      <c r="J775" s="4" t="str">
        <f>HYPERLINK("http://legacy.baseballprospectus.com/fantasy/dc/index.php?tm=COL","COL")</f>
        <v>COL</v>
      </c>
      <c r="K775" t="s">
        <v>100</v>
      </c>
      <c r="L775" t="s">
        <v>34</v>
      </c>
      <c r="M775">
        <v>24</v>
      </c>
      <c r="N775">
        <v>1.6</v>
      </c>
      <c r="O775">
        <v>2</v>
      </c>
      <c r="P775">
        <v>1</v>
      </c>
      <c r="Q775">
        <v>0</v>
      </c>
      <c r="R775">
        <v>0</v>
      </c>
      <c r="S775">
        <v>0</v>
      </c>
      <c r="T775">
        <v>19</v>
      </c>
      <c r="U775">
        <v>3</v>
      </c>
      <c r="V775" s="9">
        <v>31.666699999999999</v>
      </c>
      <c r="W775">
        <v>139</v>
      </c>
      <c r="X775">
        <v>33</v>
      </c>
      <c r="Y775">
        <v>6</v>
      </c>
      <c r="Z775">
        <v>13</v>
      </c>
      <c r="AA775">
        <v>1</v>
      </c>
      <c r="AB775">
        <v>1</v>
      </c>
      <c r="AC775">
        <v>29</v>
      </c>
      <c r="AD775">
        <v>3.7</v>
      </c>
      <c r="AE775">
        <v>8.4</v>
      </c>
      <c r="AF775" s="5">
        <v>0.43099999999999999</v>
      </c>
      <c r="AG775">
        <v>0.29599999999999999</v>
      </c>
      <c r="AH775">
        <v>1.44</v>
      </c>
      <c r="AI775">
        <v>5.36</v>
      </c>
      <c r="AJ775">
        <v>5.33</v>
      </c>
      <c r="AK775">
        <v>-0.7</v>
      </c>
      <c r="AL775">
        <v>-0.1</v>
      </c>
      <c r="AM775">
        <v>6</v>
      </c>
      <c r="AN775">
        <v>15</v>
      </c>
      <c r="AO775">
        <v>9</v>
      </c>
      <c r="AP775">
        <v>18</v>
      </c>
      <c r="AQ775" t="s">
        <v>3072</v>
      </c>
      <c r="AR775">
        <v>27</v>
      </c>
      <c r="AS775" t="s">
        <v>35</v>
      </c>
      <c r="AT775" t="s">
        <v>35</v>
      </c>
      <c r="AU775" s="4">
        <f>HYPERLINK("http://mlb.mlb.com/team/player.jsp?player_id=622075",622075)</f>
        <v>622075</v>
      </c>
      <c r="AV775">
        <v>1700</v>
      </c>
      <c r="AW775">
        <v>700</v>
      </c>
      <c r="AX775">
        <v>0</v>
      </c>
    </row>
    <row r="776" spans="1:50" x14ac:dyDescent="0.3">
      <c r="A776" s="4">
        <f>HYPERLINK("http://legacy.baseballprospectus.com/p/100727",100727)</f>
        <v>100727</v>
      </c>
      <c r="B776" t="s">
        <v>1182</v>
      </c>
      <c r="C776" t="s">
        <v>182</v>
      </c>
      <c r="D776" s="10">
        <v>33494</v>
      </c>
      <c r="E776" t="s">
        <v>33</v>
      </c>
      <c r="F776" t="s">
        <v>33</v>
      </c>
      <c r="G776">
        <v>75</v>
      </c>
      <c r="H776">
        <v>225</v>
      </c>
      <c r="I776">
        <v>2018</v>
      </c>
      <c r="J776" s="4" t="str">
        <f>HYPERLINK("http://legacy.baseballprospectus.com/fantasy/dc/index.php?tm=KCA","KCA")</f>
        <v>KCA</v>
      </c>
      <c r="K776" t="s">
        <v>95</v>
      </c>
      <c r="L776" t="s">
        <v>34</v>
      </c>
      <c r="M776">
        <v>26</v>
      </c>
      <c r="N776">
        <v>0.6</v>
      </c>
      <c r="O776">
        <v>1.4</v>
      </c>
      <c r="P776">
        <v>1</v>
      </c>
      <c r="Q776">
        <v>0</v>
      </c>
      <c r="R776">
        <v>0</v>
      </c>
      <c r="S776">
        <v>0</v>
      </c>
      <c r="T776">
        <v>3</v>
      </c>
      <c r="U776">
        <v>3</v>
      </c>
      <c r="V776" s="9">
        <v>15</v>
      </c>
      <c r="W776">
        <v>68</v>
      </c>
      <c r="X776">
        <v>16</v>
      </c>
      <c r="Y776">
        <v>3</v>
      </c>
      <c r="Z776">
        <v>7</v>
      </c>
      <c r="AA776">
        <v>0</v>
      </c>
      <c r="AB776">
        <v>0</v>
      </c>
      <c r="AC776">
        <v>14</v>
      </c>
      <c r="AD776">
        <v>4.0999999999999996</v>
      </c>
      <c r="AE776">
        <v>8.6999999999999993</v>
      </c>
      <c r="AF776" s="5">
        <v>0.38700000000000001</v>
      </c>
      <c r="AG776">
        <v>0.29599999999999999</v>
      </c>
      <c r="AH776">
        <v>1.57</v>
      </c>
      <c r="AI776">
        <v>5.62</v>
      </c>
      <c r="AJ776">
        <v>5.96</v>
      </c>
      <c r="AK776">
        <v>-0.7</v>
      </c>
      <c r="AL776">
        <v>-0.1</v>
      </c>
      <c r="AM776">
        <v>21</v>
      </c>
      <c r="AN776">
        <v>32</v>
      </c>
      <c r="AO776">
        <v>13</v>
      </c>
      <c r="AP776">
        <v>39</v>
      </c>
      <c r="AQ776" t="s">
        <v>3200</v>
      </c>
      <c r="AR776">
        <v>51</v>
      </c>
      <c r="AS776" t="s">
        <v>35</v>
      </c>
      <c r="AT776" t="s">
        <v>35</v>
      </c>
      <c r="AU776" s="4">
        <f>HYPERLINK("http://mlb.mlb.com/team/player.jsp?player_id=622092",622092)</f>
        <v>622092</v>
      </c>
      <c r="AV776">
        <v>175</v>
      </c>
      <c r="AW776">
        <v>1175</v>
      </c>
      <c r="AX776">
        <v>0</v>
      </c>
    </row>
    <row r="777" spans="1:50" x14ac:dyDescent="0.3">
      <c r="A777" s="4">
        <f>HYPERLINK("http://legacy.baseballprospectus.com/p/67153",67153)</f>
        <v>67153</v>
      </c>
      <c r="B777" t="s">
        <v>2050</v>
      </c>
      <c r="C777" t="s">
        <v>141</v>
      </c>
      <c r="D777" s="10">
        <v>32448</v>
      </c>
      <c r="E777" t="s">
        <v>9</v>
      </c>
      <c r="F777" t="s">
        <v>33</v>
      </c>
      <c r="G777">
        <v>74</v>
      </c>
      <c r="H777">
        <v>215</v>
      </c>
      <c r="I777">
        <v>2018</v>
      </c>
      <c r="J777" s="4" t="str">
        <f>HYPERLINK("http://legacy.baseballprospectus.com/fantasy/dc/index.php?tm=MIA","MIA")</f>
        <v>MIA</v>
      </c>
      <c r="K777" t="s">
        <v>100</v>
      </c>
      <c r="L777" t="s">
        <v>34</v>
      </c>
      <c r="M777">
        <v>29</v>
      </c>
      <c r="N777">
        <v>2.4</v>
      </c>
      <c r="O777">
        <v>1.8</v>
      </c>
      <c r="P777">
        <v>1.6</v>
      </c>
      <c r="Q777">
        <v>0</v>
      </c>
      <c r="R777">
        <v>0.3</v>
      </c>
      <c r="S777">
        <v>0</v>
      </c>
      <c r="T777">
        <v>31.3</v>
      </c>
      <c r="U777">
        <v>3.8</v>
      </c>
      <c r="V777" s="9">
        <v>48</v>
      </c>
      <c r="W777">
        <v>206</v>
      </c>
      <c r="X777">
        <v>50</v>
      </c>
      <c r="Y777">
        <v>8</v>
      </c>
      <c r="Z777">
        <v>21</v>
      </c>
      <c r="AA777" t="s">
        <v>1680</v>
      </c>
      <c r="AB777">
        <v>1</v>
      </c>
      <c r="AC777">
        <v>47</v>
      </c>
      <c r="AD777">
        <v>3.8</v>
      </c>
      <c r="AE777">
        <v>8.6999999999999993</v>
      </c>
      <c r="AF777" s="5">
        <v>0.39920926094055098</v>
      </c>
      <c r="AG777">
        <v>0.318</v>
      </c>
      <c r="AH777">
        <v>1.46</v>
      </c>
      <c r="AI777">
        <v>4.8899999999999997</v>
      </c>
      <c r="AJ777">
        <v>5.53</v>
      </c>
      <c r="AK777">
        <v>-1.2</v>
      </c>
      <c r="AL777">
        <v>-0.1</v>
      </c>
      <c r="AM777">
        <v>4</v>
      </c>
      <c r="AN777">
        <v>4</v>
      </c>
      <c r="AO777">
        <v>6</v>
      </c>
      <c r="AP777">
        <v>12</v>
      </c>
      <c r="AQ777" t="s">
        <v>3171</v>
      </c>
      <c r="AR777">
        <v>16</v>
      </c>
      <c r="AS777" t="s">
        <v>36</v>
      </c>
      <c r="AT777" t="s">
        <v>35</v>
      </c>
      <c r="AU777" s="4">
        <f>HYPERLINK("http://mlb.mlb.com/team/player.jsp?player_id=592872",592872)</f>
        <v>592872</v>
      </c>
      <c r="AV777">
        <v>0</v>
      </c>
      <c r="AW777">
        <v>0</v>
      </c>
      <c r="AX777">
        <v>7.3</v>
      </c>
    </row>
    <row r="778" spans="1:50" x14ac:dyDescent="0.3">
      <c r="A778" s="4">
        <f>HYPERLINK("http://legacy.baseballprospectus.com/p/68597",68597)</f>
        <v>68597</v>
      </c>
      <c r="B778" t="s">
        <v>445</v>
      </c>
      <c r="C778" t="s">
        <v>138</v>
      </c>
      <c r="D778" s="10">
        <v>33612</v>
      </c>
      <c r="E778" t="s">
        <v>33</v>
      </c>
      <c r="F778" t="s">
        <v>33</v>
      </c>
      <c r="G778">
        <v>75</v>
      </c>
      <c r="H778">
        <v>190</v>
      </c>
      <c r="I778">
        <v>2018</v>
      </c>
      <c r="J778" s="4" t="str">
        <f>HYPERLINK("http://legacy.baseballprospectus.com/fantasy/dc/index.php?tm=SFN","SFN")</f>
        <v>SFN</v>
      </c>
      <c r="K778" t="s">
        <v>100</v>
      </c>
      <c r="L778" t="s">
        <v>34</v>
      </c>
      <c r="M778">
        <v>26</v>
      </c>
      <c r="N778">
        <v>2</v>
      </c>
      <c r="O778">
        <v>2.2000000000000002</v>
      </c>
      <c r="P778">
        <v>2.6</v>
      </c>
      <c r="Q778">
        <v>0</v>
      </c>
      <c r="R778">
        <v>0.2</v>
      </c>
      <c r="S778">
        <v>0</v>
      </c>
      <c r="T778">
        <v>10.199999999999999</v>
      </c>
      <c r="U778">
        <v>5.9</v>
      </c>
      <c r="V778" s="9">
        <v>35.333300000000001</v>
      </c>
      <c r="W778">
        <v>150</v>
      </c>
      <c r="X778">
        <v>38</v>
      </c>
      <c r="Y778">
        <v>6</v>
      </c>
      <c r="Z778">
        <v>13</v>
      </c>
      <c r="AA778" t="s">
        <v>1680</v>
      </c>
      <c r="AB778">
        <v>1</v>
      </c>
      <c r="AC778">
        <v>33</v>
      </c>
      <c r="AD778">
        <v>3.4</v>
      </c>
      <c r="AE778">
        <v>8.5</v>
      </c>
      <c r="AF778" s="5">
        <v>0.47497385740280101</v>
      </c>
      <c r="AG778">
        <v>0.32800000000000001</v>
      </c>
      <c r="AH778">
        <v>1.44</v>
      </c>
      <c r="AI778">
        <v>4.78</v>
      </c>
      <c r="AJ778">
        <v>5.8</v>
      </c>
      <c r="AK778">
        <v>-0.9</v>
      </c>
      <c r="AL778">
        <v>-0.1</v>
      </c>
      <c r="AM778">
        <v>13</v>
      </c>
      <c r="AN778">
        <v>23</v>
      </c>
      <c r="AO778">
        <v>10</v>
      </c>
      <c r="AP778">
        <v>25</v>
      </c>
      <c r="AQ778" t="s">
        <v>2783</v>
      </c>
      <c r="AR778">
        <v>34</v>
      </c>
      <c r="AS778" t="s">
        <v>36</v>
      </c>
      <c r="AT778" t="s">
        <v>35</v>
      </c>
      <c r="AU778" s="4">
        <f>HYPERLINK("http://mlb.mlb.com/team/player.jsp?player_id=592438",592438)</f>
        <v>592438</v>
      </c>
      <c r="AV778">
        <v>1216</v>
      </c>
      <c r="AW778">
        <v>216</v>
      </c>
      <c r="AX778">
        <v>0</v>
      </c>
    </row>
    <row r="779" spans="1:50" x14ac:dyDescent="0.3">
      <c r="A779" s="4">
        <f>HYPERLINK("http://legacy.baseballprospectus.com/p/68624",68624)</f>
        <v>68624</v>
      </c>
      <c r="B779" t="s">
        <v>1065</v>
      </c>
      <c r="C779" t="s">
        <v>2224</v>
      </c>
      <c r="D779" s="10">
        <v>32682</v>
      </c>
      <c r="E779" t="s">
        <v>33</v>
      </c>
      <c r="F779" t="s">
        <v>33</v>
      </c>
      <c r="G779">
        <v>78</v>
      </c>
      <c r="H779">
        <v>220</v>
      </c>
      <c r="I779">
        <v>2018</v>
      </c>
      <c r="J779" s="4" t="str">
        <f>HYPERLINK("http://legacy.baseballprospectus.com/fantasy/dc/index.php?tm=TOR","TOR")</f>
        <v>TOR</v>
      </c>
      <c r="K779" t="s">
        <v>100</v>
      </c>
      <c r="L779" t="s">
        <v>34</v>
      </c>
      <c r="M779">
        <v>29</v>
      </c>
      <c r="N779">
        <v>7.9</v>
      </c>
      <c r="O779">
        <v>9</v>
      </c>
      <c r="P779">
        <v>9.4</v>
      </c>
      <c r="Q779">
        <v>0</v>
      </c>
      <c r="R779">
        <v>0</v>
      </c>
      <c r="S779">
        <v>0</v>
      </c>
      <c r="T779">
        <v>24.4</v>
      </c>
      <c r="U779">
        <v>24.4</v>
      </c>
      <c r="V779" s="9">
        <v>136.66669999999999</v>
      </c>
      <c r="W779">
        <v>579</v>
      </c>
      <c r="X779">
        <v>135</v>
      </c>
      <c r="Y779">
        <v>27</v>
      </c>
      <c r="Z779">
        <v>56</v>
      </c>
      <c r="AA779" t="s">
        <v>1680</v>
      </c>
      <c r="AB779">
        <v>6</v>
      </c>
      <c r="AC779">
        <v>129</v>
      </c>
      <c r="AD779">
        <v>3.7</v>
      </c>
      <c r="AE779">
        <v>8.5</v>
      </c>
      <c r="AF779" s="5">
        <v>0.39542445540428101</v>
      </c>
      <c r="AG779">
        <v>0.29899999999999999</v>
      </c>
      <c r="AH779">
        <v>1.4</v>
      </c>
      <c r="AI779">
        <v>5.26</v>
      </c>
      <c r="AJ779">
        <v>5.66</v>
      </c>
      <c r="AK779">
        <v>-0.6</v>
      </c>
      <c r="AL779">
        <v>-0.1</v>
      </c>
      <c r="AM779">
        <v>4</v>
      </c>
      <c r="AN779">
        <v>7</v>
      </c>
      <c r="AO779">
        <v>9</v>
      </c>
      <c r="AP779">
        <v>15</v>
      </c>
      <c r="AQ779" t="s">
        <v>3174</v>
      </c>
      <c r="AR779">
        <v>20</v>
      </c>
      <c r="AS779" t="s">
        <v>36</v>
      </c>
      <c r="AT779" t="s">
        <v>35</v>
      </c>
      <c r="AU779" s="4">
        <f>HYPERLINK("http://mlb.mlb.com/team/player.jsp?player_id=592547",592547)</f>
        <v>592547</v>
      </c>
      <c r="AV779">
        <v>0</v>
      </c>
      <c r="AW779">
        <v>0</v>
      </c>
      <c r="AX779">
        <v>13.7</v>
      </c>
    </row>
    <row r="780" spans="1:50" x14ac:dyDescent="0.3">
      <c r="A780" s="4">
        <f>HYPERLINK("http://legacy.baseballprospectus.com/p/68879",68879)</f>
        <v>68879</v>
      </c>
      <c r="B780" t="s">
        <v>1191</v>
      </c>
      <c r="C780" t="s">
        <v>254</v>
      </c>
      <c r="D780" s="10">
        <v>33405</v>
      </c>
      <c r="E780" t="s">
        <v>33</v>
      </c>
      <c r="F780" t="s">
        <v>33</v>
      </c>
      <c r="G780">
        <v>77</v>
      </c>
      <c r="H780">
        <v>230</v>
      </c>
      <c r="I780">
        <v>2018</v>
      </c>
      <c r="J780" s="4" t="str">
        <f>HYPERLINK("http://legacy.baseballprospectus.com/fantasy/dc/index.php?tm=BOS","BOS")</f>
        <v>BOS</v>
      </c>
      <c r="K780" t="s">
        <v>95</v>
      </c>
      <c r="L780" t="s">
        <v>34</v>
      </c>
      <c r="M780">
        <v>27</v>
      </c>
      <c r="N780">
        <v>4</v>
      </c>
      <c r="O780">
        <v>4.8</v>
      </c>
      <c r="P780">
        <v>4.9000000000000004</v>
      </c>
      <c r="Q780">
        <v>0</v>
      </c>
      <c r="R780">
        <v>0.1</v>
      </c>
      <c r="S780">
        <v>0</v>
      </c>
      <c r="T780">
        <v>20.8</v>
      </c>
      <c r="U780">
        <v>12.7</v>
      </c>
      <c r="V780" s="9">
        <v>74</v>
      </c>
      <c r="W780">
        <v>324</v>
      </c>
      <c r="X780">
        <v>81</v>
      </c>
      <c r="Y780">
        <v>13</v>
      </c>
      <c r="Z780">
        <v>28</v>
      </c>
      <c r="AA780" t="s">
        <v>1680</v>
      </c>
      <c r="AB780">
        <v>2</v>
      </c>
      <c r="AC780">
        <v>60</v>
      </c>
      <c r="AD780">
        <v>3.4</v>
      </c>
      <c r="AE780">
        <v>7.3</v>
      </c>
      <c r="AF780" s="5">
        <v>0.42851644754409701</v>
      </c>
      <c r="AG780">
        <v>0.309</v>
      </c>
      <c r="AH780">
        <v>1.47</v>
      </c>
      <c r="AI780">
        <v>5.18</v>
      </c>
      <c r="AJ780">
        <v>5.67</v>
      </c>
      <c r="AK780">
        <v>-0.6</v>
      </c>
      <c r="AL780">
        <v>-0.1</v>
      </c>
      <c r="AM780">
        <v>13</v>
      </c>
      <c r="AN780">
        <v>28</v>
      </c>
      <c r="AO780">
        <v>11</v>
      </c>
      <c r="AP780">
        <v>18</v>
      </c>
      <c r="AQ780" t="s">
        <v>2670</v>
      </c>
      <c r="AR780">
        <v>44</v>
      </c>
      <c r="AS780" t="s">
        <v>36</v>
      </c>
      <c r="AT780" t="s">
        <v>35</v>
      </c>
      <c r="AU780" s="4">
        <f>HYPERLINK("http://mlb.mlb.com/team/player.jsp?player_id=595234",595234)</f>
        <v>595234</v>
      </c>
      <c r="AV780">
        <v>0</v>
      </c>
      <c r="AW780">
        <v>0</v>
      </c>
      <c r="AX780">
        <v>18</v>
      </c>
    </row>
    <row r="781" spans="1:50" x14ac:dyDescent="0.3">
      <c r="A781" s="4">
        <f>HYPERLINK("http://legacy.baseballprospectus.com/p/69287",69287)</f>
        <v>69287</v>
      </c>
      <c r="B781" t="s">
        <v>1831</v>
      </c>
      <c r="C781" t="s">
        <v>304</v>
      </c>
      <c r="D781" s="10">
        <v>34556</v>
      </c>
      <c r="E781" t="s">
        <v>33</v>
      </c>
      <c r="F781" t="s">
        <v>33</v>
      </c>
      <c r="G781">
        <v>77</v>
      </c>
      <c r="H781">
        <v>251</v>
      </c>
      <c r="I781">
        <v>2018</v>
      </c>
      <c r="J781" s="4" t="str">
        <f>HYPERLINK("http://legacy.baseballprospectus.com/fantasy/dc/index.php?tm=PIT","PIT")</f>
        <v>PIT</v>
      </c>
      <c r="K781" t="s">
        <v>100</v>
      </c>
      <c r="L781" t="s">
        <v>34</v>
      </c>
      <c r="M781">
        <v>23</v>
      </c>
      <c r="N781">
        <v>2.5</v>
      </c>
      <c r="O781">
        <v>2.2999999999999998</v>
      </c>
      <c r="P781">
        <v>2.6</v>
      </c>
      <c r="Q781">
        <v>0</v>
      </c>
      <c r="R781">
        <v>0.7</v>
      </c>
      <c r="S781">
        <v>0</v>
      </c>
      <c r="T781">
        <v>22.8</v>
      </c>
      <c r="U781">
        <v>6.2</v>
      </c>
      <c r="V781" s="9">
        <v>46.333300000000001</v>
      </c>
      <c r="W781">
        <v>202</v>
      </c>
      <c r="X781">
        <v>48</v>
      </c>
      <c r="Y781">
        <v>7</v>
      </c>
      <c r="Z781">
        <v>23</v>
      </c>
      <c r="AA781" t="s">
        <v>1680</v>
      </c>
      <c r="AB781">
        <v>1</v>
      </c>
      <c r="AC781">
        <v>40</v>
      </c>
      <c r="AD781">
        <v>4.5</v>
      </c>
      <c r="AE781">
        <v>7.7</v>
      </c>
      <c r="AF781" s="5">
        <v>0.49968668818473799</v>
      </c>
      <c r="AG781">
        <v>0.316</v>
      </c>
      <c r="AH781">
        <v>1.54</v>
      </c>
      <c r="AI781">
        <v>5</v>
      </c>
      <c r="AJ781">
        <v>5.62</v>
      </c>
      <c r="AK781">
        <v>-0.9</v>
      </c>
      <c r="AL781">
        <v>-0.1</v>
      </c>
      <c r="AM781">
        <v>3</v>
      </c>
      <c r="AN781">
        <v>4</v>
      </c>
      <c r="AO781">
        <v>0</v>
      </c>
      <c r="AP781">
        <v>4</v>
      </c>
      <c r="AQ781" t="s">
        <v>3278</v>
      </c>
      <c r="AR781">
        <v>4</v>
      </c>
      <c r="AS781" t="s">
        <v>36</v>
      </c>
      <c r="AT781" t="s">
        <v>35</v>
      </c>
      <c r="AU781" s="4">
        <f>HYPERLINK("http://mlb.mlb.com/team/player.jsp?player_id=599093",599093)</f>
        <v>599093</v>
      </c>
      <c r="AV781">
        <v>0</v>
      </c>
      <c r="AW781">
        <v>0</v>
      </c>
      <c r="AX781">
        <v>0</v>
      </c>
    </row>
    <row r="782" spans="1:50" x14ac:dyDescent="0.3">
      <c r="A782" s="4">
        <f>HYPERLINK("http://legacy.baseballprospectus.com/p/70348",70348)</f>
        <v>70348</v>
      </c>
      <c r="B782" t="s">
        <v>1310</v>
      </c>
      <c r="C782" t="s">
        <v>227</v>
      </c>
      <c r="D782" s="10">
        <v>33434</v>
      </c>
      <c r="E782" t="s">
        <v>33</v>
      </c>
      <c r="F782" t="s">
        <v>33</v>
      </c>
      <c r="G782">
        <v>77</v>
      </c>
      <c r="H782">
        <v>220</v>
      </c>
      <c r="I782">
        <v>2018</v>
      </c>
      <c r="J782" s="4" t="str">
        <f>HYPERLINK("http://legacy.baseballprospectus.com/fantasy/dc/index.php?tm=PHI","PHI")</f>
        <v>PHI</v>
      </c>
      <c r="K782" t="s">
        <v>100</v>
      </c>
      <c r="L782" t="s">
        <v>34</v>
      </c>
      <c r="M782">
        <v>26</v>
      </c>
      <c r="N782">
        <v>4</v>
      </c>
      <c r="O782">
        <v>4.9000000000000004</v>
      </c>
      <c r="P782">
        <v>5.7</v>
      </c>
      <c r="Q782">
        <v>0</v>
      </c>
      <c r="R782">
        <v>0</v>
      </c>
      <c r="S782">
        <v>0</v>
      </c>
      <c r="T782">
        <v>14.1</v>
      </c>
      <c r="U782">
        <v>14.1</v>
      </c>
      <c r="V782" s="9">
        <v>69</v>
      </c>
      <c r="W782">
        <v>298</v>
      </c>
      <c r="X782">
        <v>73</v>
      </c>
      <c r="Y782">
        <v>12</v>
      </c>
      <c r="Z782">
        <v>30</v>
      </c>
      <c r="AA782" t="s">
        <v>1680</v>
      </c>
      <c r="AB782">
        <v>3</v>
      </c>
      <c r="AC782">
        <v>65</v>
      </c>
      <c r="AD782">
        <v>3.9</v>
      </c>
      <c r="AE782">
        <v>8.5</v>
      </c>
      <c r="AF782" s="5">
        <v>0.43362486362457198</v>
      </c>
      <c r="AG782">
        <v>0.32100000000000001</v>
      </c>
      <c r="AH782">
        <v>1.49</v>
      </c>
      <c r="AI782">
        <v>5.1100000000000003</v>
      </c>
      <c r="AJ782">
        <v>5.69</v>
      </c>
      <c r="AK782">
        <v>-0.5</v>
      </c>
      <c r="AL782">
        <v>-0.1</v>
      </c>
      <c r="AM782">
        <v>8</v>
      </c>
      <c r="AN782">
        <v>12</v>
      </c>
      <c r="AO782">
        <v>5</v>
      </c>
      <c r="AP782">
        <v>12</v>
      </c>
      <c r="AQ782" t="s">
        <v>3083</v>
      </c>
      <c r="AR782">
        <v>18</v>
      </c>
      <c r="AS782" t="s">
        <v>36</v>
      </c>
      <c r="AT782" t="s">
        <v>35</v>
      </c>
      <c r="AU782" s="4">
        <f>HYPERLINK("http://mlb.mlb.com/team/player.jsp?player_id=571446",571446)</f>
        <v>571446</v>
      </c>
      <c r="AV782">
        <v>0</v>
      </c>
      <c r="AW782">
        <v>0</v>
      </c>
      <c r="AX782">
        <v>0</v>
      </c>
    </row>
    <row r="783" spans="1:50" x14ac:dyDescent="0.3">
      <c r="A783" s="4">
        <f>HYPERLINK("http://legacy.baseballprospectus.com/p/70785",70785)</f>
        <v>70785</v>
      </c>
      <c r="B783" t="s">
        <v>1578</v>
      </c>
      <c r="C783" t="s">
        <v>341</v>
      </c>
      <c r="D783" s="10">
        <v>33043</v>
      </c>
      <c r="E783" t="s">
        <v>33</v>
      </c>
      <c r="F783" t="s">
        <v>33</v>
      </c>
      <c r="G783">
        <v>74</v>
      </c>
      <c r="H783">
        <v>190</v>
      </c>
      <c r="I783">
        <v>2018</v>
      </c>
      <c r="J783" s="4" t="str">
        <f>HYPERLINK("http://legacy.baseballprospectus.com/fantasy/dc/index.php?tm=BAL","BAL")</f>
        <v>BAL</v>
      </c>
      <c r="K783" t="s">
        <v>95</v>
      </c>
      <c r="L783" t="s">
        <v>34</v>
      </c>
      <c r="M783">
        <v>28</v>
      </c>
      <c r="N783">
        <v>3.3</v>
      </c>
      <c r="O783">
        <v>3.5</v>
      </c>
      <c r="P783">
        <v>3</v>
      </c>
      <c r="Q783">
        <v>0</v>
      </c>
      <c r="R783">
        <v>0.1</v>
      </c>
      <c r="S783">
        <v>0</v>
      </c>
      <c r="T783">
        <v>26.6</v>
      </c>
      <c r="U783">
        <v>8.4</v>
      </c>
      <c r="V783" s="9">
        <v>64</v>
      </c>
      <c r="W783">
        <v>285</v>
      </c>
      <c r="X783">
        <v>67</v>
      </c>
      <c r="Y783">
        <v>12</v>
      </c>
      <c r="Z783">
        <v>27</v>
      </c>
      <c r="AA783" t="s">
        <v>1680</v>
      </c>
      <c r="AB783">
        <v>3</v>
      </c>
      <c r="AC783">
        <v>54</v>
      </c>
      <c r="AD783">
        <v>3.8</v>
      </c>
      <c r="AE783">
        <v>7.6</v>
      </c>
      <c r="AF783" s="5">
        <v>0.42474764585494901</v>
      </c>
      <c r="AG783">
        <v>0.29399999999999998</v>
      </c>
      <c r="AH783">
        <v>1.48</v>
      </c>
      <c r="AI783">
        <v>5.6</v>
      </c>
      <c r="AJ783">
        <v>5.67</v>
      </c>
      <c r="AK783">
        <v>-1</v>
      </c>
      <c r="AL783">
        <v>-0.1</v>
      </c>
      <c r="AM783">
        <v>27</v>
      </c>
      <c r="AN783">
        <v>47</v>
      </c>
      <c r="AO783">
        <v>14</v>
      </c>
      <c r="AP783">
        <v>34</v>
      </c>
      <c r="AQ783" t="s">
        <v>3085</v>
      </c>
      <c r="AR783">
        <v>69</v>
      </c>
      <c r="AS783" t="s">
        <v>36</v>
      </c>
      <c r="AT783" t="s">
        <v>36</v>
      </c>
      <c r="AU783" s="4">
        <f>HYPERLINK("http://mlb.mlb.com/team/player.jsp?player_id=548337",548337)</f>
        <v>548337</v>
      </c>
      <c r="AV783">
        <v>0</v>
      </c>
      <c r="AW783">
        <v>0</v>
      </c>
      <c r="AX783">
        <v>10.7</v>
      </c>
    </row>
    <row r="784" spans="1:50" x14ac:dyDescent="0.3">
      <c r="A784" s="4">
        <f>HYPERLINK("http://legacy.baseballprospectus.com/p/71024",71024)</f>
        <v>71024</v>
      </c>
      <c r="B784" t="s">
        <v>2106</v>
      </c>
      <c r="C784" t="s">
        <v>659</v>
      </c>
      <c r="D784" s="10">
        <v>33058</v>
      </c>
      <c r="E784" t="s">
        <v>33</v>
      </c>
      <c r="F784" t="s">
        <v>9</v>
      </c>
      <c r="G784">
        <v>77</v>
      </c>
      <c r="H784">
        <v>190</v>
      </c>
      <c r="I784">
        <v>2018</v>
      </c>
      <c r="J784" s="4" t="str">
        <f>HYPERLINK("http://legacy.baseballprospectus.com/fantasy/dc/index.php?tm=TOR","TOR")</f>
        <v>TOR</v>
      </c>
      <c r="K784" t="s">
        <v>95</v>
      </c>
      <c r="L784" t="s">
        <v>34</v>
      </c>
      <c r="M784">
        <v>27</v>
      </c>
      <c r="N784">
        <v>1.3</v>
      </c>
      <c r="O784">
        <v>0.4</v>
      </c>
      <c r="P784">
        <v>0</v>
      </c>
      <c r="Q784">
        <v>0</v>
      </c>
      <c r="R784">
        <v>0</v>
      </c>
      <c r="S784">
        <v>0</v>
      </c>
      <c r="T784">
        <v>27</v>
      </c>
      <c r="U784">
        <v>0</v>
      </c>
      <c r="V784" s="9">
        <v>28.666699999999999</v>
      </c>
      <c r="W784">
        <v>129</v>
      </c>
      <c r="X784">
        <v>33</v>
      </c>
      <c r="Y784">
        <v>5</v>
      </c>
      <c r="Z784">
        <v>11</v>
      </c>
      <c r="AA784" t="s">
        <v>1680</v>
      </c>
      <c r="AB784">
        <v>1</v>
      </c>
      <c r="AC784">
        <v>24</v>
      </c>
      <c r="AD784">
        <v>3.4</v>
      </c>
      <c r="AE784">
        <v>7.7</v>
      </c>
      <c r="AF784" s="5">
        <v>0.437153249979019</v>
      </c>
      <c r="AG784">
        <v>0.32400000000000001</v>
      </c>
      <c r="AH784">
        <v>1.54</v>
      </c>
      <c r="AI784">
        <v>5.27</v>
      </c>
      <c r="AJ784">
        <v>5.52</v>
      </c>
      <c r="AK784">
        <v>-1</v>
      </c>
      <c r="AL784">
        <v>-0.1</v>
      </c>
      <c r="AM784">
        <v>18</v>
      </c>
      <c r="AN784">
        <v>23</v>
      </c>
      <c r="AO784">
        <v>2</v>
      </c>
      <c r="AP784">
        <v>18</v>
      </c>
      <c r="AQ784" t="s">
        <v>2898</v>
      </c>
      <c r="AR784">
        <v>28</v>
      </c>
      <c r="AS784" t="s">
        <v>36</v>
      </c>
      <c r="AT784" t="s">
        <v>35</v>
      </c>
      <c r="AU784" s="4">
        <f>HYPERLINK("http://mlb.mlb.com/team/player.jsp?player_id=571616",571616)</f>
        <v>571616</v>
      </c>
      <c r="AV784">
        <v>313</v>
      </c>
      <c r="AW784">
        <v>1313</v>
      </c>
      <c r="AX784">
        <v>22.3</v>
      </c>
    </row>
    <row r="785" spans="1:50" x14ac:dyDescent="0.3">
      <c r="A785" s="4">
        <f>HYPERLINK("http://legacy.baseballprospectus.com/p/71171",71171)</f>
        <v>71171</v>
      </c>
      <c r="B785" t="s">
        <v>448</v>
      </c>
      <c r="C785" t="s">
        <v>344</v>
      </c>
      <c r="D785" s="10">
        <v>33876</v>
      </c>
      <c r="E785" t="s">
        <v>33</v>
      </c>
      <c r="F785" t="s">
        <v>33</v>
      </c>
      <c r="G785">
        <v>74</v>
      </c>
      <c r="H785">
        <v>190</v>
      </c>
      <c r="I785">
        <v>2018</v>
      </c>
      <c r="J785" s="4" t="str">
        <f>HYPERLINK("http://legacy.baseballprospectus.com/fantasy/dc/index.php?tm=MIN","MIN")</f>
        <v>MIN</v>
      </c>
      <c r="K785" t="s">
        <v>95</v>
      </c>
      <c r="L785" t="s">
        <v>34</v>
      </c>
      <c r="M785">
        <v>25</v>
      </c>
      <c r="N785">
        <v>1.5</v>
      </c>
      <c r="O785">
        <v>0.5</v>
      </c>
      <c r="P785">
        <v>0</v>
      </c>
      <c r="Q785">
        <v>0</v>
      </c>
      <c r="R785">
        <v>1.2</v>
      </c>
      <c r="S785">
        <v>0</v>
      </c>
      <c r="T785">
        <v>32.200000000000003</v>
      </c>
      <c r="U785">
        <v>0</v>
      </c>
      <c r="V785" s="9">
        <v>34</v>
      </c>
      <c r="W785">
        <v>155</v>
      </c>
      <c r="X785">
        <v>37</v>
      </c>
      <c r="Y785">
        <v>6</v>
      </c>
      <c r="Z785">
        <v>16</v>
      </c>
      <c r="AA785" t="s">
        <v>1680</v>
      </c>
      <c r="AB785">
        <v>2</v>
      </c>
      <c r="AC785">
        <v>29</v>
      </c>
      <c r="AD785">
        <v>4.4000000000000004</v>
      </c>
      <c r="AE785">
        <v>7.7</v>
      </c>
      <c r="AF785" s="5">
        <v>0.438486188650131</v>
      </c>
      <c r="AG785">
        <v>0.30599999999999999</v>
      </c>
      <c r="AH785">
        <v>1.56</v>
      </c>
      <c r="AI785">
        <v>5.36</v>
      </c>
      <c r="AJ785">
        <v>5.45</v>
      </c>
      <c r="AK785">
        <v>-0.8</v>
      </c>
      <c r="AL785">
        <v>-0.1</v>
      </c>
      <c r="AM785">
        <v>10</v>
      </c>
      <c r="AN785">
        <v>15</v>
      </c>
      <c r="AO785">
        <v>11</v>
      </c>
      <c r="AP785">
        <v>18</v>
      </c>
      <c r="AQ785" t="s">
        <v>3206</v>
      </c>
      <c r="AR785">
        <v>30</v>
      </c>
      <c r="AS785" t="s">
        <v>36</v>
      </c>
      <c r="AT785" t="s">
        <v>35</v>
      </c>
      <c r="AU785" s="4">
        <f>HYPERLINK("http://mlb.mlb.com/team/player.jsp?player_id=596082",596082)</f>
        <v>596082</v>
      </c>
      <c r="AV785">
        <v>0</v>
      </c>
      <c r="AW785">
        <v>0</v>
      </c>
      <c r="AX785">
        <v>0</v>
      </c>
    </row>
    <row r="786" spans="1:50" x14ac:dyDescent="0.3">
      <c r="A786" s="4">
        <f>HYPERLINK("http://legacy.baseballprospectus.com/p/100354",100354)</f>
        <v>100354</v>
      </c>
      <c r="B786" t="s">
        <v>1289</v>
      </c>
      <c r="C786" t="s">
        <v>223</v>
      </c>
      <c r="D786" s="10">
        <v>34678</v>
      </c>
      <c r="E786" t="s">
        <v>33</v>
      </c>
      <c r="F786" t="s">
        <v>33</v>
      </c>
      <c r="G786">
        <v>72</v>
      </c>
      <c r="H786">
        <v>180</v>
      </c>
      <c r="I786">
        <v>2018</v>
      </c>
      <c r="J786" s="4" t="str">
        <f>HYPERLINK("http://legacy.baseballprospectus.com/fantasy/dc/index.php?tm=PHI","PHI")</f>
        <v>PHI</v>
      </c>
      <c r="K786" t="s">
        <v>100</v>
      </c>
      <c r="L786" t="s">
        <v>34</v>
      </c>
      <c r="M786">
        <v>23</v>
      </c>
      <c r="N786">
        <v>3.6</v>
      </c>
      <c r="O786">
        <v>3</v>
      </c>
      <c r="P786">
        <v>3.2</v>
      </c>
      <c r="Q786">
        <v>0</v>
      </c>
      <c r="R786">
        <v>1.3</v>
      </c>
      <c r="S786">
        <v>0</v>
      </c>
      <c r="T786">
        <v>40.700000000000003</v>
      </c>
      <c r="U786">
        <v>7.5</v>
      </c>
      <c r="V786" s="9">
        <v>68.666700000000006</v>
      </c>
      <c r="W786">
        <v>297</v>
      </c>
      <c r="X786">
        <v>65</v>
      </c>
      <c r="Y786">
        <v>12</v>
      </c>
      <c r="Z786">
        <v>38</v>
      </c>
      <c r="AA786" t="s">
        <v>1680</v>
      </c>
      <c r="AB786">
        <v>4</v>
      </c>
      <c r="AC786">
        <v>78</v>
      </c>
      <c r="AD786">
        <v>5</v>
      </c>
      <c r="AE786">
        <v>10.3</v>
      </c>
      <c r="AF786" s="5">
        <v>0.44710129499435403</v>
      </c>
      <c r="AG786">
        <v>0.32200000000000001</v>
      </c>
      <c r="AH786">
        <v>1.5</v>
      </c>
      <c r="AI786">
        <v>4.92</v>
      </c>
      <c r="AJ786">
        <v>5.5</v>
      </c>
      <c r="AK786">
        <v>-1.4</v>
      </c>
      <c r="AL786">
        <v>-0.1</v>
      </c>
      <c r="AM786">
        <v>3</v>
      </c>
      <c r="AN786">
        <v>3</v>
      </c>
      <c r="AO786">
        <v>0</v>
      </c>
      <c r="AP786">
        <v>2</v>
      </c>
      <c r="AQ786" t="s">
        <v>3340</v>
      </c>
      <c r="AR786">
        <v>3</v>
      </c>
      <c r="AS786" t="s">
        <v>36</v>
      </c>
      <c r="AT786" t="s">
        <v>35</v>
      </c>
      <c r="AU786" s="4">
        <f>HYPERLINK("http://mlb.mlb.com/team/player.jsp?player_id=610143",610143)</f>
        <v>610143</v>
      </c>
      <c r="AV786">
        <v>1722</v>
      </c>
      <c r="AW786">
        <v>722</v>
      </c>
      <c r="AX786">
        <v>0</v>
      </c>
    </row>
    <row r="787" spans="1:50" x14ac:dyDescent="0.3">
      <c r="A787" s="4">
        <f>HYPERLINK("http://legacy.baseballprospectus.com/p/101249",101249)</f>
        <v>101249</v>
      </c>
      <c r="B787" t="s">
        <v>2148</v>
      </c>
      <c r="C787" t="s">
        <v>234</v>
      </c>
      <c r="D787" s="10">
        <v>34516</v>
      </c>
      <c r="E787" t="s">
        <v>33</v>
      </c>
      <c r="F787" t="s">
        <v>33</v>
      </c>
      <c r="G787">
        <v>75</v>
      </c>
      <c r="H787">
        <v>250</v>
      </c>
      <c r="I787">
        <v>2018</v>
      </c>
      <c r="J787" s="4" t="str">
        <f>HYPERLINK("http://legacy.baseballprospectus.com/fantasy/dc/index.php?tm=NYN","NYN")</f>
        <v>NYN</v>
      </c>
      <c r="K787" t="s">
        <v>100</v>
      </c>
      <c r="L787" t="s">
        <v>34</v>
      </c>
      <c r="M787">
        <v>23</v>
      </c>
      <c r="N787">
        <v>2.1</v>
      </c>
      <c r="O787">
        <v>2.7</v>
      </c>
      <c r="P787">
        <v>2</v>
      </c>
      <c r="Q787">
        <v>0</v>
      </c>
      <c r="R787">
        <v>0</v>
      </c>
      <c r="S787">
        <v>0</v>
      </c>
      <c r="T787">
        <v>19</v>
      </c>
      <c r="U787">
        <v>5</v>
      </c>
      <c r="V787" s="9">
        <v>41.666699999999999</v>
      </c>
      <c r="W787">
        <v>183</v>
      </c>
      <c r="X787">
        <v>42</v>
      </c>
      <c r="Y787">
        <v>7</v>
      </c>
      <c r="Z787">
        <v>18</v>
      </c>
      <c r="AA787">
        <v>1</v>
      </c>
      <c r="AB787">
        <v>1</v>
      </c>
      <c r="AC787">
        <v>39</v>
      </c>
      <c r="AD787">
        <v>4</v>
      </c>
      <c r="AE787">
        <v>8.3000000000000007</v>
      </c>
      <c r="AF787" s="5">
        <v>0.45300000000000001</v>
      </c>
      <c r="AG787">
        <v>0.29499999999999998</v>
      </c>
      <c r="AH787">
        <v>1.45</v>
      </c>
      <c r="AI787">
        <v>5.15</v>
      </c>
      <c r="AJ787">
        <v>5.34</v>
      </c>
      <c r="AK787">
        <v>-0.7</v>
      </c>
      <c r="AL787">
        <v>-0.1</v>
      </c>
      <c r="AM787">
        <v>20</v>
      </c>
      <c r="AN787">
        <v>29</v>
      </c>
      <c r="AO787">
        <v>10</v>
      </c>
      <c r="AP787">
        <v>31</v>
      </c>
      <c r="AQ787" t="s">
        <v>2772</v>
      </c>
      <c r="AR787">
        <v>49</v>
      </c>
      <c r="AS787" t="s">
        <v>35</v>
      </c>
      <c r="AT787" t="s">
        <v>35</v>
      </c>
      <c r="AU787" s="4">
        <f>HYPERLINK("http://mlb.mlb.com/team/player.jsp?player_id=623167",623167)</f>
        <v>623167</v>
      </c>
      <c r="AV787">
        <v>1087</v>
      </c>
      <c r="AW787">
        <v>87</v>
      </c>
      <c r="AX787">
        <v>48</v>
      </c>
    </row>
    <row r="788" spans="1:50" x14ac:dyDescent="0.3">
      <c r="A788" s="4">
        <f>HYPERLINK("http://legacy.baseballprospectus.com/p/102030",102030)</f>
        <v>102030</v>
      </c>
      <c r="B788" t="s">
        <v>2911</v>
      </c>
      <c r="C788" t="s">
        <v>2226</v>
      </c>
      <c r="D788" s="10">
        <v>33663</v>
      </c>
      <c r="E788" t="s">
        <v>33</v>
      </c>
      <c r="F788" t="s">
        <v>33</v>
      </c>
      <c r="G788">
        <v>75</v>
      </c>
      <c r="H788">
        <v>200</v>
      </c>
      <c r="I788">
        <v>2018</v>
      </c>
      <c r="J788" s="4" t="str">
        <f>HYPERLINK("http://legacy.baseballprospectus.com/fantasy/dc/index.php?tm=BAL","BAL")</f>
        <v>BAL</v>
      </c>
      <c r="K788" t="s">
        <v>95</v>
      </c>
      <c r="L788" t="s">
        <v>34</v>
      </c>
      <c r="M788">
        <v>26</v>
      </c>
      <c r="N788">
        <v>0.9</v>
      </c>
      <c r="O788">
        <v>1.2</v>
      </c>
      <c r="P788">
        <v>0</v>
      </c>
      <c r="Q788">
        <v>0</v>
      </c>
      <c r="R788">
        <v>0</v>
      </c>
      <c r="S788">
        <v>1</v>
      </c>
      <c r="T788">
        <v>21</v>
      </c>
      <c r="U788">
        <v>0</v>
      </c>
      <c r="V788" s="9">
        <v>21.666699999999999</v>
      </c>
      <c r="W788">
        <v>99</v>
      </c>
      <c r="X788">
        <v>24</v>
      </c>
      <c r="Y788">
        <v>4</v>
      </c>
      <c r="Z788">
        <v>9</v>
      </c>
      <c r="AA788">
        <v>1</v>
      </c>
      <c r="AB788">
        <v>1</v>
      </c>
      <c r="AC788">
        <v>18</v>
      </c>
      <c r="AD788">
        <v>3.7</v>
      </c>
      <c r="AE788">
        <v>7.5</v>
      </c>
      <c r="AF788" s="5">
        <v>0.46899999999999997</v>
      </c>
      <c r="AG788">
        <v>0.30499999999999999</v>
      </c>
      <c r="AH788">
        <v>1.58</v>
      </c>
      <c r="AI788">
        <v>5.61</v>
      </c>
      <c r="AJ788">
        <v>5.46</v>
      </c>
      <c r="AK788">
        <v>-0.5</v>
      </c>
      <c r="AL788">
        <v>-0.1</v>
      </c>
      <c r="AM788">
        <v>18</v>
      </c>
      <c r="AN788">
        <v>21</v>
      </c>
      <c r="AO788">
        <v>4</v>
      </c>
      <c r="AP788">
        <v>17</v>
      </c>
      <c r="AQ788" t="s">
        <v>2912</v>
      </c>
      <c r="AR788">
        <v>27</v>
      </c>
      <c r="AS788" t="s">
        <v>35</v>
      </c>
      <c r="AT788" t="s">
        <v>35</v>
      </c>
      <c r="AU788" s="4">
        <f>HYPERLINK("http://mlb.mlb.com/team/player.jsp?player_id=592233",592233)</f>
        <v>592233</v>
      </c>
      <c r="AV788">
        <v>328</v>
      </c>
      <c r="AW788">
        <v>1328</v>
      </c>
      <c r="AX788">
        <v>12.3</v>
      </c>
    </row>
    <row r="789" spans="1:50" x14ac:dyDescent="0.3">
      <c r="A789" s="4">
        <f>HYPERLINK("http://legacy.baseballprospectus.com/p/102052",102052)</f>
        <v>102052</v>
      </c>
      <c r="B789" t="s">
        <v>1666</v>
      </c>
      <c r="C789" t="s">
        <v>353</v>
      </c>
      <c r="D789" s="10">
        <v>33606</v>
      </c>
      <c r="E789" t="s">
        <v>9</v>
      </c>
      <c r="F789" t="s">
        <v>9</v>
      </c>
      <c r="G789">
        <v>70</v>
      </c>
      <c r="H789">
        <v>185</v>
      </c>
      <c r="I789">
        <v>2018</v>
      </c>
      <c r="J789" s="4" t="str">
        <f>HYPERLINK("http://legacy.baseballprospectus.com/fantasy/dc/index.php?tm=TOR","TOR")</f>
        <v>TOR</v>
      </c>
      <c r="K789" t="s">
        <v>95</v>
      </c>
      <c r="L789" t="s">
        <v>34</v>
      </c>
      <c r="M789">
        <v>26</v>
      </c>
      <c r="N789">
        <v>0.9</v>
      </c>
      <c r="O789">
        <v>1.1000000000000001</v>
      </c>
      <c r="P789">
        <v>0</v>
      </c>
      <c r="Q789">
        <v>0</v>
      </c>
      <c r="R789">
        <v>0</v>
      </c>
      <c r="S789">
        <v>0</v>
      </c>
      <c r="T789">
        <v>20</v>
      </c>
      <c r="U789">
        <v>0</v>
      </c>
      <c r="V789" s="9">
        <v>20.666699999999999</v>
      </c>
      <c r="W789">
        <v>92</v>
      </c>
      <c r="X789">
        <v>22</v>
      </c>
      <c r="Y789">
        <v>4</v>
      </c>
      <c r="Z789">
        <v>9</v>
      </c>
      <c r="AA789">
        <v>1</v>
      </c>
      <c r="AB789">
        <v>1</v>
      </c>
      <c r="AC789">
        <v>19</v>
      </c>
      <c r="AD789">
        <v>3.8</v>
      </c>
      <c r="AE789">
        <v>8.1</v>
      </c>
      <c r="AF789" s="5">
        <v>0.48099999999999998</v>
      </c>
      <c r="AG789">
        <v>0.29899999999999999</v>
      </c>
      <c r="AH789">
        <v>1.48</v>
      </c>
      <c r="AI789">
        <v>5.43</v>
      </c>
      <c r="AJ789">
        <v>5.49</v>
      </c>
      <c r="AK789">
        <v>-0.5</v>
      </c>
      <c r="AL789">
        <v>-0.1</v>
      </c>
      <c r="AM789">
        <v>21</v>
      </c>
      <c r="AN789">
        <v>27</v>
      </c>
      <c r="AO789">
        <v>5</v>
      </c>
      <c r="AP789">
        <v>15</v>
      </c>
      <c r="AQ789" t="s">
        <v>2913</v>
      </c>
      <c r="AR789">
        <v>35</v>
      </c>
      <c r="AS789" t="s">
        <v>35</v>
      </c>
      <c r="AT789" t="s">
        <v>35</v>
      </c>
      <c r="AU789" s="4">
        <f>HYPERLINK("http://mlb.mlb.com/team/player.jsp?player_id=594580",594580)</f>
        <v>594580</v>
      </c>
      <c r="AV789">
        <v>338</v>
      </c>
      <c r="AW789">
        <v>1338</v>
      </c>
      <c r="AX789">
        <v>6.7</v>
      </c>
    </row>
    <row r="790" spans="1:50" x14ac:dyDescent="0.3">
      <c r="A790" s="4">
        <f>HYPERLINK("http://legacy.baseballprospectus.com/p/102544",102544)</f>
        <v>102544</v>
      </c>
      <c r="B790" t="s">
        <v>2925</v>
      </c>
      <c r="C790" t="s">
        <v>2926</v>
      </c>
      <c r="D790" s="10">
        <v>33107</v>
      </c>
      <c r="E790" t="s">
        <v>33</v>
      </c>
      <c r="F790" t="s">
        <v>33</v>
      </c>
      <c r="G790">
        <v>73</v>
      </c>
      <c r="H790">
        <v>180</v>
      </c>
      <c r="I790">
        <v>2018</v>
      </c>
      <c r="J790" s="4" t="str">
        <f>HYPERLINK("http://legacy.baseballprospectus.com/fantasy/dc/index.php?tm=MIN","MIN")</f>
        <v>MIN</v>
      </c>
      <c r="K790" t="s">
        <v>95</v>
      </c>
      <c r="L790" t="s">
        <v>34</v>
      </c>
      <c r="M790">
        <v>27</v>
      </c>
      <c r="N790">
        <v>2.2999999999999998</v>
      </c>
      <c r="O790">
        <v>2.7</v>
      </c>
      <c r="P790">
        <v>0</v>
      </c>
      <c r="Q790">
        <v>0</v>
      </c>
      <c r="R790">
        <v>0</v>
      </c>
      <c r="S790">
        <v>1</v>
      </c>
      <c r="T790">
        <v>50</v>
      </c>
      <c r="U790">
        <v>0</v>
      </c>
      <c r="V790" s="9">
        <v>53</v>
      </c>
      <c r="W790">
        <v>239</v>
      </c>
      <c r="X790">
        <v>57</v>
      </c>
      <c r="Y790">
        <v>10</v>
      </c>
      <c r="Z790">
        <v>23</v>
      </c>
      <c r="AA790">
        <v>2</v>
      </c>
      <c r="AB790">
        <v>3</v>
      </c>
      <c r="AC790">
        <v>46</v>
      </c>
      <c r="AD790">
        <v>3.9</v>
      </c>
      <c r="AE790">
        <v>7.8</v>
      </c>
      <c r="AF790" s="5">
        <v>0.438</v>
      </c>
      <c r="AG790">
        <v>0.30499999999999999</v>
      </c>
      <c r="AH790">
        <v>1.54</v>
      </c>
      <c r="AI790">
        <v>5.42</v>
      </c>
      <c r="AJ790">
        <v>5.34</v>
      </c>
      <c r="AK790">
        <v>-0.5</v>
      </c>
      <c r="AL790">
        <v>-0.1</v>
      </c>
      <c r="AM790">
        <v>17</v>
      </c>
      <c r="AN790">
        <v>25</v>
      </c>
      <c r="AO790">
        <v>10</v>
      </c>
      <c r="AP790">
        <v>26</v>
      </c>
      <c r="AQ790" t="s">
        <v>2927</v>
      </c>
      <c r="AR790">
        <v>41</v>
      </c>
      <c r="AS790" t="s">
        <v>35</v>
      </c>
      <c r="AT790" t="s">
        <v>35</v>
      </c>
      <c r="AU790" s="4">
        <f>HYPERLINK("http://mlb.mlb.com/team/player.jsp?player_id=641427",641427)</f>
        <v>641427</v>
      </c>
      <c r="AV790">
        <v>308</v>
      </c>
      <c r="AW790">
        <v>1308</v>
      </c>
      <c r="AX790">
        <v>31.7</v>
      </c>
    </row>
    <row r="791" spans="1:50" x14ac:dyDescent="0.3">
      <c r="A791" s="4">
        <f>HYPERLINK("http://legacy.baseballprospectus.com/p/102546",102546)</f>
        <v>102546</v>
      </c>
      <c r="B791" t="s">
        <v>2043</v>
      </c>
      <c r="C791" t="s">
        <v>606</v>
      </c>
      <c r="D791" s="10">
        <v>33480</v>
      </c>
      <c r="E791" t="s">
        <v>33</v>
      </c>
      <c r="F791" t="s">
        <v>33</v>
      </c>
      <c r="G791">
        <v>76</v>
      </c>
      <c r="H791">
        <v>185</v>
      </c>
      <c r="I791">
        <v>2018</v>
      </c>
      <c r="J791" s="4" t="str">
        <f>HYPERLINK("http://legacy.baseballprospectus.com/fantasy/dc/index.php?tm=ATL","ATL")</f>
        <v>ATL</v>
      </c>
      <c r="K791" t="s">
        <v>100</v>
      </c>
      <c r="L791" t="s">
        <v>34</v>
      </c>
      <c r="M791">
        <v>26</v>
      </c>
      <c r="N791">
        <v>2.8</v>
      </c>
      <c r="O791">
        <v>2.9</v>
      </c>
      <c r="P791">
        <v>0</v>
      </c>
      <c r="Q791">
        <v>0</v>
      </c>
      <c r="R791">
        <v>0</v>
      </c>
      <c r="S791">
        <v>1</v>
      </c>
      <c r="T791">
        <v>57</v>
      </c>
      <c r="U791">
        <v>0</v>
      </c>
      <c r="V791" s="9">
        <v>60.333300000000001</v>
      </c>
      <c r="W791">
        <v>266</v>
      </c>
      <c r="X791">
        <v>64</v>
      </c>
      <c r="Y791">
        <v>10</v>
      </c>
      <c r="Z791">
        <v>23</v>
      </c>
      <c r="AA791">
        <v>3</v>
      </c>
      <c r="AB791">
        <v>2</v>
      </c>
      <c r="AC791">
        <v>50</v>
      </c>
      <c r="AD791">
        <v>3.4</v>
      </c>
      <c r="AE791">
        <v>7.5</v>
      </c>
      <c r="AF791" s="5">
        <v>0.441</v>
      </c>
      <c r="AG791">
        <v>0.30299999999999999</v>
      </c>
      <c r="AH791">
        <v>1.45</v>
      </c>
      <c r="AI791">
        <v>4.95</v>
      </c>
      <c r="AJ791">
        <v>5.15</v>
      </c>
      <c r="AK791">
        <v>-1</v>
      </c>
      <c r="AL791">
        <v>-0.1</v>
      </c>
      <c r="AM791">
        <v>22</v>
      </c>
      <c r="AN791">
        <v>28</v>
      </c>
      <c r="AO791">
        <v>7</v>
      </c>
      <c r="AP791">
        <v>24</v>
      </c>
      <c r="AQ791" t="s">
        <v>2805</v>
      </c>
      <c r="AR791">
        <v>38</v>
      </c>
      <c r="AS791" t="s">
        <v>35</v>
      </c>
      <c r="AT791" t="s">
        <v>35</v>
      </c>
      <c r="AU791" s="4">
        <f>HYPERLINK("http://mlb.mlb.com/team/player.jsp?player_id=641438",641438)</f>
        <v>641438</v>
      </c>
      <c r="AV791">
        <v>1132</v>
      </c>
      <c r="AW791">
        <v>132</v>
      </c>
      <c r="AX791">
        <v>4</v>
      </c>
    </row>
    <row r="792" spans="1:50" x14ac:dyDescent="0.3">
      <c r="A792" s="4">
        <f>HYPERLINK("http://legacy.baseballprospectus.com/p/102659",102659)</f>
        <v>102659</v>
      </c>
      <c r="B792" t="s">
        <v>871</v>
      </c>
      <c r="C792" t="s">
        <v>459</v>
      </c>
      <c r="D792" s="10">
        <v>33656</v>
      </c>
      <c r="E792" t="s">
        <v>33</v>
      </c>
      <c r="F792" t="s">
        <v>33</v>
      </c>
      <c r="G792">
        <v>75</v>
      </c>
      <c r="H792">
        <v>200</v>
      </c>
      <c r="I792">
        <v>2018</v>
      </c>
      <c r="J792" s="4" t="str">
        <f>HYPERLINK("http://legacy.baseballprospectus.com/fantasy/dc/index.php?tm=KCA","KCA")</f>
        <v>KCA</v>
      </c>
      <c r="K792" t="s">
        <v>95</v>
      </c>
      <c r="L792" t="s">
        <v>34</v>
      </c>
      <c r="M792">
        <v>26</v>
      </c>
      <c r="N792">
        <v>1</v>
      </c>
      <c r="O792">
        <v>1.4</v>
      </c>
      <c r="P792">
        <v>0</v>
      </c>
      <c r="Q792">
        <v>0</v>
      </c>
      <c r="R792">
        <v>0</v>
      </c>
      <c r="S792">
        <v>1</v>
      </c>
      <c r="T792">
        <v>24</v>
      </c>
      <c r="U792">
        <v>0</v>
      </c>
      <c r="V792" s="9">
        <v>26</v>
      </c>
      <c r="W792">
        <v>115</v>
      </c>
      <c r="X792">
        <v>29</v>
      </c>
      <c r="Y792">
        <v>4</v>
      </c>
      <c r="Z792">
        <v>11</v>
      </c>
      <c r="AA792">
        <v>1</v>
      </c>
      <c r="AB792">
        <v>1</v>
      </c>
      <c r="AC792">
        <v>18</v>
      </c>
      <c r="AD792">
        <v>3.8</v>
      </c>
      <c r="AE792">
        <v>6.3</v>
      </c>
      <c r="AF792" s="5">
        <v>0.495</v>
      </c>
      <c r="AG792">
        <v>0.29599999999999999</v>
      </c>
      <c r="AH792">
        <v>1.53</v>
      </c>
      <c r="AI792">
        <v>5.74</v>
      </c>
      <c r="AJ792">
        <v>5.66</v>
      </c>
      <c r="AK792">
        <v>-1.1000000000000001</v>
      </c>
      <c r="AL792">
        <v>-0.1</v>
      </c>
      <c r="AM792">
        <v>23</v>
      </c>
      <c r="AN792">
        <v>32</v>
      </c>
      <c r="AO792">
        <v>13</v>
      </c>
      <c r="AP792">
        <v>24</v>
      </c>
      <c r="AQ792" t="s">
        <v>2929</v>
      </c>
      <c r="AR792">
        <v>52</v>
      </c>
      <c r="AS792" t="s">
        <v>35</v>
      </c>
      <c r="AT792" t="s">
        <v>36</v>
      </c>
      <c r="AU792" s="4">
        <f>HYPERLINK("http://mlb.mlb.com/team/player.jsp?player_id=641838",641838)</f>
        <v>641838</v>
      </c>
      <c r="AV792">
        <v>292</v>
      </c>
      <c r="AW792">
        <v>1292</v>
      </c>
      <c r="AX792">
        <v>45</v>
      </c>
    </row>
    <row r="793" spans="1:50" x14ac:dyDescent="0.3">
      <c r="A793" s="4">
        <f>HYPERLINK("http://legacy.baseballprospectus.com/p/102664",102664)</f>
        <v>102664</v>
      </c>
      <c r="B793" t="s">
        <v>1667</v>
      </c>
      <c r="C793" t="s">
        <v>182</v>
      </c>
      <c r="D793" s="10">
        <v>33569</v>
      </c>
      <c r="E793" t="s">
        <v>33</v>
      </c>
      <c r="F793" t="s">
        <v>33</v>
      </c>
      <c r="G793">
        <v>75</v>
      </c>
      <c r="H793">
        <v>195</v>
      </c>
      <c r="I793">
        <v>2018</v>
      </c>
      <c r="J793" s="4" t="str">
        <f>HYPERLINK("http://legacy.baseballprospectus.com/fantasy/dc/index.php?tm=WAS","WAS")</f>
        <v>WAS</v>
      </c>
      <c r="K793" t="s">
        <v>100</v>
      </c>
      <c r="L793" t="s">
        <v>34</v>
      </c>
      <c r="M793">
        <v>26</v>
      </c>
      <c r="N793">
        <v>1.5</v>
      </c>
      <c r="O793">
        <v>1.8</v>
      </c>
      <c r="P793">
        <v>2</v>
      </c>
      <c r="Q793">
        <v>0</v>
      </c>
      <c r="R793">
        <v>0</v>
      </c>
      <c r="S793">
        <v>0</v>
      </c>
      <c r="T793">
        <v>5</v>
      </c>
      <c r="U793">
        <v>5</v>
      </c>
      <c r="V793" s="9">
        <v>25</v>
      </c>
      <c r="W793">
        <v>110</v>
      </c>
      <c r="X793">
        <v>27</v>
      </c>
      <c r="Y793">
        <v>5</v>
      </c>
      <c r="Z793">
        <v>9</v>
      </c>
      <c r="AA793">
        <v>1</v>
      </c>
      <c r="AB793">
        <v>1</v>
      </c>
      <c r="AC793">
        <v>22</v>
      </c>
      <c r="AD793">
        <v>3.3</v>
      </c>
      <c r="AE793">
        <v>7.9</v>
      </c>
      <c r="AF793" s="5">
        <v>0.42699999999999999</v>
      </c>
      <c r="AG793">
        <v>0.29799999999999999</v>
      </c>
      <c r="AH793">
        <v>1.47</v>
      </c>
      <c r="AI793">
        <v>5.13</v>
      </c>
      <c r="AJ793">
        <v>5.54</v>
      </c>
      <c r="AK793">
        <v>-0.7</v>
      </c>
      <c r="AL793">
        <v>-0.1</v>
      </c>
      <c r="AM793">
        <v>11</v>
      </c>
      <c r="AN793">
        <v>12</v>
      </c>
      <c r="AO793">
        <v>3</v>
      </c>
      <c r="AP793">
        <v>16</v>
      </c>
      <c r="AQ793" t="s">
        <v>2930</v>
      </c>
      <c r="AR793">
        <v>20</v>
      </c>
      <c r="AS793" t="s">
        <v>35</v>
      </c>
      <c r="AT793" t="s">
        <v>35</v>
      </c>
      <c r="AU793" s="4">
        <f>HYPERLINK("http://mlb.mlb.com/team/player.jsp?player_id=641851",641851)</f>
        <v>641851</v>
      </c>
      <c r="AV793">
        <v>0</v>
      </c>
      <c r="AW793">
        <v>0</v>
      </c>
      <c r="AX793">
        <v>0</v>
      </c>
    </row>
    <row r="794" spans="1:50" x14ac:dyDescent="0.3">
      <c r="A794" s="4">
        <f>HYPERLINK("http://legacy.baseballprospectus.com/p/102739",102739)</f>
        <v>102739</v>
      </c>
      <c r="B794" t="s">
        <v>1466</v>
      </c>
      <c r="C794" t="s">
        <v>1467</v>
      </c>
      <c r="D794" s="10">
        <v>33599</v>
      </c>
      <c r="E794" t="s">
        <v>33</v>
      </c>
      <c r="F794" t="s">
        <v>33</v>
      </c>
      <c r="G794">
        <v>72</v>
      </c>
      <c r="H794">
        <v>175</v>
      </c>
      <c r="I794">
        <v>2018</v>
      </c>
      <c r="J794" s="4" t="str">
        <f>HYPERLINK("http://legacy.baseballprospectus.com/fantasy/dc/index.php?tm=ARI","ARI")</f>
        <v>ARI</v>
      </c>
      <c r="K794" t="s">
        <v>100</v>
      </c>
      <c r="L794" t="s">
        <v>34</v>
      </c>
      <c r="M794">
        <v>26</v>
      </c>
      <c r="N794">
        <v>1.7</v>
      </c>
      <c r="O794">
        <v>1.7</v>
      </c>
      <c r="P794">
        <v>0</v>
      </c>
      <c r="Q794">
        <v>0</v>
      </c>
      <c r="R794">
        <v>0</v>
      </c>
      <c r="S794">
        <v>1</v>
      </c>
      <c r="T794">
        <v>33</v>
      </c>
      <c r="U794">
        <v>0</v>
      </c>
      <c r="V794" s="9">
        <v>35</v>
      </c>
      <c r="W794">
        <v>153</v>
      </c>
      <c r="X794">
        <v>34</v>
      </c>
      <c r="Y794">
        <v>6</v>
      </c>
      <c r="Z794">
        <v>16</v>
      </c>
      <c r="AA794">
        <v>1</v>
      </c>
      <c r="AB794">
        <v>2</v>
      </c>
      <c r="AC794">
        <v>39</v>
      </c>
      <c r="AD794">
        <v>4.0999999999999996</v>
      </c>
      <c r="AE794">
        <v>10</v>
      </c>
      <c r="AF794" s="5">
        <v>0.43</v>
      </c>
      <c r="AG794">
        <v>0.30099999999999999</v>
      </c>
      <c r="AH794">
        <v>1.42</v>
      </c>
      <c r="AI794">
        <v>4.9000000000000004</v>
      </c>
      <c r="AJ794">
        <v>5.16</v>
      </c>
      <c r="AK794">
        <v>-0.6</v>
      </c>
      <c r="AL794">
        <v>-0.1</v>
      </c>
      <c r="AM794">
        <v>17</v>
      </c>
      <c r="AN794">
        <v>34</v>
      </c>
      <c r="AO794">
        <v>14</v>
      </c>
      <c r="AP794">
        <v>26</v>
      </c>
      <c r="AQ794" t="s">
        <v>3287</v>
      </c>
      <c r="AR794">
        <v>57</v>
      </c>
      <c r="AS794" t="s">
        <v>35</v>
      </c>
      <c r="AT794" t="s">
        <v>35</v>
      </c>
      <c r="AU794" s="4">
        <f>HYPERLINK("http://mlb.mlb.com/team/player.jsp?player_id=642073",642073)</f>
        <v>642073</v>
      </c>
      <c r="AV794">
        <v>1337</v>
      </c>
      <c r="AW794">
        <v>337</v>
      </c>
      <c r="AX794">
        <v>10.7</v>
      </c>
    </row>
    <row r="795" spans="1:50" x14ac:dyDescent="0.3">
      <c r="A795" s="4">
        <f>HYPERLINK("http://legacy.baseballprospectus.com/p/102793",102793)</f>
        <v>102793</v>
      </c>
      <c r="B795" t="s">
        <v>3214</v>
      </c>
      <c r="C795" t="s">
        <v>552</v>
      </c>
      <c r="D795" s="10">
        <v>33684</v>
      </c>
      <c r="E795" t="s">
        <v>33</v>
      </c>
      <c r="F795" t="s">
        <v>33</v>
      </c>
      <c r="G795">
        <v>75</v>
      </c>
      <c r="H795">
        <v>205</v>
      </c>
      <c r="I795">
        <v>2018</v>
      </c>
      <c r="J795" s="4" t="str">
        <f>HYPERLINK("http://legacy.baseballprospectus.com/fantasy/dc/index.php?tm=BAL","BAL")</f>
        <v>BAL</v>
      </c>
      <c r="K795" t="s">
        <v>95</v>
      </c>
      <c r="L795" t="s">
        <v>34</v>
      </c>
      <c r="M795">
        <v>26</v>
      </c>
      <c r="N795">
        <v>0.9</v>
      </c>
      <c r="O795">
        <v>1.2</v>
      </c>
      <c r="P795">
        <v>0</v>
      </c>
      <c r="Q795">
        <v>0</v>
      </c>
      <c r="R795">
        <v>0</v>
      </c>
      <c r="S795">
        <v>1</v>
      </c>
      <c r="T795">
        <v>21</v>
      </c>
      <c r="U795">
        <v>0</v>
      </c>
      <c r="V795" s="9">
        <v>21.666699999999999</v>
      </c>
      <c r="W795">
        <v>98</v>
      </c>
      <c r="X795">
        <v>23</v>
      </c>
      <c r="Y795">
        <v>4</v>
      </c>
      <c r="Z795">
        <v>11</v>
      </c>
      <c r="AA795">
        <v>1</v>
      </c>
      <c r="AB795">
        <v>1</v>
      </c>
      <c r="AC795">
        <v>18</v>
      </c>
      <c r="AD795">
        <v>4.5999999999999996</v>
      </c>
      <c r="AE795">
        <v>7.4</v>
      </c>
      <c r="AF795" s="5">
        <v>0.45700000000000002</v>
      </c>
      <c r="AG795">
        <v>0.29199999999999998</v>
      </c>
      <c r="AH795">
        <v>1.54</v>
      </c>
      <c r="AI795">
        <v>5.78</v>
      </c>
      <c r="AJ795">
        <v>5.62</v>
      </c>
      <c r="AK795">
        <v>-0.8</v>
      </c>
      <c r="AL795">
        <v>-0.1</v>
      </c>
      <c r="AM795">
        <v>14</v>
      </c>
      <c r="AN795">
        <v>22</v>
      </c>
      <c r="AO795">
        <v>11</v>
      </c>
      <c r="AP795">
        <v>23</v>
      </c>
      <c r="AQ795" t="s">
        <v>3215</v>
      </c>
      <c r="AR795">
        <v>38</v>
      </c>
      <c r="AS795" t="s">
        <v>35</v>
      </c>
      <c r="AT795" t="s">
        <v>35</v>
      </c>
      <c r="AU795" s="4">
        <f>HYPERLINK("http://mlb.mlb.com/team/player.jsp?player_id=642231",642231)</f>
        <v>642231</v>
      </c>
      <c r="AV795">
        <v>316</v>
      </c>
      <c r="AW795">
        <v>1316</v>
      </c>
      <c r="AX795">
        <v>20.7</v>
      </c>
    </row>
    <row r="796" spans="1:50" x14ac:dyDescent="0.3">
      <c r="A796" s="4">
        <f>HYPERLINK("http://legacy.baseballprospectus.com/p/102796",102796)</f>
        <v>102796</v>
      </c>
      <c r="B796" t="s">
        <v>2030</v>
      </c>
      <c r="C796" t="s">
        <v>446</v>
      </c>
      <c r="D796" s="10">
        <v>33689</v>
      </c>
      <c r="E796" t="s">
        <v>33</v>
      </c>
      <c r="F796" t="s">
        <v>9</v>
      </c>
      <c r="G796">
        <v>75</v>
      </c>
      <c r="H796">
        <v>205</v>
      </c>
      <c r="I796">
        <v>2018</v>
      </c>
      <c r="J796" s="4" t="str">
        <f>HYPERLINK("http://legacy.baseballprospectus.com/fantasy/dc/index.php?tm=CHN","CHN")</f>
        <v>CHN</v>
      </c>
      <c r="K796" t="s">
        <v>100</v>
      </c>
      <c r="L796" t="s">
        <v>34</v>
      </c>
      <c r="M796">
        <v>26</v>
      </c>
      <c r="N796">
        <v>0.7</v>
      </c>
      <c r="O796">
        <v>0.8</v>
      </c>
      <c r="P796">
        <v>0</v>
      </c>
      <c r="Q796">
        <v>0</v>
      </c>
      <c r="R796">
        <v>0</v>
      </c>
      <c r="S796">
        <v>0</v>
      </c>
      <c r="T796">
        <v>15</v>
      </c>
      <c r="U796">
        <v>0</v>
      </c>
      <c r="V796" s="9">
        <v>15.333299999999999</v>
      </c>
      <c r="W796">
        <v>69</v>
      </c>
      <c r="X796">
        <v>16</v>
      </c>
      <c r="Y796">
        <v>3</v>
      </c>
      <c r="Z796">
        <v>7</v>
      </c>
      <c r="AA796">
        <v>1</v>
      </c>
      <c r="AB796">
        <v>1</v>
      </c>
      <c r="AC796">
        <v>13</v>
      </c>
      <c r="AD796">
        <v>4.2</v>
      </c>
      <c r="AE796">
        <v>7.8</v>
      </c>
      <c r="AF796" s="5">
        <v>0.45</v>
      </c>
      <c r="AG796">
        <v>0.29699999999999999</v>
      </c>
      <c r="AH796">
        <v>1.53</v>
      </c>
      <c r="AI796">
        <v>5.66</v>
      </c>
      <c r="AJ796">
        <v>5.5</v>
      </c>
      <c r="AK796">
        <v>-0.8</v>
      </c>
      <c r="AL796">
        <v>-0.1</v>
      </c>
      <c r="AM796">
        <v>19</v>
      </c>
      <c r="AN796">
        <v>34</v>
      </c>
      <c r="AO796">
        <v>21</v>
      </c>
      <c r="AP796">
        <v>42</v>
      </c>
      <c r="AQ796" t="s">
        <v>3093</v>
      </c>
      <c r="AR796">
        <v>61</v>
      </c>
      <c r="AS796" t="s">
        <v>35</v>
      </c>
      <c r="AT796" t="s">
        <v>35</v>
      </c>
      <c r="AU796" s="4">
        <f>HYPERLINK("http://mlb.mlb.com/team/player.jsp?player_id=642239",642239)</f>
        <v>642239</v>
      </c>
      <c r="AV796">
        <v>1121</v>
      </c>
      <c r="AW796">
        <v>121</v>
      </c>
      <c r="AX796">
        <v>13</v>
      </c>
    </row>
    <row r="797" spans="1:50" x14ac:dyDescent="0.3">
      <c r="A797" s="4">
        <f>HYPERLINK("http://legacy.baseballprospectus.com/p/103391",103391)</f>
        <v>103391</v>
      </c>
      <c r="B797" t="s">
        <v>413</v>
      </c>
      <c r="C797" t="s">
        <v>533</v>
      </c>
      <c r="D797" s="10">
        <v>33122</v>
      </c>
      <c r="E797" t="s">
        <v>9</v>
      </c>
      <c r="F797" t="s">
        <v>9</v>
      </c>
      <c r="G797">
        <v>71</v>
      </c>
      <c r="H797">
        <v>180</v>
      </c>
      <c r="I797">
        <v>2018</v>
      </c>
      <c r="J797" s="4" t="str">
        <f>HYPERLINK("http://legacy.baseballprospectus.com/fantasy/dc/index.php?tm=BAL","BAL")</f>
        <v>BAL</v>
      </c>
      <c r="K797" t="s">
        <v>95</v>
      </c>
      <c r="L797" t="s">
        <v>34</v>
      </c>
      <c r="M797">
        <v>27</v>
      </c>
      <c r="N797">
        <v>2.2000000000000002</v>
      </c>
      <c r="O797">
        <v>3</v>
      </c>
      <c r="P797">
        <v>0</v>
      </c>
      <c r="Q797">
        <v>0</v>
      </c>
      <c r="R797">
        <v>0</v>
      </c>
      <c r="S797">
        <v>1</v>
      </c>
      <c r="T797">
        <v>52</v>
      </c>
      <c r="U797">
        <v>0</v>
      </c>
      <c r="V797" s="9">
        <v>54.666699999999999</v>
      </c>
      <c r="W797">
        <v>245</v>
      </c>
      <c r="X797">
        <v>59</v>
      </c>
      <c r="Y797">
        <v>9</v>
      </c>
      <c r="Z797">
        <v>24</v>
      </c>
      <c r="AA797">
        <v>2</v>
      </c>
      <c r="AB797">
        <v>3</v>
      </c>
      <c r="AC797">
        <v>43</v>
      </c>
      <c r="AD797">
        <v>3.9</v>
      </c>
      <c r="AE797">
        <v>7.1</v>
      </c>
      <c r="AF797" s="5">
        <v>0.495</v>
      </c>
      <c r="AG797">
        <v>0.30099999999999999</v>
      </c>
      <c r="AH797">
        <v>1.53</v>
      </c>
      <c r="AI797">
        <v>5.49</v>
      </c>
      <c r="AJ797">
        <v>5.33</v>
      </c>
      <c r="AK797">
        <v>-0.5</v>
      </c>
      <c r="AL797">
        <v>-0.1</v>
      </c>
      <c r="AM797">
        <v>21</v>
      </c>
      <c r="AN797">
        <v>35</v>
      </c>
      <c r="AO797">
        <v>20</v>
      </c>
      <c r="AP797">
        <v>26</v>
      </c>
      <c r="AQ797" t="s">
        <v>2801</v>
      </c>
      <c r="AR797">
        <v>66</v>
      </c>
      <c r="AS797" t="s">
        <v>35</v>
      </c>
      <c r="AT797" t="s">
        <v>36</v>
      </c>
      <c r="AU797" s="4">
        <f>HYPERLINK("http://mlb.mlb.com/team/player.jsp?player_id=643354",643354)</f>
        <v>643354</v>
      </c>
      <c r="AV797">
        <v>294</v>
      </c>
      <c r="AW797">
        <v>1294</v>
      </c>
      <c r="AX797">
        <v>43.7</v>
      </c>
    </row>
    <row r="798" spans="1:50" x14ac:dyDescent="0.3">
      <c r="A798" s="4">
        <f>HYPERLINK("http://legacy.baseballprospectus.com/p/103771",103771)</f>
        <v>103771</v>
      </c>
      <c r="B798" t="s">
        <v>2938</v>
      </c>
      <c r="C798" t="s">
        <v>2939</v>
      </c>
      <c r="D798" s="10">
        <v>33702</v>
      </c>
      <c r="E798" t="s">
        <v>33</v>
      </c>
      <c r="F798" t="s">
        <v>33</v>
      </c>
      <c r="G798">
        <v>75</v>
      </c>
      <c r="H798">
        <v>195</v>
      </c>
      <c r="I798">
        <v>2018</v>
      </c>
      <c r="J798" s="4" t="str">
        <f>HYPERLINK("http://legacy.baseballprospectus.com/fantasy/dc/index.php?tm=DET","DET")</f>
        <v>DET</v>
      </c>
      <c r="K798" t="s">
        <v>95</v>
      </c>
      <c r="L798" t="s">
        <v>34</v>
      </c>
      <c r="M798">
        <v>26</v>
      </c>
      <c r="N798">
        <v>1.3</v>
      </c>
      <c r="O798">
        <v>2.2999999999999998</v>
      </c>
      <c r="P798">
        <v>2</v>
      </c>
      <c r="Q798">
        <v>0</v>
      </c>
      <c r="R798">
        <v>0</v>
      </c>
      <c r="S798">
        <v>0</v>
      </c>
      <c r="T798">
        <v>5</v>
      </c>
      <c r="U798">
        <v>5</v>
      </c>
      <c r="V798" s="9">
        <v>28.666699999999999</v>
      </c>
      <c r="W798">
        <v>129</v>
      </c>
      <c r="X798">
        <v>33</v>
      </c>
      <c r="Y798">
        <v>7</v>
      </c>
      <c r="Z798">
        <v>10</v>
      </c>
      <c r="AA798">
        <v>1</v>
      </c>
      <c r="AB798">
        <v>1</v>
      </c>
      <c r="AC798">
        <v>22</v>
      </c>
      <c r="AD798">
        <v>3.2</v>
      </c>
      <c r="AE798">
        <v>7</v>
      </c>
      <c r="AF798" s="5">
        <v>0.432</v>
      </c>
      <c r="AG798">
        <v>0.29899999999999999</v>
      </c>
      <c r="AH798">
        <v>1.57</v>
      </c>
      <c r="AI798">
        <v>5.69</v>
      </c>
      <c r="AJ798">
        <v>5.9</v>
      </c>
      <c r="AK798">
        <v>-1.1000000000000001</v>
      </c>
      <c r="AL798">
        <v>-0.1</v>
      </c>
      <c r="AM798">
        <v>20</v>
      </c>
      <c r="AN798">
        <v>30</v>
      </c>
      <c r="AO798">
        <v>17</v>
      </c>
      <c r="AP798">
        <v>38</v>
      </c>
      <c r="AQ798" t="s">
        <v>2940</v>
      </c>
      <c r="AR798">
        <v>57</v>
      </c>
      <c r="AS798" t="s">
        <v>35</v>
      </c>
      <c r="AT798" t="s">
        <v>35</v>
      </c>
      <c r="AU798" s="4">
        <f>HYPERLINK("http://mlb.mlb.com/team/player.jsp?player_id=592499",592499)</f>
        <v>592499</v>
      </c>
      <c r="AV798">
        <v>115</v>
      </c>
      <c r="AW798">
        <v>1115</v>
      </c>
      <c r="AX798">
        <v>10.3</v>
      </c>
    </row>
    <row r="799" spans="1:50" x14ac:dyDescent="0.3">
      <c r="A799" s="4">
        <f>HYPERLINK("http://legacy.baseballprospectus.com/p/103886",103886)</f>
        <v>103886</v>
      </c>
      <c r="B799" t="s">
        <v>3117</v>
      </c>
      <c r="C799" t="s">
        <v>716</v>
      </c>
      <c r="D799" s="10">
        <v>34470</v>
      </c>
      <c r="E799" t="s">
        <v>33</v>
      </c>
      <c r="F799" t="s">
        <v>33</v>
      </c>
      <c r="G799">
        <v>73</v>
      </c>
      <c r="H799">
        <v>180</v>
      </c>
      <c r="I799">
        <v>2018</v>
      </c>
      <c r="J799" s="4" t="str">
        <f>HYPERLINK("http://legacy.baseballprospectus.com/fantasy/dc/index.php?tm=KCA","KCA")</f>
        <v>KCA</v>
      </c>
      <c r="K799" t="s">
        <v>95</v>
      </c>
      <c r="L799" t="s">
        <v>34</v>
      </c>
      <c r="M799">
        <v>24</v>
      </c>
      <c r="N799">
        <v>0.4</v>
      </c>
      <c r="O799">
        <v>0.9</v>
      </c>
      <c r="P799">
        <v>1</v>
      </c>
      <c r="Q799">
        <v>0</v>
      </c>
      <c r="R799">
        <v>0</v>
      </c>
      <c r="S799">
        <v>0</v>
      </c>
      <c r="T799">
        <v>2</v>
      </c>
      <c r="U799">
        <v>2</v>
      </c>
      <c r="V799" s="9">
        <v>10</v>
      </c>
      <c r="W799">
        <v>46</v>
      </c>
      <c r="X799">
        <v>12</v>
      </c>
      <c r="Y799">
        <v>2</v>
      </c>
      <c r="Z799">
        <v>4</v>
      </c>
      <c r="AA799">
        <v>0</v>
      </c>
      <c r="AB799">
        <v>0</v>
      </c>
      <c r="AC799">
        <v>8</v>
      </c>
      <c r="AD799">
        <v>3.9</v>
      </c>
      <c r="AE799">
        <v>7</v>
      </c>
      <c r="AF799" s="5">
        <v>0.41599999999999998</v>
      </c>
      <c r="AG799">
        <v>0.29499999999999998</v>
      </c>
      <c r="AH799">
        <v>1.63</v>
      </c>
      <c r="AI799">
        <v>6.23</v>
      </c>
      <c r="AJ799">
        <v>6.62</v>
      </c>
      <c r="AK799">
        <v>-1.1000000000000001</v>
      </c>
      <c r="AL799">
        <v>-0.1</v>
      </c>
      <c r="AM799">
        <v>9</v>
      </c>
      <c r="AN799">
        <v>11</v>
      </c>
      <c r="AO799">
        <v>2</v>
      </c>
      <c r="AP799">
        <v>11</v>
      </c>
      <c r="AQ799" t="s">
        <v>3118</v>
      </c>
      <c r="AR799">
        <v>15</v>
      </c>
      <c r="AS799" t="s">
        <v>35</v>
      </c>
      <c r="AT799" t="s">
        <v>35</v>
      </c>
      <c r="AU799" s="4">
        <f>HYPERLINK("http://mlb.mlb.com/team/player.jsp?player_id=641571",641571)</f>
        <v>641571</v>
      </c>
      <c r="AV799">
        <v>0</v>
      </c>
      <c r="AW799">
        <v>0</v>
      </c>
      <c r="AX799">
        <v>0</v>
      </c>
    </row>
    <row r="800" spans="1:50" x14ac:dyDescent="0.3">
      <c r="A800" s="4">
        <f>HYPERLINK("http://legacy.baseballprospectus.com/p/102629",102629)</f>
        <v>102629</v>
      </c>
      <c r="B800" t="s">
        <v>1321</v>
      </c>
      <c r="C800" t="s">
        <v>446</v>
      </c>
      <c r="D800" s="10">
        <v>34579</v>
      </c>
      <c r="E800" t="s">
        <v>33</v>
      </c>
      <c r="F800" t="s">
        <v>9</v>
      </c>
      <c r="G800">
        <v>71</v>
      </c>
      <c r="H800">
        <v>190</v>
      </c>
      <c r="I800">
        <v>2018</v>
      </c>
      <c r="J800" s="4" t="str">
        <f>HYPERLINK("http://legacy.baseballprospectus.com/fantasy/dc/index.php?tm=CLE","CLE")</f>
        <v>CLE</v>
      </c>
      <c r="K800" t="s">
        <v>95</v>
      </c>
      <c r="L800" t="s">
        <v>34</v>
      </c>
      <c r="M800">
        <v>23</v>
      </c>
      <c r="N800">
        <v>1.9</v>
      </c>
      <c r="O800">
        <v>2.4</v>
      </c>
      <c r="P800">
        <v>2.2000000000000002</v>
      </c>
      <c r="Q800">
        <v>0</v>
      </c>
      <c r="R800">
        <v>0</v>
      </c>
      <c r="S800">
        <v>0</v>
      </c>
      <c r="T800">
        <v>6.2</v>
      </c>
      <c r="U800">
        <v>6.2</v>
      </c>
      <c r="V800" s="9">
        <v>33.666699999999999</v>
      </c>
      <c r="W800">
        <v>150</v>
      </c>
      <c r="X800">
        <v>37</v>
      </c>
      <c r="Y800">
        <v>6</v>
      </c>
      <c r="Z800">
        <v>14</v>
      </c>
      <c r="AA800" t="s">
        <v>1680</v>
      </c>
      <c r="AB800">
        <v>1</v>
      </c>
      <c r="AC800">
        <v>25</v>
      </c>
      <c r="AD800">
        <v>3.8</v>
      </c>
      <c r="AE800">
        <v>6.8</v>
      </c>
      <c r="AF800" s="5">
        <v>0.49823370575904802</v>
      </c>
      <c r="AG800">
        <v>0.3</v>
      </c>
      <c r="AH800">
        <v>1.52</v>
      </c>
      <c r="AI800">
        <v>5.48</v>
      </c>
      <c r="AJ800">
        <v>5.87</v>
      </c>
      <c r="AK800">
        <v>-0.6</v>
      </c>
      <c r="AL800">
        <v>-0.1</v>
      </c>
      <c r="AM800">
        <v>19</v>
      </c>
      <c r="AN800">
        <v>36</v>
      </c>
      <c r="AO800">
        <v>13</v>
      </c>
      <c r="AP800">
        <v>31</v>
      </c>
      <c r="AQ800" t="s">
        <v>2806</v>
      </c>
      <c r="AR800">
        <v>54</v>
      </c>
      <c r="AS800" t="s">
        <v>36</v>
      </c>
      <c r="AT800" t="s">
        <v>35</v>
      </c>
      <c r="AU800" s="4">
        <f>HYPERLINK("http://mlb.mlb.com/team/player.jsp?player_id=641739",641739)</f>
        <v>641739</v>
      </c>
      <c r="AV800">
        <v>700</v>
      </c>
      <c r="AW800">
        <v>1700</v>
      </c>
      <c r="AX800">
        <v>0</v>
      </c>
    </row>
    <row r="801" spans="1:50" x14ac:dyDescent="0.3">
      <c r="A801" s="4">
        <f>HYPERLINK("http://legacy.baseballprospectus.com/p/102748",102748)</f>
        <v>102748</v>
      </c>
      <c r="B801" t="s">
        <v>637</v>
      </c>
      <c r="C801" t="s">
        <v>509</v>
      </c>
      <c r="D801" s="10">
        <v>33478</v>
      </c>
      <c r="E801" t="s">
        <v>9</v>
      </c>
      <c r="F801" t="s">
        <v>9</v>
      </c>
      <c r="G801">
        <v>75</v>
      </c>
      <c r="H801">
        <v>210</v>
      </c>
      <c r="I801">
        <v>2018</v>
      </c>
      <c r="J801" s="4" t="str">
        <f>HYPERLINK("http://legacy.baseballprospectus.com/fantasy/dc/index.php?tm=ANA","ANA")</f>
        <v>ANA</v>
      </c>
      <c r="K801" t="s">
        <v>95</v>
      </c>
      <c r="L801" t="s">
        <v>34</v>
      </c>
      <c r="M801">
        <v>26</v>
      </c>
      <c r="N801">
        <v>1.7</v>
      </c>
      <c r="O801">
        <v>2.6</v>
      </c>
      <c r="P801">
        <v>2</v>
      </c>
      <c r="Q801">
        <v>0</v>
      </c>
      <c r="R801">
        <v>0</v>
      </c>
      <c r="S801">
        <v>0</v>
      </c>
      <c r="T801">
        <v>6.2</v>
      </c>
      <c r="U801">
        <v>6.2</v>
      </c>
      <c r="V801" s="9">
        <v>34.333300000000001</v>
      </c>
      <c r="W801">
        <v>150</v>
      </c>
      <c r="X801">
        <v>36</v>
      </c>
      <c r="Y801">
        <v>7</v>
      </c>
      <c r="Z801">
        <v>13</v>
      </c>
      <c r="AA801" t="s">
        <v>1680</v>
      </c>
      <c r="AB801">
        <v>1</v>
      </c>
      <c r="AC801">
        <v>28</v>
      </c>
      <c r="AD801">
        <v>3.4</v>
      </c>
      <c r="AE801">
        <v>7.3</v>
      </c>
      <c r="AF801" s="5">
        <v>0.40599361062049799</v>
      </c>
      <c r="AG801">
        <v>0.28199999999999997</v>
      </c>
      <c r="AH801">
        <v>1.43</v>
      </c>
      <c r="AI801">
        <v>5.77</v>
      </c>
      <c r="AJ801">
        <v>6.02</v>
      </c>
      <c r="AK801">
        <v>-1.1000000000000001</v>
      </c>
      <c r="AL801">
        <v>-0.1</v>
      </c>
      <c r="AM801">
        <v>19</v>
      </c>
      <c r="AN801">
        <v>31</v>
      </c>
      <c r="AO801">
        <v>11</v>
      </c>
      <c r="AP801">
        <v>29</v>
      </c>
      <c r="AQ801" t="s">
        <v>3112</v>
      </c>
      <c r="AR801">
        <v>55</v>
      </c>
      <c r="AS801" t="s">
        <v>36</v>
      </c>
      <c r="AT801" t="s">
        <v>35</v>
      </c>
      <c r="AU801" s="4">
        <f>HYPERLINK("http://mlb.mlb.com/team/player.jsp?player_id=642091",642091)</f>
        <v>642091</v>
      </c>
      <c r="AV801">
        <v>713</v>
      </c>
      <c r="AW801">
        <v>1713</v>
      </c>
      <c r="AX801">
        <v>0</v>
      </c>
    </row>
    <row r="802" spans="1:50" x14ac:dyDescent="0.3">
      <c r="A802" s="4">
        <f>HYPERLINK("http://legacy.baseballprospectus.com/p/103164",103164)</f>
        <v>103164</v>
      </c>
      <c r="B802" t="s">
        <v>378</v>
      </c>
      <c r="C802" t="s">
        <v>3094</v>
      </c>
      <c r="D802" s="10">
        <v>34029</v>
      </c>
      <c r="E802" t="s">
        <v>33</v>
      </c>
      <c r="F802" t="s">
        <v>33</v>
      </c>
      <c r="G802">
        <v>73</v>
      </c>
      <c r="H802">
        <v>185</v>
      </c>
      <c r="I802">
        <v>2018</v>
      </c>
      <c r="J802" s="4" t="str">
        <f>HYPERLINK("http://legacy.baseballprospectus.com/fantasy/dc/index.php?tm=NYA","NYA")</f>
        <v>NYA</v>
      </c>
      <c r="K802" t="s">
        <v>100</v>
      </c>
      <c r="L802" t="s">
        <v>34</v>
      </c>
      <c r="M802">
        <v>25</v>
      </c>
      <c r="N802">
        <v>1</v>
      </c>
      <c r="O802">
        <v>0.4</v>
      </c>
      <c r="P802">
        <v>0</v>
      </c>
      <c r="Q802">
        <v>0</v>
      </c>
      <c r="R802">
        <v>0</v>
      </c>
      <c r="S802">
        <v>0</v>
      </c>
      <c r="T802">
        <v>20.7</v>
      </c>
      <c r="U802">
        <v>0</v>
      </c>
      <c r="V802" s="9">
        <v>22</v>
      </c>
      <c r="W802">
        <v>93</v>
      </c>
      <c r="X802">
        <v>22</v>
      </c>
      <c r="Y802">
        <v>4</v>
      </c>
      <c r="Z802">
        <v>9</v>
      </c>
      <c r="AA802" t="s">
        <v>1680</v>
      </c>
      <c r="AB802">
        <v>1</v>
      </c>
      <c r="AC802">
        <v>24</v>
      </c>
      <c r="AD802">
        <v>3.7</v>
      </c>
      <c r="AE802">
        <v>10.1</v>
      </c>
      <c r="AF802" s="5">
        <v>0.40176191926002502</v>
      </c>
      <c r="AG802">
        <v>0.32300000000000001</v>
      </c>
      <c r="AH802">
        <v>1.41</v>
      </c>
      <c r="AI802">
        <v>4.7</v>
      </c>
      <c r="AJ802">
        <v>5.44</v>
      </c>
      <c r="AK802">
        <v>-1.1000000000000001</v>
      </c>
      <c r="AL802">
        <v>-0.1</v>
      </c>
      <c r="AM802">
        <v>8</v>
      </c>
      <c r="AN802">
        <v>11</v>
      </c>
      <c r="AO802">
        <v>4</v>
      </c>
      <c r="AP802">
        <v>14</v>
      </c>
      <c r="AQ802" t="s">
        <v>3095</v>
      </c>
      <c r="AR802">
        <v>20</v>
      </c>
      <c r="AS802" t="s">
        <v>36</v>
      </c>
      <c r="AT802" t="s">
        <v>35</v>
      </c>
      <c r="AU802" s="4">
        <f>HYPERLINK("http://mlb.mlb.com/team/player.jsp?player_id=642667",642667)</f>
        <v>642667</v>
      </c>
      <c r="AV802">
        <v>0</v>
      </c>
      <c r="AW802">
        <v>0</v>
      </c>
      <c r="AX802">
        <v>0</v>
      </c>
    </row>
    <row r="803" spans="1:50" x14ac:dyDescent="0.3">
      <c r="A803" s="4">
        <f>HYPERLINK("http://legacy.baseballprospectus.com/p/103743",103743)</f>
        <v>103743</v>
      </c>
      <c r="B803" t="s">
        <v>1500</v>
      </c>
      <c r="C803" t="s">
        <v>208</v>
      </c>
      <c r="D803" s="10">
        <v>34941</v>
      </c>
      <c r="E803" t="s">
        <v>33</v>
      </c>
      <c r="F803" t="s">
        <v>33</v>
      </c>
      <c r="G803">
        <v>75</v>
      </c>
      <c r="H803">
        <v>220</v>
      </c>
      <c r="I803">
        <v>2018</v>
      </c>
      <c r="J803" s="4" t="str">
        <f>HYPERLINK("http://legacy.baseballprospectus.com/fantasy/dc/index.php?tm=TOR","TOR")</f>
        <v>TOR</v>
      </c>
      <c r="K803" t="s">
        <v>95</v>
      </c>
      <c r="L803" t="s">
        <v>34</v>
      </c>
      <c r="M803">
        <v>22</v>
      </c>
      <c r="N803">
        <v>5.9</v>
      </c>
      <c r="O803">
        <v>8.8000000000000007</v>
      </c>
      <c r="P803">
        <v>8.5</v>
      </c>
      <c r="Q803">
        <v>0</v>
      </c>
      <c r="R803">
        <v>0</v>
      </c>
      <c r="S803">
        <v>0</v>
      </c>
      <c r="T803">
        <v>24</v>
      </c>
      <c r="U803">
        <v>24</v>
      </c>
      <c r="V803" s="9">
        <v>109.66670000000001</v>
      </c>
      <c r="W803">
        <v>489</v>
      </c>
      <c r="X803">
        <v>115</v>
      </c>
      <c r="Y803">
        <v>24</v>
      </c>
      <c r="Z803">
        <v>52</v>
      </c>
      <c r="AA803" t="s">
        <v>1680</v>
      </c>
      <c r="AB803">
        <v>3</v>
      </c>
      <c r="AC803">
        <v>116</v>
      </c>
      <c r="AD803">
        <v>4.2</v>
      </c>
      <c r="AE803">
        <v>9.5</v>
      </c>
      <c r="AF803" s="5">
        <v>0.42225050926208402</v>
      </c>
      <c r="AG803">
        <v>0.308</v>
      </c>
      <c r="AH803">
        <v>1.51</v>
      </c>
      <c r="AI803">
        <v>5.54</v>
      </c>
      <c r="AJ803">
        <v>5.81</v>
      </c>
      <c r="AK803">
        <v>-1.2</v>
      </c>
      <c r="AL803">
        <v>-0.1</v>
      </c>
      <c r="AM803">
        <v>12</v>
      </c>
      <c r="AN803">
        <v>16</v>
      </c>
      <c r="AO803">
        <v>6</v>
      </c>
      <c r="AP803">
        <v>16</v>
      </c>
      <c r="AQ803" t="s">
        <v>2807</v>
      </c>
      <c r="AR803">
        <v>24</v>
      </c>
      <c r="AS803" t="s">
        <v>36</v>
      </c>
      <c r="AT803" t="s">
        <v>35</v>
      </c>
      <c r="AU803" s="4">
        <f>HYPERLINK("http://mlb.mlb.com/team/player.jsp?player_id=656887",656887)</f>
        <v>656887</v>
      </c>
      <c r="AV803">
        <v>207</v>
      </c>
      <c r="AW803">
        <v>1207</v>
      </c>
      <c r="AX803">
        <v>0</v>
      </c>
    </row>
    <row r="804" spans="1:50" x14ac:dyDescent="0.3">
      <c r="A804" s="4">
        <f>HYPERLINK("http://legacy.baseballprospectus.com/p/106049",106049)</f>
        <v>106049</v>
      </c>
      <c r="B804" t="s">
        <v>2063</v>
      </c>
      <c r="C804" t="s">
        <v>2064</v>
      </c>
      <c r="D804" s="10">
        <v>34072</v>
      </c>
      <c r="E804" t="s">
        <v>33</v>
      </c>
      <c r="F804" t="s">
        <v>33</v>
      </c>
      <c r="G804">
        <v>77</v>
      </c>
      <c r="H804">
        <v>225</v>
      </c>
      <c r="I804">
        <v>2018</v>
      </c>
      <c r="J804" s="4" t="str">
        <f>HYPERLINK("http://legacy.baseballprospectus.com/fantasy/dc/index.php?tm=WAS","WAS")</f>
        <v>WAS</v>
      </c>
      <c r="K804" t="s">
        <v>100</v>
      </c>
      <c r="L804" t="s">
        <v>34</v>
      </c>
      <c r="M804">
        <v>25</v>
      </c>
      <c r="N804">
        <v>2.2999999999999998</v>
      </c>
      <c r="O804">
        <v>2.2000000000000002</v>
      </c>
      <c r="P804">
        <v>0</v>
      </c>
      <c r="Q804">
        <v>0</v>
      </c>
      <c r="R804">
        <v>0</v>
      </c>
      <c r="S804">
        <v>1</v>
      </c>
      <c r="T804">
        <v>44</v>
      </c>
      <c r="U804">
        <v>0</v>
      </c>
      <c r="V804" s="9">
        <v>46.666699999999999</v>
      </c>
      <c r="W804">
        <v>204</v>
      </c>
      <c r="X804">
        <v>48</v>
      </c>
      <c r="Y804">
        <v>9</v>
      </c>
      <c r="Z804">
        <v>19</v>
      </c>
      <c r="AA804">
        <v>1</v>
      </c>
      <c r="AB804">
        <v>1</v>
      </c>
      <c r="AC804">
        <v>48</v>
      </c>
      <c r="AD804">
        <v>3.6</v>
      </c>
      <c r="AE804">
        <v>9.3000000000000007</v>
      </c>
      <c r="AF804" s="5">
        <v>0.432</v>
      </c>
      <c r="AG804">
        <v>0.30099999999999999</v>
      </c>
      <c r="AH804">
        <v>1.42</v>
      </c>
      <c r="AI804">
        <v>5.2</v>
      </c>
      <c r="AJ804">
        <v>5.22</v>
      </c>
      <c r="AK804">
        <v>-1.1000000000000001</v>
      </c>
      <c r="AL804">
        <v>-0.1</v>
      </c>
      <c r="AM804">
        <v>22</v>
      </c>
      <c r="AN804">
        <v>38</v>
      </c>
      <c r="AO804">
        <v>32</v>
      </c>
      <c r="AP804">
        <v>46</v>
      </c>
      <c r="AQ804" t="s">
        <v>2685</v>
      </c>
      <c r="AR804">
        <v>83</v>
      </c>
      <c r="AS804" t="s">
        <v>35</v>
      </c>
      <c r="AT804" t="s">
        <v>35</v>
      </c>
      <c r="AU804" s="4">
        <f>HYPERLINK("http://mlb.mlb.com/team/player.jsp?player_id=606983",606983)</f>
        <v>606983</v>
      </c>
      <c r="AV804">
        <v>1327</v>
      </c>
      <c r="AW804">
        <v>327</v>
      </c>
      <c r="AX804">
        <v>19.3</v>
      </c>
    </row>
    <row r="805" spans="1:50" x14ac:dyDescent="0.3">
      <c r="A805" s="4">
        <f>HYPERLINK("http://legacy.baseballprospectus.com/p/104403",104403)</f>
        <v>104403</v>
      </c>
      <c r="B805" t="s">
        <v>1997</v>
      </c>
      <c r="C805" t="s">
        <v>119</v>
      </c>
      <c r="D805" s="10">
        <v>34279</v>
      </c>
      <c r="E805" t="s">
        <v>9</v>
      </c>
      <c r="F805" t="s">
        <v>33</v>
      </c>
      <c r="G805">
        <v>76</v>
      </c>
      <c r="H805">
        <v>210</v>
      </c>
      <c r="I805">
        <v>2018</v>
      </c>
      <c r="J805" s="4" t="str">
        <f>HYPERLINK("http://legacy.baseballprospectus.com/fantasy/dc/index.php?tm=PHI","PHI")</f>
        <v>PHI</v>
      </c>
      <c r="K805" t="s">
        <v>100</v>
      </c>
      <c r="L805" t="s">
        <v>34</v>
      </c>
      <c r="M805">
        <v>24</v>
      </c>
      <c r="N805">
        <v>0.5</v>
      </c>
      <c r="O805">
        <v>0.8</v>
      </c>
      <c r="P805">
        <v>0.6</v>
      </c>
      <c r="Q805">
        <v>0</v>
      </c>
      <c r="R805">
        <v>0</v>
      </c>
      <c r="S805">
        <v>0</v>
      </c>
      <c r="T805">
        <v>2</v>
      </c>
      <c r="U805">
        <v>2</v>
      </c>
      <c r="V805" s="9">
        <v>10</v>
      </c>
      <c r="W805">
        <v>42</v>
      </c>
      <c r="X805">
        <v>11</v>
      </c>
      <c r="Y805">
        <v>3</v>
      </c>
      <c r="Z805">
        <v>3</v>
      </c>
      <c r="AA805" t="s">
        <v>1680</v>
      </c>
      <c r="AB805">
        <v>0</v>
      </c>
      <c r="AC805">
        <v>10</v>
      </c>
      <c r="AD805">
        <v>3</v>
      </c>
      <c r="AE805">
        <v>9.1999999999999993</v>
      </c>
      <c r="AF805" s="5">
        <v>0.35657545924186701</v>
      </c>
      <c r="AG805">
        <v>0.307</v>
      </c>
      <c r="AH805">
        <v>1.41</v>
      </c>
      <c r="AI805">
        <v>6.02</v>
      </c>
      <c r="AJ805">
        <v>6.73</v>
      </c>
      <c r="AK805">
        <v>-1.2</v>
      </c>
      <c r="AL805">
        <v>-0.1</v>
      </c>
      <c r="AM805">
        <v>9</v>
      </c>
      <c r="AN805">
        <v>13</v>
      </c>
      <c r="AO805">
        <v>5</v>
      </c>
      <c r="AP805">
        <v>12</v>
      </c>
      <c r="AQ805" t="s">
        <v>3100</v>
      </c>
      <c r="AR805">
        <v>20</v>
      </c>
      <c r="AS805" t="s">
        <v>36</v>
      </c>
      <c r="AT805" t="s">
        <v>35</v>
      </c>
      <c r="AU805" s="4">
        <f>HYPERLINK("http://mlb.mlb.com/team/player.jsp?player_id=650810",650810)</f>
        <v>650810</v>
      </c>
      <c r="AV805">
        <v>1194</v>
      </c>
      <c r="AW805">
        <v>194</v>
      </c>
      <c r="AX805">
        <v>0</v>
      </c>
    </row>
    <row r="806" spans="1:50" x14ac:dyDescent="0.3">
      <c r="A806" s="4">
        <f>HYPERLINK("http://legacy.baseballprospectus.com/p/105736",105736)</f>
        <v>105736</v>
      </c>
      <c r="B806" t="s">
        <v>1645</v>
      </c>
      <c r="C806" t="s">
        <v>391</v>
      </c>
      <c r="D806" s="10">
        <v>34102</v>
      </c>
      <c r="E806" t="s">
        <v>33</v>
      </c>
      <c r="F806" t="s">
        <v>33</v>
      </c>
      <c r="G806">
        <v>76</v>
      </c>
      <c r="H806">
        <v>200</v>
      </c>
      <c r="I806">
        <v>2018</v>
      </c>
      <c r="J806" s="4" t="str">
        <f>HYPERLINK("http://legacy.baseballprospectus.com/fantasy/dc/index.php?tm=ARI","ARI")</f>
        <v>ARI</v>
      </c>
      <c r="K806" t="s">
        <v>100</v>
      </c>
      <c r="L806" t="s">
        <v>34</v>
      </c>
      <c r="M806">
        <v>25</v>
      </c>
      <c r="N806">
        <v>7.1</v>
      </c>
      <c r="O806">
        <v>7.8</v>
      </c>
      <c r="P806">
        <v>9.6999999999999993</v>
      </c>
      <c r="Q806">
        <v>0</v>
      </c>
      <c r="R806">
        <v>0</v>
      </c>
      <c r="S806">
        <v>0</v>
      </c>
      <c r="T806">
        <v>22.3</v>
      </c>
      <c r="U806">
        <v>22.3</v>
      </c>
      <c r="V806" s="9">
        <v>120.66670000000001</v>
      </c>
      <c r="W806">
        <v>503</v>
      </c>
      <c r="X806">
        <v>117</v>
      </c>
      <c r="Y806">
        <v>25</v>
      </c>
      <c r="Z806">
        <v>42</v>
      </c>
      <c r="AA806" t="s">
        <v>1680</v>
      </c>
      <c r="AB806">
        <v>4</v>
      </c>
      <c r="AC806">
        <v>131</v>
      </c>
      <c r="AD806">
        <v>3.1</v>
      </c>
      <c r="AE806">
        <v>9.8000000000000007</v>
      </c>
      <c r="AF806" s="5">
        <v>0.38729047775268499</v>
      </c>
      <c r="AG806">
        <v>0.307</v>
      </c>
      <c r="AH806">
        <v>1.32</v>
      </c>
      <c r="AI806">
        <v>4.82</v>
      </c>
      <c r="AJ806">
        <v>5.72</v>
      </c>
      <c r="AK806">
        <v>-1.3</v>
      </c>
      <c r="AL806">
        <v>-0.1</v>
      </c>
      <c r="AM806">
        <v>11</v>
      </c>
      <c r="AN806">
        <v>14</v>
      </c>
      <c r="AO806">
        <v>13</v>
      </c>
      <c r="AP806">
        <v>24</v>
      </c>
      <c r="AQ806" t="s">
        <v>2440</v>
      </c>
      <c r="AR806">
        <v>32</v>
      </c>
      <c r="AS806" t="s">
        <v>36</v>
      </c>
      <c r="AT806" t="s">
        <v>35</v>
      </c>
      <c r="AU806" s="4">
        <f>HYPERLINK("http://mlb.mlb.com/team/player.jsp?player_id=664199",664199)</f>
        <v>664199</v>
      </c>
      <c r="AV806">
        <v>1230</v>
      </c>
      <c r="AW806">
        <v>230</v>
      </c>
      <c r="AX806">
        <v>0</v>
      </c>
    </row>
    <row r="807" spans="1:50" x14ac:dyDescent="0.3">
      <c r="A807" s="4">
        <f>HYPERLINK("http://legacy.baseballprospectus.com/p/105806",105806)</f>
        <v>105806</v>
      </c>
      <c r="B807" t="s">
        <v>3294</v>
      </c>
      <c r="C807" t="s">
        <v>258</v>
      </c>
      <c r="D807" s="10">
        <v>34094</v>
      </c>
      <c r="E807" t="s">
        <v>33</v>
      </c>
      <c r="F807" t="s">
        <v>33</v>
      </c>
      <c r="G807">
        <v>75</v>
      </c>
      <c r="H807">
        <v>200</v>
      </c>
      <c r="I807">
        <v>2018</v>
      </c>
      <c r="J807" s="4" t="str">
        <f>HYPERLINK("http://legacy.baseballprospectus.com/fantasy/dc/index.php?tm=SFN","SFN")</f>
        <v>SFN</v>
      </c>
      <c r="K807" t="s">
        <v>100</v>
      </c>
      <c r="L807" t="s">
        <v>34</v>
      </c>
      <c r="M807">
        <v>25</v>
      </c>
      <c r="N807">
        <v>2.2000000000000002</v>
      </c>
      <c r="O807">
        <v>0.8</v>
      </c>
      <c r="P807">
        <v>0</v>
      </c>
      <c r="Q807">
        <v>0</v>
      </c>
      <c r="R807">
        <v>1.8</v>
      </c>
      <c r="S807">
        <v>0</v>
      </c>
      <c r="T807">
        <v>43.8</v>
      </c>
      <c r="U807">
        <v>0</v>
      </c>
      <c r="V807" s="9">
        <v>46.333300000000001</v>
      </c>
      <c r="W807">
        <v>200</v>
      </c>
      <c r="X807">
        <v>47</v>
      </c>
      <c r="Y807">
        <v>6</v>
      </c>
      <c r="Z807">
        <v>22</v>
      </c>
      <c r="AA807" t="s">
        <v>1680</v>
      </c>
      <c r="AB807">
        <v>2</v>
      </c>
      <c r="AC807">
        <v>49</v>
      </c>
      <c r="AD807">
        <v>4.3</v>
      </c>
      <c r="AE807">
        <v>9.4</v>
      </c>
      <c r="AF807" s="5">
        <v>0.485404372215271</v>
      </c>
      <c r="AG807">
        <v>0.33100000000000002</v>
      </c>
      <c r="AH807">
        <v>1.48</v>
      </c>
      <c r="AI807">
        <v>4.4400000000000004</v>
      </c>
      <c r="AJ807">
        <v>5.41</v>
      </c>
      <c r="AK807">
        <v>-1.4</v>
      </c>
      <c r="AL807">
        <v>-0.1</v>
      </c>
      <c r="AM807">
        <v>14</v>
      </c>
      <c r="AN807">
        <v>16</v>
      </c>
      <c r="AO807">
        <v>8</v>
      </c>
      <c r="AP807">
        <v>18</v>
      </c>
      <c r="AQ807" t="s">
        <v>3295</v>
      </c>
      <c r="AR807">
        <v>24</v>
      </c>
      <c r="AS807" t="s">
        <v>36</v>
      </c>
      <c r="AT807" t="s">
        <v>35</v>
      </c>
      <c r="AU807" s="4">
        <f>HYPERLINK("http://mlb.mlb.com/team/player.jsp?player_id=664202",664202)</f>
        <v>664202</v>
      </c>
      <c r="AV807">
        <v>0</v>
      </c>
      <c r="AW807">
        <v>0</v>
      </c>
      <c r="AX807">
        <v>0</v>
      </c>
    </row>
    <row r="808" spans="1:50" x14ac:dyDescent="0.3">
      <c r="A808" s="4">
        <f>HYPERLINK("http://legacy.baseballprospectus.com/p/105921",105921)</f>
        <v>105921</v>
      </c>
      <c r="B808" t="s">
        <v>1653</v>
      </c>
      <c r="C808" t="s">
        <v>124</v>
      </c>
      <c r="D808" s="10">
        <v>35863</v>
      </c>
      <c r="E808" t="s">
        <v>33</v>
      </c>
      <c r="F808" t="s">
        <v>33</v>
      </c>
      <c r="G808">
        <v>72</v>
      </c>
      <c r="H808">
        <v>160</v>
      </c>
      <c r="I808">
        <v>2018</v>
      </c>
      <c r="J808" s="4" t="str">
        <f>HYPERLINK("http://legacy.baseballprospectus.com/fantasy/dc/index.php?tm=SDN","SDN")</f>
        <v>SDN</v>
      </c>
      <c r="K808" t="s">
        <v>100</v>
      </c>
      <c r="L808" t="s">
        <v>34</v>
      </c>
      <c r="M808">
        <v>20</v>
      </c>
      <c r="N808">
        <v>1.8</v>
      </c>
      <c r="O808">
        <v>2.9</v>
      </c>
      <c r="P808">
        <v>3.4</v>
      </c>
      <c r="Q808">
        <v>0</v>
      </c>
      <c r="R808">
        <v>0</v>
      </c>
      <c r="S808">
        <v>0</v>
      </c>
      <c r="T808">
        <v>8.3000000000000007</v>
      </c>
      <c r="U808">
        <v>8.3000000000000007</v>
      </c>
      <c r="V808" s="9">
        <v>35.333300000000001</v>
      </c>
      <c r="W808">
        <v>150</v>
      </c>
      <c r="X808">
        <v>35</v>
      </c>
      <c r="Y808">
        <v>7</v>
      </c>
      <c r="Z808">
        <v>15</v>
      </c>
      <c r="AA808" t="s">
        <v>1680</v>
      </c>
      <c r="AB808">
        <v>1</v>
      </c>
      <c r="AC808">
        <v>37</v>
      </c>
      <c r="AD808">
        <v>3.9</v>
      </c>
      <c r="AE808">
        <v>9.4</v>
      </c>
      <c r="AF808" s="5">
        <v>0.49740687012672402</v>
      </c>
      <c r="AG808">
        <v>0.31900000000000001</v>
      </c>
      <c r="AH808">
        <v>1.44</v>
      </c>
      <c r="AI808">
        <v>4.99</v>
      </c>
      <c r="AJ808">
        <v>5.79</v>
      </c>
      <c r="AK808">
        <v>-0.6</v>
      </c>
      <c r="AL808">
        <v>-0.1</v>
      </c>
      <c r="AM808">
        <v>1</v>
      </c>
      <c r="AN808">
        <v>2</v>
      </c>
      <c r="AO808">
        <v>1</v>
      </c>
      <c r="AP808">
        <v>5</v>
      </c>
      <c r="AQ808" t="s">
        <v>2686</v>
      </c>
      <c r="AR808">
        <v>5</v>
      </c>
      <c r="AS808" t="s">
        <v>36</v>
      </c>
      <c r="AT808" t="s">
        <v>35</v>
      </c>
      <c r="AU808" s="4">
        <f>HYPERLINK("http://mlb.mlb.com/team/player.jsp?player_id=659262",659262)</f>
        <v>659262</v>
      </c>
      <c r="AV808">
        <v>1205</v>
      </c>
      <c r="AW808">
        <v>205</v>
      </c>
      <c r="AX808">
        <v>0</v>
      </c>
    </row>
    <row r="809" spans="1:50" x14ac:dyDescent="0.3">
      <c r="A809" s="4">
        <f>HYPERLINK("http://legacy.baseballprospectus.com/p/106125",106125)</f>
        <v>106125</v>
      </c>
      <c r="B809" t="s">
        <v>2107</v>
      </c>
      <c r="C809" t="s">
        <v>391</v>
      </c>
      <c r="D809" s="10">
        <v>34576</v>
      </c>
      <c r="E809" t="s">
        <v>9</v>
      </c>
      <c r="F809" t="s">
        <v>9</v>
      </c>
      <c r="G809">
        <v>77</v>
      </c>
      <c r="H809">
        <v>210</v>
      </c>
      <c r="I809">
        <v>2018</v>
      </c>
      <c r="J809" s="4" t="str">
        <f>HYPERLINK("http://legacy.baseballprospectus.com/fantasy/dc/index.php?tm=PIT","PIT")</f>
        <v>PIT</v>
      </c>
      <c r="K809" t="s">
        <v>100</v>
      </c>
      <c r="L809" t="s">
        <v>34</v>
      </c>
      <c r="M809">
        <v>23</v>
      </c>
      <c r="N809">
        <v>3.9</v>
      </c>
      <c r="O809">
        <v>4.4000000000000004</v>
      </c>
      <c r="P809">
        <v>5.3</v>
      </c>
      <c r="Q809">
        <v>0</v>
      </c>
      <c r="R809">
        <v>0.4</v>
      </c>
      <c r="S809">
        <v>0</v>
      </c>
      <c r="T809">
        <v>23.7</v>
      </c>
      <c r="U809">
        <v>12.8</v>
      </c>
      <c r="V809" s="9">
        <v>68.333299999999994</v>
      </c>
      <c r="W809">
        <v>290</v>
      </c>
      <c r="X809">
        <v>69</v>
      </c>
      <c r="Y809">
        <v>14</v>
      </c>
      <c r="Z809">
        <v>29</v>
      </c>
      <c r="AA809" t="s">
        <v>1680</v>
      </c>
      <c r="AB809">
        <v>1</v>
      </c>
      <c r="AC809">
        <v>75</v>
      </c>
      <c r="AD809">
        <v>3.8</v>
      </c>
      <c r="AE809">
        <v>9.9</v>
      </c>
      <c r="AF809" s="5">
        <v>0.43592295050620999</v>
      </c>
      <c r="AG809">
        <v>0.32500000000000001</v>
      </c>
      <c r="AH809">
        <v>1.44</v>
      </c>
      <c r="AI809">
        <v>5.03</v>
      </c>
      <c r="AJ809">
        <v>5.61</v>
      </c>
      <c r="AK809">
        <v>-0.8</v>
      </c>
      <c r="AL809">
        <v>-0.1</v>
      </c>
      <c r="AM809">
        <v>9</v>
      </c>
      <c r="AN809">
        <v>13</v>
      </c>
      <c r="AO809">
        <v>5</v>
      </c>
      <c r="AP809">
        <v>15</v>
      </c>
      <c r="AQ809" t="s">
        <v>3125</v>
      </c>
      <c r="AR809">
        <v>22</v>
      </c>
      <c r="AS809" t="s">
        <v>36</v>
      </c>
      <c r="AT809" t="s">
        <v>35</v>
      </c>
      <c r="AU809" s="4">
        <f>HYPERLINK("http://mlb.mlb.com/team/player.jsp?player_id=621368",621368)</f>
        <v>621368</v>
      </c>
      <c r="AV809">
        <v>0</v>
      </c>
      <c r="AW809">
        <v>0</v>
      </c>
      <c r="AX809">
        <v>0</v>
      </c>
    </row>
    <row r="810" spans="1:50" x14ac:dyDescent="0.3">
      <c r="A810" s="4">
        <f>HYPERLINK("http://legacy.baseballprospectus.com/p/106701",106701)</f>
        <v>106701</v>
      </c>
      <c r="B810" t="s">
        <v>5023</v>
      </c>
      <c r="C810" t="s">
        <v>94</v>
      </c>
      <c r="D810" s="10">
        <v>33939</v>
      </c>
      <c r="E810" t="s">
        <v>9</v>
      </c>
      <c r="F810" t="s">
        <v>9</v>
      </c>
      <c r="G810">
        <v>72</v>
      </c>
      <c r="H810">
        <v>205</v>
      </c>
      <c r="I810">
        <v>2018</v>
      </c>
      <c r="J810" s="4" t="str">
        <f>HYPERLINK("http://legacy.baseballprospectus.com/fantasy/dc/index.php?tm=BOS","BOS")</f>
        <v>BOS</v>
      </c>
      <c r="K810" t="s">
        <v>95</v>
      </c>
      <c r="L810" t="s">
        <v>34</v>
      </c>
      <c r="M810">
        <v>25</v>
      </c>
      <c r="N810">
        <v>1</v>
      </c>
      <c r="O810">
        <v>1.2</v>
      </c>
      <c r="P810">
        <v>0</v>
      </c>
      <c r="Q810">
        <v>0</v>
      </c>
      <c r="R810">
        <v>0</v>
      </c>
      <c r="S810">
        <v>1</v>
      </c>
      <c r="T810">
        <v>22</v>
      </c>
      <c r="U810">
        <v>0</v>
      </c>
      <c r="V810" s="9">
        <v>23.333300000000001</v>
      </c>
      <c r="W810">
        <v>103</v>
      </c>
      <c r="X810">
        <v>25</v>
      </c>
      <c r="Y810">
        <v>5</v>
      </c>
      <c r="Z810">
        <v>9</v>
      </c>
      <c r="AA810">
        <v>1</v>
      </c>
      <c r="AB810">
        <v>1</v>
      </c>
      <c r="AC810">
        <v>24</v>
      </c>
      <c r="AD810">
        <v>3.5</v>
      </c>
      <c r="AE810">
        <v>9.3000000000000007</v>
      </c>
      <c r="AF810" s="5">
        <v>0.377</v>
      </c>
      <c r="AG810">
        <v>0.3</v>
      </c>
      <c r="AH810">
        <v>1.46</v>
      </c>
      <c r="AI810">
        <v>5.5</v>
      </c>
      <c r="AJ810">
        <v>5.81</v>
      </c>
      <c r="AK810">
        <v>-1.3</v>
      </c>
      <c r="AL810">
        <v>-0.1</v>
      </c>
      <c r="AM810">
        <v>14</v>
      </c>
      <c r="AN810">
        <v>19</v>
      </c>
      <c r="AO810">
        <v>22</v>
      </c>
      <c r="AP810">
        <v>34</v>
      </c>
      <c r="AQ810" t="s">
        <v>5024</v>
      </c>
      <c r="AR810">
        <v>43</v>
      </c>
      <c r="AS810" t="s">
        <v>35</v>
      </c>
      <c r="AT810" t="s">
        <v>35</v>
      </c>
      <c r="AU810" s="4">
        <f>HYPERLINK("http://mlb.mlb.com/team/player.jsp?player_id=596074",596074)</f>
        <v>596074</v>
      </c>
      <c r="AV810">
        <v>0</v>
      </c>
      <c r="AW810">
        <v>0</v>
      </c>
      <c r="AX810">
        <v>0</v>
      </c>
    </row>
    <row r="811" spans="1:50" x14ac:dyDescent="0.3">
      <c r="A811" s="4">
        <f>HYPERLINK("http://legacy.baseballprospectus.com/p/106654",106654)</f>
        <v>106654</v>
      </c>
      <c r="B811" t="s">
        <v>568</v>
      </c>
      <c r="C811" t="s">
        <v>379</v>
      </c>
      <c r="D811" s="10">
        <v>35222</v>
      </c>
      <c r="E811" t="s">
        <v>33</v>
      </c>
      <c r="F811" t="s">
        <v>33</v>
      </c>
      <c r="G811">
        <v>75</v>
      </c>
      <c r="H811">
        <v>190</v>
      </c>
      <c r="I811">
        <v>2018</v>
      </c>
      <c r="J811" s="4" t="str">
        <f>HYPERLINK("http://legacy.baseballprospectus.com/fantasy/dc/index.php?tm=HOU","HOU")</f>
        <v>HOU</v>
      </c>
      <c r="K811" t="s">
        <v>95</v>
      </c>
      <c r="L811" t="s">
        <v>34</v>
      </c>
      <c r="M811">
        <v>22</v>
      </c>
      <c r="N811">
        <v>4.7</v>
      </c>
      <c r="O811">
        <v>4.7</v>
      </c>
      <c r="P811">
        <v>5.2</v>
      </c>
      <c r="Q811">
        <v>0</v>
      </c>
      <c r="R811">
        <v>0.8</v>
      </c>
      <c r="S811">
        <v>0</v>
      </c>
      <c r="T811">
        <v>34.5</v>
      </c>
      <c r="U811">
        <v>13.5</v>
      </c>
      <c r="V811" s="9">
        <v>82.333299999999994</v>
      </c>
      <c r="W811">
        <v>370</v>
      </c>
      <c r="X811">
        <v>80</v>
      </c>
      <c r="Y811">
        <v>14</v>
      </c>
      <c r="Z811">
        <v>50</v>
      </c>
      <c r="AA811" t="s">
        <v>1680</v>
      </c>
      <c r="AB811">
        <v>2</v>
      </c>
      <c r="AC811">
        <v>92</v>
      </c>
      <c r="AD811">
        <v>5.4</v>
      </c>
      <c r="AE811">
        <v>10</v>
      </c>
      <c r="AF811" s="5">
        <v>0.45660978555679299</v>
      </c>
      <c r="AG811">
        <v>0.308</v>
      </c>
      <c r="AH811">
        <v>1.57</v>
      </c>
      <c r="AI811">
        <v>5.24</v>
      </c>
      <c r="AJ811">
        <v>5.58</v>
      </c>
      <c r="AK811">
        <v>-1</v>
      </c>
      <c r="AL811">
        <v>-0.1</v>
      </c>
      <c r="AM811">
        <v>8</v>
      </c>
      <c r="AN811">
        <v>8</v>
      </c>
      <c r="AO811">
        <v>2</v>
      </c>
      <c r="AP811">
        <v>8</v>
      </c>
      <c r="AQ811" t="s">
        <v>3431</v>
      </c>
      <c r="AR811">
        <v>10</v>
      </c>
      <c r="AS811" t="s">
        <v>36</v>
      </c>
      <c r="AT811" t="s">
        <v>35</v>
      </c>
      <c r="AU811" s="4">
        <f>HYPERLINK("http://mlb.mlb.com/team/player.jsp?player_id=660431",660431)</f>
        <v>660431</v>
      </c>
      <c r="AV811">
        <v>0</v>
      </c>
      <c r="AW811">
        <v>0</v>
      </c>
      <c r="AX811">
        <v>0</v>
      </c>
    </row>
    <row r="812" spans="1:50" x14ac:dyDescent="0.3">
      <c r="A812" s="4">
        <f>HYPERLINK("http://legacy.baseballprospectus.com/p/107792",107792)</f>
        <v>107792</v>
      </c>
      <c r="B812" t="s">
        <v>3302</v>
      </c>
      <c r="C812" t="s">
        <v>659</v>
      </c>
      <c r="D812" s="10">
        <v>34039</v>
      </c>
      <c r="E812" t="s">
        <v>33</v>
      </c>
      <c r="F812" t="s">
        <v>33</v>
      </c>
      <c r="G812">
        <v>74</v>
      </c>
      <c r="H812">
        <v>195</v>
      </c>
      <c r="I812">
        <v>2018</v>
      </c>
      <c r="J812" s="4" t="str">
        <f>HYPERLINK("http://legacy.baseballprospectus.com/fantasy/dc/index.php?tm=SEA","SEA")</f>
        <v>SEA</v>
      </c>
      <c r="K812" t="s">
        <v>95</v>
      </c>
      <c r="L812" t="s">
        <v>34</v>
      </c>
      <c r="M812">
        <v>25</v>
      </c>
      <c r="N812">
        <v>2.8</v>
      </c>
      <c r="O812">
        <v>1.9</v>
      </c>
      <c r="P812">
        <v>1.5</v>
      </c>
      <c r="Q812">
        <v>0</v>
      </c>
      <c r="R812">
        <v>1.5</v>
      </c>
      <c r="S812">
        <v>0</v>
      </c>
      <c r="T812">
        <v>41.9</v>
      </c>
      <c r="U812">
        <v>3.7</v>
      </c>
      <c r="V812" s="9">
        <v>57.333300000000001</v>
      </c>
      <c r="W812">
        <v>246</v>
      </c>
      <c r="X812">
        <v>56</v>
      </c>
      <c r="Y812">
        <v>13</v>
      </c>
      <c r="Z812">
        <v>21</v>
      </c>
      <c r="AA812" t="s">
        <v>1680</v>
      </c>
      <c r="AB812">
        <v>2</v>
      </c>
      <c r="AC812">
        <v>65</v>
      </c>
      <c r="AD812">
        <v>3.4</v>
      </c>
      <c r="AE812">
        <v>10.3</v>
      </c>
      <c r="AF812" s="5">
        <v>0.40778508782386702</v>
      </c>
      <c r="AG812">
        <v>0.3</v>
      </c>
      <c r="AH812">
        <v>1.35</v>
      </c>
      <c r="AI812">
        <v>5.08</v>
      </c>
      <c r="AJ812">
        <v>5.42</v>
      </c>
      <c r="AK812">
        <v>-0.6</v>
      </c>
      <c r="AL812">
        <v>-0.1</v>
      </c>
      <c r="AM812">
        <v>14</v>
      </c>
      <c r="AN812">
        <v>17</v>
      </c>
      <c r="AO812">
        <v>4</v>
      </c>
      <c r="AP812">
        <v>17</v>
      </c>
      <c r="AQ812" t="s">
        <v>3303</v>
      </c>
      <c r="AR812">
        <v>23</v>
      </c>
      <c r="AS812" t="s">
        <v>36</v>
      </c>
      <c r="AT812" t="s">
        <v>35</v>
      </c>
      <c r="AU812" s="4">
        <f>HYPERLINK("http://mlb.mlb.com/team/player.jsp?player_id=670036",670036)</f>
        <v>670036</v>
      </c>
      <c r="AV812">
        <v>0</v>
      </c>
      <c r="AW812">
        <v>0</v>
      </c>
      <c r="AX812">
        <v>0</v>
      </c>
    </row>
    <row r="813" spans="1:50" x14ac:dyDescent="0.3">
      <c r="A813" s="4">
        <f>HYPERLINK("http://legacy.baseballprospectus.com/p/108886",108886)</f>
        <v>108886</v>
      </c>
      <c r="B813" t="s">
        <v>2609</v>
      </c>
      <c r="C813" t="s">
        <v>1305</v>
      </c>
      <c r="D813" s="10">
        <v>34914</v>
      </c>
      <c r="E813" t="s">
        <v>33</v>
      </c>
      <c r="F813" t="s">
        <v>33</v>
      </c>
      <c r="G813">
        <v>74</v>
      </c>
      <c r="H813">
        <v>191</v>
      </c>
      <c r="I813">
        <v>2018</v>
      </c>
      <c r="J813" s="4" t="str">
        <f>HYPERLINK("http://legacy.baseballprospectus.com/fantasy/dc/index.php?tm=MIA","MIA")</f>
        <v>MIA</v>
      </c>
      <c r="K813" t="s">
        <v>100</v>
      </c>
      <c r="L813" t="s">
        <v>34</v>
      </c>
      <c r="M813">
        <v>22</v>
      </c>
      <c r="N813">
        <v>6.1</v>
      </c>
      <c r="O813">
        <v>6.6</v>
      </c>
      <c r="P813">
        <v>7.6</v>
      </c>
      <c r="Q813">
        <v>0</v>
      </c>
      <c r="R813">
        <v>0</v>
      </c>
      <c r="S813">
        <v>0</v>
      </c>
      <c r="T813">
        <v>19.2</v>
      </c>
      <c r="U813">
        <v>19.2</v>
      </c>
      <c r="V813" s="9">
        <v>101</v>
      </c>
      <c r="W813">
        <v>425</v>
      </c>
      <c r="X813">
        <v>102</v>
      </c>
      <c r="Y813">
        <v>22</v>
      </c>
      <c r="Z813">
        <v>37</v>
      </c>
      <c r="AA813" t="s">
        <v>1680</v>
      </c>
      <c r="AB813">
        <v>3</v>
      </c>
      <c r="AC813">
        <v>104</v>
      </c>
      <c r="AD813">
        <v>3.3</v>
      </c>
      <c r="AE813">
        <v>9.3000000000000007</v>
      </c>
      <c r="AF813" s="5">
        <v>0.43987742066383301</v>
      </c>
      <c r="AG813">
        <v>0.311</v>
      </c>
      <c r="AH813">
        <v>1.38</v>
      </c>
      <c r="AI813">
        <v>5.17</v>
      </c>
      <c r="AJ813">
        <v>5.74</v>
      </c>
      <c r="AK813">
        <v>-1.3</v>
      </c>
      <c r="AL813">
        <v>-0.1</v>
      </c>
      <c r="AM813">
        <v>12</v>
      </c>
      <c r="AN813">
        <v>24</v>
      </c>
      <c r="AO813">
        <v>6</v>
      </c>
      <c r="AP813">
        <v>17</v>
      </c>
      <c r="AQ813" t="s">
        <v>2610</v>
      </c>
      <c r="AR813">
        <v>35</v>
      </c>
      <c r="AS813" t="s">
        <v>36</v>
      </c>
      <c r="AT813" t="s">
        <v>35</v>
      </c>
      <c r="AU813" s="4">
        <f>HYPERLINK("http://mlb.mlb.com/team/player.jsp?player_id=668678",668678)</f>
        <v>668678</v>
      </c>
      <c r="AV813">
        <v>1226</v>
      </c>
      <c r="AW813">
        <v>226</v>
      </c>
      <c r="AX813">
        <v>0</v>
      </c>
    </row>
    <row r="814" spans="1:50" x14ac:dyDescent="0.3">
      <c r="A814" s="4">
        <f>HYPERLINK("http://legacy.baseballprospectus.com/p/108957",108957)</f>
        <v>108957</v>
      </c>
      <c r="B814" t="s">
        <v>2111</v>
      </c>
      <c r="C814" t="s">
        <v>247</v>
      </c>
      <c r="D814" s="10">
        <v>34853</v>
      </c>
      <c r="E814" t="s">
        <v>33</v>
      </c>
      <c r="F814" t="s">
        <v>9</v>
      </c>
      <c r="G814">
        <v>75</v>
      </c>
      <c r="H814">
        <v>205</v>
      </c>
      <c r="I814">
        <v>2018</v>
      </c>
      <c r="J814" s="4" t="str">
        <f>HYPERLINK("http://legacy.baseballprospectus.com/fantasy/dc/index.php?tm=SDN","SDN")</f>
        <v>SDN</v>
      </c>
      <c r="K814" t="s">
        <v>100</v>
      </c>
      <c r="L814" t="s">
        <v>34</v>
      </c>
      <c r="M814">
        <v>23</v>
      </c>
      <c r="N814">
        <v>4.7</v>
      </c>
      <c r="O814">
        <v>7</v>
      </c>
      <c r="P814">
        <v>7.8</v>
      </c>
      <c r="Q814">
        <v>0</v>
      </c>
      <c r="R814">
        <v>0</v>
      </c>
      <c r="S814">
        <v>0</v>
      </c>
      <c r="T814">
        <v>18.7</v>
      </c>
      <c r="U814">
        <v>18.7</v>
      </c>
      <c r="V814" s="9">
        <v>90.666700000000006</v>
      </c>
      <c r="W814">
        <v>380</v>
      </c>
      <c r="X814">
        <v>88</v>
      </c>
      <c r="Y814">
        <v>19</v>
      </c>
      <c r="Z814">
        <v>36</v>
      </c>
      <c r="AA814" t="s">
        <v>1680</v>
      </c>
      <c r="AB814">
        <v>2</v>
      </c>
      <c r="AC814">
        <v>103</v>
      </c>
      <c r="AD814">
        <v>3.6</v>
      </c>
      <c r="AE814">
        <v>10.199999999999999</v>
      </c>
      <c r="AF814" s="5">
        <v>0.40585100650787298</v>
      </c>
      <c r="AG814">
        <v>0.312</v>
      </c>
      <c r="AH814">
        <v>1.37</v>
      </c>
      <c r="AI814">
        <v>4.95</v>
      </c>
      <c r="AJ814">
        <v>5.75</v>
      </c>
      <c r="AK814">
        <v>-1.2</v>
      </c>
      <c r="AL814">
        <v>-0.1</v>
      </c>
      <c r="AM814">
        <v>5</v>
      </c>
      <c r="AN814">
        <v>9</v>
      </c>
      <c r="AO814">
        <v>7</v>
      </c>
      <c r="AP814">
        <v>17</v>
      </c>
      <c r="AQ814" t="s">
        <v>2979</v>
      </c>
      <c r="AR814">
        <v>19</v>
      </c>
      <c r="AS814" t="s">
        <v>36</v>
      </c>
      <c r="AT814" t="s">
        <v>35</v>
      </c>
      <c r="AU814" s="4">
        <f>HYPERLINK("http://mlb.mlb.com/team/player.jsp?player_id=641778",641778)</f>
        <v>641778</v>
      </c>
      <c r="AV814">
        <v>1207</v>
      </c>
      <c r="AW814">
        <v>207</v>
      </c>
      <c r="AX814">
        <v>0</v>
      </c>
    </row>
    <row r="815" spans="1:50" x14ac:dyDescent="0.3">
      <c r="A815" s="4">
        <f>HYPERLINK("http://legacy.baseballprospectus.com/p/109116",109116)</f>
        <v>109116</v>
      </c>
      <c r="B815" t="s">
        <v>2079</v>
      </c>
      <c r="C815" t="s">
        <v>1175</v>
      </c>
      <c r="D815" s="10">
        <v>34912</v>
      </c>
      <c r="E815" t="s">
        <v>33</v>
      </c>
      <c r="F815" t="s">
        <v>33</v>
      </c>
      <c r="G815">
        <v>79</v>
      </c>
      <c r="H815">
        <v>225</v>
      </c>
      <c r="I815">
        <v>2018</v>
      </c>
      <c r="J815" s="4" t="str">
        <f>HYPERLINK("http://legacy.baseballprospectus.com/fantasy/dc/index.php?tm=TOR","TOR")</f>
        <v>TOR</v>
      </c>
      <c r="K815" t="s">
        <v>95</v>
      </c>
      <c r="L815" t="s">
        <v>34</v>
      </c>
      <c r="M815">
        <v>22</v>
      </c>
      <c r="N815">
        <v>2.8</v>
      </c>
      <c r="O815">
        <v>4.3</v>
      </c>
      <c r="P815">
        <v>4.3</v>
      </c>
      <c r="Q815">
        <v>0</v>
      </c>
      <c r="R815">
        <v>0</v>
      </c>
      <c r="S815">
        <v>0</v>
      </c>
      <c r="T815">
        <v>12.1</v>
      </c>
      <c r="U815">
        <v>12.1</v>
      </c>
      <c r="V815" s="9">
        <v>51.333300000000001</v>
      </c>
      <c r="W815">
        <v>232</v>
      </c>
      <c r="X815">
        <v>58</v>
      </c>
      <c r="Y815">
        <v>10</v>
      </c>
      <c r="Z815">
        <v>21</v>
      </c>
      <c r="AA815" t="s">
        <v>1680</v>
      </c>
      <c r="AB815">
        <v>3</v>
      </c>
      <c r="AC815">
        <v>45</v>
      </c>
      <c r="AD815">
        <v>3.7</v>
      </c>
      <c r="AE815">
        <v>8</v>
      </c>
      <c r="AF815" s="5">
        <v>0.53415811061859098</v>
      </c>
      <c r="AG815">
        <v>0.315</v>
      </c>
      <c r="AH815">
        <v>1.55</v>
      </c>
      <c r="AI815">
        <v>5.54</v>
      </c>
      <c r="AJ815">
        <v>5.81</v>
      </c>
      <c r="AK815">
        <v>-0.6</v>
      </c>
      <c r="AL815">
        <v>-0.1</v>
      </c>
      <c r="AM815">
        <v>7</v>
      </c>
      <c r="AN815">
        <v>9</v>
      </c>
      <c r="AO815">
        <v>2</v>
      </c>
      <c r="AP815">
        <v>12</v>
      </c>
      <c r="AQ815" t="s">
        <v>2826</v>
      </c>
      <c r="AR815">
        <v>13</v>
      </c>
      <c r="AS815" t="s">
        <v>36</v>
      </c>
      <c r="AT815" t="s">
        <v>35</v>
      </c>
      <c r="AU815" s="4">
        <f>HYPERLINK("http://mlb.mlb.com/team/player.jsp?player_id=643615",643615)</f>
        <v>643615</v>
      </c>
      <c r="AV815">
        <v>0</v>
      </c>
      <c r="AW815">
        <v>0</v>
      </c>
      <c r="AX815">
        <v>0</v>
      </c>
    </row>
    <row r="816" spans="1:50" x14ac:dyDescent="0.3">
      <c r="A816" s="4">
        <f>HYPERLINK("http://legacy.baseballprospectus.com/p/110905",110905)</f>
        <v>110905</v>
      </c>
      <c r="B816" t="s">
        <v>2830</v>
      </c>
      <c r="C816" t="s">
        <v>210</v>
      </c>
      <c r="D816" s="10">
        <v>35311</v>
      </c>
      <c r="E816" t="s">
        <v>33</v>
      </c>
      <c r="F816" t="s">
        <v>33</v>
      </c>
      <c r="G816">
        <v>75</v>
      </c>
      <c r="H816">
        <v>195</v>
      </c>
      <c r="I816">
        <v>2018</v>
      </c>
      <c r="J816" s="4" t="str">
        <f>HYPERLINK("http://legacy.baseballprospectus.com/fantasy/dc/index.php?tm=TBA","TBA")</f>
        <v>TBA</v>
      </c>
      <c r="K816" t="s">
        <v>95</v>
      </c>
      <c r="L816" t="s">
        <v>34</v>
      </c>
      <c r="M816">
        <v>21</v>
      </c>
      <c r="N816">
        <v>1.7</v>
      </c>
      <c r="O816">
        <v>2.1</v>
      </c>
      <c r="P816">
        <v>1.9</v>
      </c>
      <c r="Q816">
        <v>0</v>
      </c>
      <c r="R816">
        <v>0.3</v>
      </c>
      <c r="S816">
        <v>0</v>
      </c>
      <c r="T816">
        <v>12.3</v>
      </c>
      <c r="U816">
        <v>5</v>
      </c>
      <c r="V816" s="9">
        <v>34.666699999999999</v>
      </c>
      <c r="W816">
        <v>150</v>
      </c>
      <c r="X816">
        <v>36</v>
      </c>
      <c r="Y816">
        <v>7</v>
      </c>
      <c r="Z816">
        <v>13</v>
      </c>
      <c r="AA816" t="s">
        <v>1680</v>
      </c>
      <c r="AB816">
        <v>1</v>
      </c>
      <c r="AC816">
        <v>33</v>
      </c>
      <c r="AD816">
        <v>3.4</v>
      </c>
      <c r="AE816">
        <v>8.5</v>
      </c>
      <c r="AF816" s="5">
        <v>0.47738778591156</v>
      </c>
      <c r="AG816">
        <v>0.29799999999999999</v>
      </c>
      <c r="AH816">
        <v>1.41</v>
      </c>
      <c r="AI816">
        <v>5.23</v>
      </c>
      <c r="AJ816">
        <v>5.8</v>
      </c>
      <c r="AK816">
        <v>-0.9</v>
      </c>
      <c r="AL816">
        <v>-0.1</v>
      </c>
      <c r="AM816">
        <v>0</v>
      </c>
      <c r="AN816">
        <v>0</v>
      </c>
      <c r="AO816">
        <v>0</v>
      </c>
      <c r="AP816">
        <v>1</v>
      </c>
      <c r="AQ816" t="s">
        <v>2831</v>
      </c>
      <c r="AR816">
        <v>1</v>
      </c>
      <c r="AS816" t="s">
        <v>36</v>
      </c>
      <c r="AT816" t="s">
        <v>35</v>
      </c>
      <c r="AU816" s="4">
        <f>HYPERLINK("http://mlb.mlb.com/team/player.jsp?player_id=675977",675977)</f>
        <v>675977</v>
      </c>
      <c r="AV816">
        <v>0</v>
      </c>
      <c r="AW816">
        <v>0</v>
      </c>
      <c r="AX816">
        <v>0</v>
      </c>
    </row>
    <row r="817" spans="1:50" x14ac:dyDescent="0.3">
      <c r="A817" s="4">
        <f>HYPERLINK("http://legacy.baseballprospectus.com/p/111112",111112)</f>
        <v>111112</v>
      </c>
      <c r="B817" t="s">
        <v>1364</v>
      </c>
      <c r="C817" t="s">
        <v>3318</v>
      </c>
      <c r="D817" s="10">
        <v>36215</v>
      </c>
      <c r="E817" t="s">
        <v>9</v>
      </c>
      <c r="F817" t="s">
        <v>9</v>
      </c>
      <c r="G817">
        <v>75</v>
      </c>
      <c r="H817">
        <v>180</v>
      </c>
      <c r="I817">
        <v>2018</v>
      </c>
      <c r="J817" s="4" t="str">
        <f>HYPERLINK("http://legacy.baseballprospectus.com/fantasy/dc/index.php?tm=SDN","SDN")</f>
        <v>SDN</v>
      </c>
      <c r="K817" t="s">
        <v>100</v>
      </c>
      <c r="L817" t="s">
        <v>34</v>
      </c>
      <c r="M817">
        <v>19</v>
      </c>
      <c r="N817">
        <v>1.8</v>
      </c>
      <c r="O817">
        <v>3</v>
      </c>
      <c r="P817">
        <v>3.5</v>
      </c>
      <c r="Q817">
        <v>0</v>
      </c>
      <c r="R817">
        <v>0</v>
      </c>
      <c r="S817">
        <v>0</v>
      </c>
      <c r="T817">
        <v>8.6999999999999993</v>
      </c>
      <c r="U817">
        <v>8.6999999999999993</v>
      </c>
      <c r="V817" s="9">
        <v>34.666699999999999</v>
      </c>
      <c r="W817">
        <v>150</v>
      </c>
      <c r="X817">
        <v>33</v>
      </c>
      <c r="Y817">
        <v>7</v>
      </c>
      <c r="Z817">
        <v>19</v>
      </c>
      <c r="AA817" t="s">
        <v>1680</v>
      </c>
      <c r="AB817">
        <v>1</v>
      </c>
      <c r="AC817">
        <v>40</v>
      </c>
      <c r="AD817">
        <v>4.9000000000000004</v>
      </c>
      <c r="AE817">
        <v>10.3</v>
      </c>
      <c r="AF817" s="5">
        <v>0.57794612646102905</v>
      </c>
      <c r="AG817">
        <v>0.32</v>
      </c>
      <c r="AH817">
        <v>1.5</v>
      </c>
      <c r="AI817">
        <v>5.07</v>
      </c>
      <c r="AJ817">
        <v>5.89</v>
      </c>
      <c r="AK817">
        <v>-1</v>
      </c>
      <c r="AL817">
        <v>-0.1</v>
      </c>
      <c r="AM817">
        <v>0</v>
      </c>
      <c r="AN817">
        <v>0</v>
      </c>
      <c r="AO817">
        <v>0</v>
      </c>
      <c r="AP817">
        <v>0</v>
      </c>
      <c r="AQ817" t="s">
        <v>2092</v>
      </c>
      <c r="AR817">
        <v>0</v>
      </c>
      <c r="AS817" t="s">
        <v>36</v>
      </c>
      <c r="AT817" t="s">
        <v>35</v>
      </c>
      <c r="AU817" s="4">
        <f>HYPERLINK("http://mlb.mlb.com/team/player.jsp?player_id=669022",669022)</f>
        <v>669022</v>
      </c>
      <c r="AV817">
        <v>1211</v>
      </c>
      <c r="AW817">
        <v>211</v>
      </c>
      <c r="AX817">
        <v>0</v>
      </c>
    </row>
    <row r="818" spans="1:50" x14ac:dyDescent="0.3">
      <c r="A818" s="4">
        <f>HYPERLINK("http://legacy.baseballprospectus.com/p/111134",111134)</f>
        <v>111134</v>
      </c>
      <c r="B818" t="s">
        <v>3319</v>
      </c>
      <c r="C818" t="s">
        <v>509</v>
      </c>
      <c r="D818" s="10">
        <v>35297</v>
      </c>
      <c r="E818" t="s">
        <v>33</v>
      </c>
      <c r="F818" t="s">
        <v>33</v>
      </c>
      <c r="G818">
        <v>78</v>
      </c>
      <c r="H818">
        <v>245</v>
      </c>
      <c r="I818">
        <v>2018</v>
      </c>
      <c r="J818" s="4" t="str">
        <f>HYPERLINK("http://legacy.baseballprospectus.com/fantasy/dc/index.php?tm=TOR","TOR")</f>
        <v>TOR</v>
      </c>
      <c r="K818" t="s">
        <v>95</v>
      </c>
      <c r="L818" t="s">
        <v>34</v>
      </c>
      <c r="M818">
        <v>21</v>
      </c>
      <c r="N818">
        <v>1.8</v>
      </c>
      <c r="O818">
        <v>3.1</v>
      </c>
      <c r="P818">
        <v>2.9</v>
      </c>
      <c r="Q818">
        <v>0</v>
      </c>
      <c r="R818">
        <v>0</v>
      </c>
      <c r="S818">
        <v>0</v>
      </c>
      <c r="T818">
        <v>9</v>
      </c>
      <c r="U818">
        <v>9</v>
      </c>
      <c r="V818" s="9">
        <v>33.666699999999999</v>
      </c>
      <c r="W818">
        <v>150</v>
      </c>
      <c r="X818">
        <v>34</v>
      </c>
      <c r="Y818">
        <v>9</v>
      </c>
      <c r="Z818">
        <v>15</v>
      </c>
      <c r="AA818" t="s">
        <v>1680</v>
      </c>
      <c r="AB818">
        <v>0</v>
      </c>
      <c r="AC818">
        <v>37</v>
      </c>
      <c r="AD818">
        <v>3.9</v>
      </c>
      <c r="AE818">
        <v>9.8000000000000007</v>
      </c>
      <c r="AF818" s="5">
        <v>0.359803646802902</v>
      </c>
      <c r="AG818">
        <v>0.28699999999999998</v>
      </c>
      <c r="AH818">
        <v>1.45</v>
      </c>
      <c r="AI818">
        <v>5.81</v>
      </c>
      <c r="AJ818">
        <v>6.1</v>
      </c>
      <c r="AK818">
        <v>-1.4</v>
      </c>
      <c r="AL818">
        <v>-0.1</v>
      </c>
      <c r="AM818">
        <v>8</v>
      </c>
      <c r="AN818">
        <v>10</v>
      </c>
      <c r="AO818">
        <v>1</v>
      </c>
      <c r="AP818">
        <v>8</v>
      </c>
      <c r="AQ818" t="s">
        <v>3320</v>
      </c>
      <c r="AR818">
        <v>11</v>
      </c>
      <c r="AS818" t="s">
        <v>36</v>
      </c>
      <c r="AT818" t="s">
        <v>35</v>
      </c>
      <c r="AU818" s="4">
        <f>HYPERLINK("http://mlb.mlb.com/team/player.jsp?player_id=663878",663878)</f>
        <v>663878</v>
      </c>
      <c r="AV818">
        <v>212</v>
      </c>
      <c r="AW818">
        <v>1212</v>
      </c>
      <c r="AX818">
        <v>0</v>
      </c>
    </row>
    <row r="819" spans="1:50" x14ac:dyDescent="0.3">
      <c r="A819" s="4">
        <f>HYPERLINK("http://legacy.baseballprospectus.com/p/111163",111163)</f>
        <v>111163</v>
      </c>
      <c r="B819" t="s">
        <v>923</v>
      </c>
      <c r="C819" t="s">
        <v>638</v>
      </c>
      <c r="D819" s="10">
        <v>35174</v>
      </c>
      <c r="E819" t="s">
        <v>9</v>
      </c>
      <c r="F819" t="s">
        <v>9</v>
      </c>
      <c r="G819">
        <v>75</v>
      </c>
      <c r="H819">
        <v>240</v>
      </c>
      <c r="I819">
        <v>2018</v>
      </c>
      <c r="J819" s="4" t="str">
        <f>HYPERLINK("http://legacy.baseballprospectus.com/fantasy/dc/index.php?tm=WAS","WAS")</f>
        <v>WAS</v>
      </c>
      <c r="K819" t="s">
        <v>100</v>
      </c>
      <c r="L819" t="s">
        <v>34</v>
      </c>
      <c r="M819">
        <v>22</v>
      </c>
      <c r="N819">
        <v>2.2999999999999998</v>
      </c>
      <c r="O819">
        <v>2.7</v>
      </c>
      <c r="P819">
        <v>3.5</v>
      </c>
      <c r="Q819">
        <v>0</v>
      </c>
      <c r="R819">
        <v>0</v>
      </c>
      <c r="S819">
        <v>0</v>
      </c>
      <c r="T819">
        <v>8.8000000000000007</v>
      </c>
      <c r="U819">
        <v>8.8000000000000007</v>
      </c>
      <c r="V819" s="9">
        <v>35.333300000000001</v>
      </c>
      <c r="W819">
        <v>150</v>
      </c>
      <c r="X819">
        <v>36</v>
      </c>
      <c r="Y819">
        <v>8</v>
      </c>
      <c r="Z819">
        <v>15</v>
      </c>
      <c r="AA819" t="s">
        <v>1680</v>
      </c>
      <c r="AB819">
        <v>0</v>
      </c>
      <c r="AC819">
        <v>41</v>
      </c>
      <c r="AD819">
        <v>3.7</v>
      </c>
      <c r="AE819">
        <v>10.4</v>
      </c>
      <c r="AF819" s="5">
        <v>0.36664122343063299</v>
      </c>
      <c r="AG819">
        <v>0.32600000000000001</v>
      </c>
      <c r="AH819">
        <v>1.43</v>
      </c>
      <c r="AI819">
        <v>5.0599999999999996</v>
      </c>
      <c r="AJ819">
        <v>5.79</v>
      </c>
      <c r="AK819">
        <v>-0.6</v>
      </c>
      <c r="AL819">
        <v>-0.1</v>
      </c>
      <c r="AM819">
        <v>12</v>
      </c>
      <c r="AN819">
        <v>13</v>
      </c>
      <c r="AO819">
        <v>3</v>
      </c>
      <c r="AP819">
        <v>13</v>
      </c>
      <c r="AQ819" t="s">
        <v>3239</v>
      </c>
      <c r="AR819">
        <v>16</v>
      </c>
      <c r="AS819" t="s">
        <v>36</v>
      </c>
      <c r="AT819" t="s">
        <v>35</v>
      </c>
      <c r="AU819" s="4">
        <f>HYPERLINK("http://mlb.mlb.com/team/player.jsp?player_id=656913",656913)</f>
        <v>656913</v>
      </c>
      <c r="AV819">
        <v>1180</v>
      </c>
      <c r="AW819">
        <v>180</v>
      </c>
      <c r="AX819">
        <v>0</v>
      </c>
    </row>
    <row r="820" spans="1:50" x14ac:dyDescent="0.3">
      <c r="A820" s="4">
        <f>HYPERLINK("http://legacy.baseballprospectus.com/p/37381",37381)</f>
        <v>37381</v>
      </c>
      <c r="B820" t="s">
        <v>1038</v>
      </c>
      <c r="C820" t="s">
        <v>1039</v>
      </c>
      <c r="D820" s="10">
        <v>29688</v>
      </c>
      <c r="E820" t="s">
        <v>33</v>
      </c>
      <c r="F820" t="s">
        <v>33</v>
      </c>
      <c r="G820">
        <v>75</v>
      </c>
      <c r="H820">
        <v>210</v>
      </c>
      <c r="I820">
        <v>2018</v>
      </c>
      <c r="J820" s="4" t="str">
        <f>HYPERLINK("http://legacy.baseballprospectus.com/fantasy/dc/index.php?tm=SEA","SEA")</f>
        <v>SEA</v>
      </c>
      <c r="K820" t="s">
        <v>95</v>
      </c>
      <c r="L820" t="s">
        <v>34</v>
      </c>
      <c r="M820">
        <v>37</v>
      </c>
      <c r="N820">
        <v>3.1</v>
      </c>
      <c r="O820">
        <v>3.7</v>
      </c>
      <c r="P820">
        <v>4</v>
      </c>
      <c r="Q820">
        <v>0</v>
      </c>
      <c r="R820">
        <v>0</v>
      </c>
      <c r="S820">
        <v>0</v>
      </c>
      <c r="T820">
        <v>10</v>
      </c>
      <c r="U820">
        <v>10</v>
      </c>
      <c r="V820" s="9">
        <v>53</v>
      </c>
      <c r="W820">
        <v>233</v>
      </c>
      <c r="X820">
        <v>57</v>
      </c>
      <c r="Y820">
        <v>10</v>
      </c>
      <c r="Z820">
        <v>20</v>
      </c>
      <c r="AA820">
        <v>1</v>
      </c>
      <c r="AB820">
        <v>3</v>
      </c>
      <c r="AC820">
        <v>37</v>
      </c>
      <c r="AD820">
        <v>3.4</v>
      </c>
      <c r="AE820">
        <v>6.3</v>
      </c>
      <c r="AF820" s="5">
        <v>0.443</v>
      </c>
      <c r="AG820">
        <v>0.29099999999999998</v>
      </c>
      <c r="AH820">
        <v>1.45</v>
      </c>
      <c r="AI820">
        <v>5.3</v>
      </c>
      <c r="AJ820">
        <v>5.78</v>
      </c>
      <c r="AK820">
        <v>-1.4</v>
      </c>
      <c r="AL820">
        <v>-0.2</v>
      </c>
      <c r="AM820">
        <v>8</v>
      </c>
      <c r="AN820">
        <v>35</v>
      </c>
      <c r="AO820">
        <v>28</v>
      </c>
      <c r="AP820">
        <v>15</v>
      </c>
      <c r="AQ820" t="s">
        <v>3138</v>
      </c>
      <c r="AR820">
        <v>85</v>
      </c>
      <c r="AS820" t="s">
        <v>35</v>
      </c>
      <c r="AT820" t="s">
        <v>36</v>
      </c>
      <c r="AU820" s="4">
        <f>HYPERLINK("http://mlb.mlb.com/team/player.jsp?player_id=547874",547874)</f>
        <v>547874</v>
      </c>
      <c r="AV820">
        <v>685</v>
      </c>
      <c r="AW820">
        <v>1685</v>
      </c>
      <c r="AX820">
        <v>31</v>
      </c>
    </row>
    <row r="821" spans="1:50" x14ac:dyDescent="0.3">
      <c r="A821" s="4">
        <f>HYPERLINK("http://legacy.baseballprospectus.com/p/45595",45595)</f>
        <v>45595</v>
      </c>
      <c r="B821" t="s">
        <v>969</v>
      </c>
      <c r="C821" t="s">
        <v>156</v>
      </c>
      <c r="D821" s="10">
        <v>30349</v>
      </c>
      <c r="E821" t="s">
        <v>9</v>
      </c>
      <c r="F821" t="s">
        <v>9</v>
      </c>
      <c r="G821">
        <v>72</v>
      </c>
      <c r="H821">
        <v>215</v>
      </c>
      <c r="I821">
        <v>2018</v>
      </c>
      <c r="J821" s="4" t="str">
        <f>HYPERLINK("http://legacy.baseballprospectus.com/fantasy/dc/index.php?tm=NYN","NYN")</f>
        <v>NYN</v>
      </c>
      <c r="K821" t="s">
        <v>100</v>
      </c>
      <c r="L821" t="s">
        <v>34</v>
      </c>
      <c r="M821">
        <v>35</v>
      </c>
      <c r="N821">
        <v>5.3</v>
      </c>
      <c r="O821">
        <v>7.5</v>
      </c>
      <c r="P821">
        <v>7</v>
      </c>
      <c r="Q821">
        <v>0</v>
      </c>
      <c r="R821">
        <v>0</v>
      </c>
      <c r="S821">
        <v>0</v>
      </c>
      <c r="T821">
        <v>19</v>
      </c>
      <c r="U821">
        <v>19</v>
      </c>
      <c r="V821" s="9">
        <v>100.66670000000001</v>
      </c>
      <c r="W821">
        <v>441</v>
      </c>
      <c r="X821">
        <v>105</v>
      </c>
      <c r="Y821">
        <v>18</v>
      </c>
      <c r="Z821">
        <v>38</v>
      </c>
      <c r="AA821">
        <v>2</v>
      </c>
      <c r="AB821">
        <v>4</v>
      </c>
      <c r="AC821">
        <v>81</v>
      </c>
      <c r="AD821">
        <v>3.4</v>
      </c>
      <c r="AE821">
        <v>7.3</v>
      </c>
      <c r="AF821" s="5">
        <v>0.41799999999999998</v>
      </c>
      <c r="AG821">
        <v>0.29099999999999998</v>
      </c>
      <c r="AH821">
        <v>1.41</v>
      </c>
      <c r="AI821">
        <v>5.04</v>
      </c>
      <c r="AJ821">
        <v>5.41</v>
      </c>
      <c r="AK821">
        <v>-1.5</v>
      </c>
      <c r="AL821">
        <v>-0.2</v>
      </c>
      <c r="AM821">
        <v>11</v>
      </c>
      <c r="AN821">
        <v>35</v>
      </c>
      <c r="AO821">
        <v>22</v>
      </c>
      <c r="AP821">
        <v>14</v>
      </c>
      <c r="AQ821" t="s">
        <v>3026</v>
      </c>
      <c r="AR821">
        <v>84</v>
      </c>
      <c r="AS821" t="s">
        <v>35</v>
      </c>
      <c r="AT821" t="s">
        <v>36</v>
      </c>
      <c r="AU821" s="4">
        <f>HYPERLINK("http://mlb.mlb.com/team/player.jsp?player_id=450306",450306)</f>
        <v>450306</v>
      </c>
      <c r="AV821">
        <v>0</v>
      </c>
      <c r="AW821">
        <v>0</v>
      </c>
      <c r="AX821">
        <v>179.7</v>
      </c>
    </row>
    <row r="822" spans="1:50" x14ac:dyDescent="0.3">
      <c r="A822" s="4">
        <f>HYPERLINK("http://legacy.baseballprospectus.com/p/45612",45612)</f>
        <v>45612</v>
      </c>
      <c r="B822" t="s">
        <v>706</v>
      </c>
      <c r="C822" t="s">
        <v>707</v>
      </c>
      <c r="D822" s="10">
        <v>31535</v>
      </c>
      <c r="E822" t="s">
        <v>33</v>
      </c>
      <c r="F822" t="s">
        <v>33</v>
      </c>
      <c r="G822">
        <v>76</v>
      </c>
      <c r="H822">
        <v>223</v>
      </c>
      <c r="I822">
        <v>2018</v>
      </c>
      <c r="J822" s="4" t="str">
        <f>HYPERLINK("http://legacy.baseballprospectus.com/fantasy/dc/index.php?tm=CIN","CIN")</f>
        <v>CIN</v>
      </c>
      <c r="K822" t="s">
        <v>100</v>
      </c>
      <c r="L822" t="s">
        <v>34</v>
      </c>
      <c r="M822">
        <v>32</v>
      </c>
      <c r="N822">
        <v>8.3000000000000007</v>
      </c>
      <c r="O822">
        <v>11.3</v>
      </c>
      <c r="P822">
        <v>11</v>
      </c>
      <c r="Q822">
        <v>0</v>
      </c>
      <c r="R822">
        <v>0</v>
      </c>
      <c r="S822">
        <v>0</v>
      </c>
      <c r="T822">
        <v>27</v>
      </c>
      <c r="U822">
        <v>27</v>
      </c>
      <c r="V822" s="9">
        <v>162</v>
      </c>
      <c r="W822">
        <v>725</v>
      </c>
      <c r="X822">
        <v>173</v>
      </c>
      <c r="Y822">
        <v>28</v>
      </c>
      <c r="Z822">
        <v>69</v>
      </c>
      <c r="AA822">
        <v>3</v>
      </c>
      <c r="AB822">
        <v>11</v>
      </c>
      <c r="AC822">
        <v>131</v>
      </c>
      <c r="AD822">
        <v>3.8</v>
      </c>
      <c r="AE822">
        <v>7.3</v>
      </c>
      <c r="AF822" s="5">
        <v>0.46899999999999997</v>
      </c>
      <c r="AG822">
        <v>0.29699999999999999</v>
      </c>
      <c r="AH822">
        <v>1.5</v>
      </c>
      <c r="AI822">
        <v>5.28</v>
      </c>
      <c r="AJ822">
        <v>5.37</v>
      </c>
      <c r="AK822">
        <v>-1.8</v>
      </c>
      <c r="AL822">
        <v>-0.2</v>
      </c>
      <c r="AM822">
        <v>14</v>
      </c>
      <c r="AN822">
        <v>47</v>
      </c>
      <c r="AO822">
        <v>24</v>
      </c>
      <c r="AP822">
        <v>19</v>
      </c>
      <c r="AQ822" t="s">
        <v>3139</v>
      </c>
      <c r="AR822">
        <v>88</v>
      </c>
      <c r="AS822" t="s">
        <v>35</v>
      </c>
      <c r="AT822" t="s">
        <v>36</v>
      </c>
      <c r="AU822" s="4">
        <f>HYPERLINK("http://mlb.mlb.com/team/player.jsp?player_id=456701",456701)</f>
        <v>456701</v>
      </c>
      <c r="AV822">
        <v>1059</v>
      </c>
      <c r="AW822">
        <v>59</v>
      </c>
      <c r="AX822">
        <v>91</v>
      </c>
    </row>
    <row r="823" spans="1:50" x14ac:dyDescent="0.3">
      <c r="A823" s="4">
        <f>HYPERLINK("http://legacy.baseballprospectus.com/p/52344",52344)</f>
        <v>52344</v>
      </c>
      <c r="B823" t="s">
        <v>876</v>
      </c>
      <c r="C823" t="s">
        <v>828</v>
      </c>
      <c r="D823" s="10">
        <v>31327</v>
      </c>
      <c r="E823" t="s">
        <v>37</v>
      </c>
      <c r="F823" t="s">
        <v>33</v>
      </c>
      <c r="G823">
        <v>70</v>
      </c>
      <c r="H823">
        <v>190</v>
      </c>
      <c r="I823">
        <v>2018</v>
      </c>
      <c r="J823" s="4" t="str">
        <f>HYPERLINK("http://legacy.baseballprospectus.com/fantasy/dc/index.php?tm=ARI","ARI")</f>
        <v>ARI</v>
      </c>
      <c r="K823" t="s">
        <v>100</v>
      </c>
      <c r="L823" t="s">
        <v>34</v>
      </c>
      <c r="M823">
        <v>32</v>
      </c>
      <c r="N823">
        <v>1.4</v>
      </c>
      <c r="O823">
        <v>2</v>
      </c>
      <c r="P823">
        <v>2</v>
      </c>
      <c r="Q823">
        <v>0</v>
      </c>
      <c r="R823">
        <v>0</v>
      </c>
      <c r="S823">
        <v>0</v>
      </c>
      <c r="T823">
        <v>5</v>
      </c>
      <c r="U823">
        <v>5</v>
      </c>
      <c r="V823" s="9">
        <v>26.666699999999999</v>
      </c>
      <c r="W823">
        <v>118</v>
      </c>
      <c r="X823">
        <v>29</v>
      </c>
      <c r="Y823">
        <v>5</v>
      </c>
      <c r="Z823">
        <v>10</v>
      </c>
      <c r="AA823">
        <v>0</v>
      </c>
      <c r="AB823">
        <v>1</v>
      </c>
      <c r="AC823">
        <v>22</v>
      </c>
      <c r="AD823">
        <v>3.3</v>
      </c>
      <c r="AE823">
        <v>7.5</v>
      </c>
      <c r="AF823" s="5">
        <v>0.437</v>
      </c>
      <c r="AG823">
        <v>0.29699999999999999</v>
      </c>
      <c r="AH823">
        <v>1.46</v>
      </c>
      <c r="AI823">
        <v>5.19</v>
      </c>
      <c r="AJ823">
        <v>5.86</v>
      </c>
      <c r="AK823">
        <v>-1.6</v>
      </c>
      <c r="AL823">
        <v>-0.2</v>
      </c>
      <c r="AM823">
        <v>14</v>
      </c>
      <c r="AN823">
        <v>22</v>
      </c>
      <c r="AO823">
        <v>11</v>
      </c>
      <c r="AP823">
        <v>14</v>
      </c>
      <c r="AQ823" t="s">
        <v>3142</v>
      </c>
      <c r="AR823">
        <v>41</v>
      </c>
      <c r="AS823" t="s">
        <v>35</v>
      </c>
      <c r="AT823" t="s">
        <v>36</v>
      </c>
      <c r="AU823" s="4">
        <f>HYPERLINK("http://mlb.mlb.com/team/player.jsp?player_id=450665",450665)</f>
        <v>450665</v>
      </c>
      <c r="AV823">
        <v>0</v>
      </c>
      <c r="AW823">
        <v>0</v>
      </c>
      <c r="AX823">
        <v>0</v>
      </c>
    </row>
    <row r="824" spans="1:50" x14ac:dyDescent="0.3">
      <c r="A824" s="4">
        <f>HYPERLINK("http://legacy.baseballprospectus.com/p/57163",57163)</f>
        <v>57163</v>
      </c>
      <c r="B824" t="s">
        <v>992</v>
      </c>
      <c r="C824" t="s">
        <v>109</v>
      </c>
      <c r="D824" s="10">
        <v>31555</v>
      </c>
      <c r="E824" t="s">
        <v>33</v>
      </c>
      <c r="F824" t="s">
        <v>33</v>
      </c>
      <c r="G824">
        <v>74</v>
      </c>
      <c r="H824">
        <v>225</v>
      </c>
      <c r="I824">
        <v>2018</v>
      </c>
      <c r="J824" s="4" t="str">
        <f>HYPERLINK("http://legacy.baseballprospectus.com/fantasy/dc/index.php?tm=DET","DET")</f>
        <v>DET</v>
      </c>
      <c r="K824" t="s">
        <v>95</v>
      </c>
      <c r="L824" t="s">
        <v>34</v>
      </c>
      <c r="M824">
        <v>32</v>
      </c>
      <c r="N824">
        <v>7.8</v>
      </c>
      <c r="O824">
        <v>12.2</v>
      </c>
      <c r="P824">
        <v>10</v>
      </c>
      <c r="Q824">
        <v>0</v>
      </c>
      <c r="R824">
        <v>0</v>
      </c>
      <c r="S824">
        <v>0</v>
      </c>
      <c r="T824">
        <v>27</v>
      </c>
      <c r="U824">
        <v>27</v>
      </c>
      <c r="V824" s="9">
        <v>162</v>
      </c>
      <c r="W824">
        <v>722</v>
      </c>
      <c r="X824">
        <v>189</v>
      </c>
      <c r="Y824">
        <v>33</v>
      </c>
      <c r="Z824">
        <v>52</v>
      </c>
      <c r="AA824">
        <v>2</v>
      </c>
      <c r="AB824">
        <v>8</v>
      </c>
      <c r="AC824">
        <v>111</v>
      </c>
      <c r="AD824">
        <v>2.9</v>
      </c>
      <c r="AE824">
        <v>6.2</v>
      </c>
      <c r="AF824" s="5">
        <v>0.40899999999999997</v>
      </c>
      <c r="AG824">
        <v>0.30099999999999999</v>
      </c>
      <c r="AH824">
        <v>1.5</v>
      </c>
      <c r="AI824">
        <v>5.46</v>
      </c>
      <c r="AJ824">
        <v>5.65</v>
      </c>
      <c r="AK824">
        <v>-2.1</v>
      </c>
      <c r="AL824">
        <v>-0.2</v>
      </c>
      <c r="AM824">
        <v>7</v>
      </c>
      <c r="AN824">
        <v>39</v>
      </c>
      <c r="AO824">
        <v>26</v>
      </c>
      <c r="AP824">
        <v>10</v>
      </c>
      <c r="AQ824" t="s">
        <v>2840</v>
      </c>
      <c r="AR824">
        <v>85</v>
      </c>
      <c r="AS824" t="s">
        <v>35</v>
      </c>
      <c r="AT824" t="s">
        <v>36</v>
      </c>
      <c r="AU824" s="4">
        <f>HYPERLINK("http://mlb.mlb.com/team/player.jsp?player_id=519455",519455)</f>
        <v>519455</v>
      </c>
      <c r="AV824">
        <v>22</v>
      </c>
      <c r="AW824">
        <v>1022</v>
      </c>
      <c r="AX824">
        <v>160</v>
      </c>
    </row>
    <row r="825" spans="1:50" x14ac:dyDescent="0.3">
      <c r="A825" s="4">
        <f>HYPERLINK("http://legacy.baseballprospectus.com/p/58984",58984)</f>
        <v>58984</v>
      </c>
      <c r="B825" t="s">
        <v>959</v>
      </c>
      <c r="C825" t="s">
        <v>960</v>
      </c>
      <c r="D825" s="10">
        <v>31569</v>
      </c>
      <c r="E825" t="s">
        <v>33</v>
      </c>
      <c r="F825" t="s">
        <v>33</v>
      </c>
      <c r="G825">
        <v>71</v>
      </c>
      <c r="H825">
        <v>200</v>
      </c>
      <c r="I825">
        <v>2018</v>
      </c>
      <c r="J825" s="4" t="str">
        <f>HYPERLINK("http://legacy.baseballprospectus.com/fantasy/dc/index.php?tm=MIA","MIA")</f>
        <v>MIA</v>
      </c>
      <c r="K825" t="s">
        <v>100</v>
      </c>
      <c r="L825" t="s">
        <v>34</v>
      </c>
      <c r="M825">
        <v>32</v>
      </c>
      <c r="N825">
        <v>2.5</v>
      </c>
      <c r="O825">
        <v>3.1</v>
      </c>
      <c r="P825">
        <v>0</v>
      </c>
      <c r="Q825">
        <v>0</v>
      </c>
      <c r="R825">
        <v>0</v>
      </c>
      <c r="S825">
        <v>4</v>
      </c>
      <c r="T825">
        <v>56</v>
      </c>
      <c r="U825">
        <v>0</v>
      </c>
      <c r="V825" s="9">
        <v>59.666699999999999</v>
      </c>
      <c r="W825">
        <v>268</v>
      </c>
      <c r="X825">
        <v>64</v>
      </c>
      <c r="Y825">
        <v>10</v>
      </c>
      <c r="Z825">
        <v>26</v>
      </c>
      <c r="AA825">
        <v>2</v>
      </c>
      <c r="AB825">
        <v>2</v>
      </c>
      <c r="AC825">
        <v>50</v>
      </c>
      <c r="AD825">
        <v>3.9</v>
      </c>
      <c r="AE825">
        <v>7.5</v>
      </c>
      <c r="AF825" s="5">
        <v>0.41399999999999998</v>
      </c>
      <c r="AG825">
        <v>0.30099999999999999</v>
      </c>
      <c r="AH825">
        <v>1.51</v>
      </c>
      <c r="AI825">
        <v>5.34</v>
      </c>
      <c r="AJ825">
        <v>5.31</v>
      </c>
      <c r="AK825">
        <v>-1.9</v>
      </c>
      <c r="AL825">
        <v>-0.2</v>
      </c>
      <c r="AM825">
        <v>17</v>
      </c>
      <c r="AN825">
        <v>35</v>
      </c>
      <c r="AO825">
        <v>37</v>
      </c>
      <c r="AP825">
        <v>7</v>
      </c>
      <c r="AQ825" t="s">
        <v>3325</v>
      </c>
      <c r="AR825">
        <v>91</v>
      </c>
      <c r="AS825" t="s">
        <v>35</v>
      </c>
      <c r="AT825" t="s">
        <v>36</v>
      </c>
      <c r="AU825" s="4">
        <f>HYPERLINK("http://mlb.mlb.com/team/player.jsp?player_id=547749",547749)</f>
        <v>547749</v>
      </c>
      <c r="AV825">
        <v>1285</v>
      </c>
      <c r="AW825">
        <v>285</v>
      </c>
      <c r="AX825">
        <v>55.3</v>
      </c>
    </row>
    <row r="826" spans="1:50" x14ac:dyDescent="0.3">
      <c r="A826" s="4">
        <f>HYPERLINK("http://legacy.baseballprospectus.com/p/60740",60740)</f>
        <v>60740</v>
      </c>
      <c r="B826" t="s">
        <v>788</v>
      </c>
      <c r="C826" t="s">
        <v>397</v>
      </c>
      <c r="D826" s="10">
        <v>33154</v>
      </c>
      <c r="E826" t="s">
        <v>33</v>
      </c>
      <c r="F826" t="s">
        <v>9</v>
      </c>
      <c r="G826">
        <v>72</v>
      </c>
      <c r="H826">
        <v>190</v>
      </c>
      <c r="I826">
        <v>2018</v>
      </c>
      <c r="J826" s="4" t="str">
        <f>HYPERLINK("http://legacy.baseballprospectus.com/fantasy/dc/index.php?tm=SDN","SDN")</f>
        <v>SDN</v>
      </c>
      <c r="K826" t="s">
        <v>100</v>
      </c>
      <c r="L826" t="s">
        <v>34</v>
      </c>
      <c r="M826">
        <v>27</v>
      </c>
      <c r="N826">
        <v>6.4</v>
      </c>
      <c r="O826">
        <v>9.8000000000000007</v>
      </c>
      <c r="P826">
        <v>9</v>
      </c>
      <c r="Q826">
        <v>0</v>
      </c>
      <c r="R826">
        <v>0</v>
      </c>
      <c r="S826">
        <v>0</v>
      </c>
      <c r="T826">
        <v>23</v>
      </c>
      <c r="U826">
        <v>23</v>
      </c>
      <c r="V826" s="9">
        <v>131</v>
      </c>
      <c r="W826">
        <v>571</v>
      </c>
      <c r="X826">
        <v>135</v>
      </c>
      <c r="Y826">
        <v>24</v>
      </c>
      <c r="Z826">
        <v>50</v>
      </c>
      <c r="AA826">
        <v>1</v>
      </c>
      <c r="AB826">
        <v>4</v>
      </c>
      <c r="AC826">
        <v>120</v>
      </c>
      <c r="AD826">
        <v>3.4</v>
      </c>
      <c r="AE826">
        <v>8.1999999999999993</v>
      </c>
      <c r="AF826" s="5">
        <v>0.44600000000000001</v>
      </c>
      <c r="AG826">
        <v>0.29599999999999999</v>
      </c>
      <c r="AH826">
        <v>1.41</v>
      </c>
      <c r="AI826">
        <v>4.8099999999999996</v>
      </c>
      <c r="AJ826">
        <v>5.37</v>
      </c>
      <c r="AK826">
        <v>-1.4</v>
      </c>
      <c r="AL826">
        <v>-0.2</v>
      </c>
      <c r="AM826">
        <v>40</v>
      </c>
      <c r="AN826">
        <v>65</v>
      </c>
      <c r="AO826">
        <v>11</v>
      </c>
      <c r="AP826">
        <v>24</v>
      </c>
      <c r="AQ826" t="s">
        <v>2503</v>
      </c>
      <c r="AR826">
        <v>82</v>
      </c>
      <c r="AS826" t="s">
        <v>35</v>
      </c>
      <c r="AT826" t="s">
        <v>36</v>
      </c>
      <c r="AU826" s="4">
        <f>HYPERLINK("http://mlb.mlb.com/team/player.jsp?player_id=572362",572362)</f>
        <v>572362</v>
      </c>
      <c r="AV826">
        <v>1142</v>
      </c>
      <c r="AW826">
        <v>142</v>
      </c>
      <c r="AX826">
        <v>0</v>
      </c>
    </row>
    <row r="827" spans="1:50" x14ac:dyDescent="0.3">
      <c r="A827" s="4">
        <f>HYPERLINK("http://legacy.baseballprospectus.com/p/66941",66941)</f>
        <v>66941</v>
      </c>
      <c r="B827" t="s">
        <v>1196</v>
      </c>
      <c r="C827" t="s">
        <v>553</v>
      </c>
      <c r="D827" s="10">
        <v>33452</v>
      </c>
      <c r="E827" t="s">
        <v>33</v>
      </c>
      <c r="F827" t="s">
        <v>33</v>
      </c>
      <c r="G827">
        <v>76</v>
      </c>
      <c r="H827">
        <v>185</v>
      </c>
      <c r="I827">
        <v>2018</v>
      </c>
      <c r="J827" s="4" t="str">
        <f>HYPERLINK("http://legacy.baseballprospectus.com/fantasy/dc/index.php?tm=ANA","ANA")</f>
        <v>ANA</v>
      </c>
      <c r="K827" t="s">
        <v>95</v>
      </c>
      <c r="L827" t="s">
        <v>34</v>
      </c>
      <c r="M827">
        <v>26</v>
      </c>
      <c r="N827">
        <v>1.6</v>
      </c>
      <c r="O827">
        <v>2.4</v>
      </c>
      <c r="P827">
        <v>2</v>
      </c>
      <c r="Q827">
        <v>0</v>
      </c>
      <c r="R827">
        <v>0</v>
      </c>
      <c r="S827">
        <v>0</v>
      </c>
      <c r="T827">
        <v>6</v>
      </c>
      <c r="U827">
        <v>6</v>
      </c>
      <c r="V827" s="9">
        <v>30</v>
      </c>
      <c r="W827">
        <v>134</v>
      </c>
      <c r="X827">
        <v>33</v>
      </c>
      <c r="Y827">
        <v>7</v>
      </c>
      <c r="Z827">
        <v>12</v>
      </c>
      <c r="AA827">
        <v>1</v>
      </c>
      <c r="AB827">
        <v>1</v>
      </c>
      <c r="AC827">
        <v>23</v>
      </c>
      <c r="AD827">
        <v>3.6</v>
      </c>
      <c r="AE827">
        <v>7</v>
      </c>
      <c r="AF827" s="5">
        <v>0.41199999999999998</v>
      </c>
      <c r="AG827">
        <v>0.29299999999999998</v>
      </c>
      <c r="AH827">
        <v>1.51</v>
      </c>
      <c r="AI827">
        <v>5.73</v>
      </c>
      <c r="AJ827">
        <v>6.19</v>
      </c>
      <c r="AK827">
        <v>-2.1</v>
      </c>
      <c r="AL827">
        <v>-0.2</v>
      </c>
      <c r="AM827">
        <v>23</v>
      </c>
      <c r="AN827">
        <v>46</v>
      </c>
      <c r="AO827">
        <v>19</v>
      </c>
      <c r="AP827">
        <v>39</v>
      </c>
      <c r="AQ827" t="s">
        <v>3146</v>
      </c>
      <c r="AR827">
        <v>77</v>
      </c>
      <c r="AS827" t="s">
        <v>35</v>
      </c>
      <c r="AT827" t="s">
        <v>36</v>
      </c>
      <c r="AU827" s="4">
        <f>HYPERLINK("http://mlb.mlb.com/team/player.jsp?player_id=592170",592170)</f>
        <v>592170</v>
      </c>
      <c r="AV827">
        <v>48</v>
      </c>
      <c r="AW827">
        <v>1048</v>
      </c>
      <c r="AX827">
        <v>121</v>
      </c>
    </row>
    <row r="828" spans="1:50" x14ac:dyDescent="0.3">
      <c r="A828" s="4">
        <f>HYPERLINK("http://legacy.baseballprospectus.com/p/31506",31506)</f>
        <v>31506</v>
      </c>
      <c r="B828" t="s">
        <v>1208</v>
      </c>
      <c r="C828" t="s">
        <v>262</v>
      </c>
      <c r="D828" s="10">
        <v>30705</v>
      </c>
      <c r="E828" t="s">
        <v>9</v>
      </c>
      <c r="F828" t="s">
        <v>9</v>
      </c>
      <c r="G828">
        <v>72</v>
      </c>
      <c r="H828">
        <v>195</v>
      </c>
      <c r="I828">
        <v>2018</v>
      </c>
      <c r="J828" s="4" t="str">
        <f>HYPERLINK("http://legacy.baseballprospectus.com/fantasy/dc/index.php?tm=LAN","LAN")</f>
        <v>LAN</v>
      </c>
      <c r="K828" t="s">
        <v>100</v>
      </c>
      <c r="L828" t="s">
        <v>34</v>
      </c>
      <c r="M828">
        <v>34</v>
      </c>
      <c r="N828">
        <v>1.4</v>
      </c>
      <c r="O828">
        <v>1.9</v>
      </c>
      <c r="P828">
        <v>1.8</v>
      </c>
      <c r="Q828">
        <v>0</v>
      </c>
      <c r="R828">
        <v>0</v>
      </c>
      <c r="S828">
        <v>0</v>
      </c>
      <c r="T828">
        <v>5</v>
      </c>
      <c r="U828">
        <v>5</v>
      </c>
      <c r="V828" s="9">
        <v>26.666699999999999</v>
      </c>
      <c r="W828">
        <v>116</v>
      </c>
      <c r="X828">
        <v>29</v>
      </c>
      <c r="Y828">
        <v>5</v>
      </c>
      <c r="Z828">
        <v>11</v>
      </c>
      <c r="AA828" t="s">
        <v>1680</v>
      </c>
      <c r="AB828">
        <v>2</v>
      </c>
      <c r="AC828">
        <v>20</v>
      </c>
      <c r="AD828">
        <v>3.8</v>
      </c>
      <c r="AE828">
        <v>6.8</v>
      </c>
      <c r="AF828" s="5">
        <v>0.42831724882125799</v>
      </c>
      <c r="AG828">
        <v>0.313</v>
      </c>
      <c r="AH828">
        <v>1.53</v>
      </c>
      <c r="AI828">
        <v>5.38</v>
      </c>
      <c r="AJ828">
        <v>6.22</v>
      </c>
      <c r="AK828">
        <v>-1.7</v>
      </c>
      <c r="AL828">
        <v>-0.2</v>
      </c>
      <c r="AM828">
        <v>11</v>
      </c>
      <c r="AN828">
        <v>46</v>
      </c>
      <c r="AO828">
        <v>23</v>
      </c>
      <c r="AP828">
        <v>14</v>
      </c>
      <c r="AQ828" t="s">
        <v>3137</v>
      </c>
      <c r="AR828">
        <v>90</v>
      </c>
      <c r="AS828" t="s">
        <v>36</v>
      </c>
      <c r="AT828" t="s">
        <v>36</v>
      </c>
      <c r="AU828" s="4">
        <f>HYPERLINK("http://mlb.mlb.com/team/player.jsp?player_id=431148",431148)</f>
        <v>431148</v>
      </c>
      <c r="AV828">
        <v>1139</v>
      </c>
      <c r="AW828">
        <v>139</v>
      </c>
      <c r="AX828">
        <v>0</v>
      </c>
    </row>
    <row r="829" spans="1:50" x14ac:dyDescent="0.3">
      <c r="A829" s="4">
        <f>HYPERLINK("http://legacy.baseballprospectus.com/p/31635",31635)</f>
        <v>31635</v>
      </c>
      <c r="B829" t="s">
        <v>873</v>
      </c>
      <c r="C829" t="s">
        <v>97</v>
      </c>
      <c r="D829" s="10">
        <v>30034</v>
      </c>
      <c r="E829" t="s">
        <v>33</v>
      </c>
      <c r="F829" t="s">
        <v>33</v>
      </c>
      <c r="G829">
        <v>75</v>
      </c>
      <c r="H829">
        <v>235</v>
      </c>
      <c r="I829">
        <v>2018</v>
      </c>
      <c r="J829" s="4" t="str">
        <f>HYPERLINK("http://legacy.baseballprospectus.com/fantasy/dc/index.php?tm=TBA","TBA")</f>
        <v>TBA</v>
      </c>
      <c r="K829" t="s">
        <v>100</v>
      </c>
      <c r="L829" t="s">
        <v>34</v>
      </c>
      <c r="M829">
        <v>36</v>
      </c>
      <c r="N829">
        <v>3</v>
      </c>
      <c r="O829">
        <v>1.6</v>
      </c>
      <c r="P829">
        <v>0.9</v>
      </c>
      <c r="Q829">
        <v>0</v>
      </c>
      <c r="R829">
        <v>0.5</v>
      </c>
      <c r="S829">
        <v>0</v>
      </c>
      <c r="T829">
        <v>52.8</v>
      </c>
      <c r="U829">
        <v>2.1</v>
      </c>
      <c r="V829" s="9">
        <v>63.666699999999999</v>
      </c>
      <c r="W829">
        <v>273</v>
      </c>
      <c r="X829">
        <v>61</v>
      </c>
      <c r="Y829">
        <v>9</v>
      </c>
      <c r="Z829">
        <v>31</v>
      </c>
      <c r="AA829" t="s">
        <v>1680</v>
      </c>
      <c r="AB829">
        <v>3</v>
      </c>
      <c r="AC829">
        <v>53</v>
      </c>
      <c r="AD829">
        <v>4.3</v>
      </c>
      <c r="AE829">
        <v>7.5</v>
      </c>
      <c r="AF829" s="5">
        <v>0.48738759756088201</v>
      </c>
      <c r="AG829">
        <v>0.29599999999999999</v>
      </c>
      <c r="AH829">
        <v>1.45</v>
      </c>
      <c r="AI829">
        <v>4.8600000000000003</v>
      </c>
      <c r="AJ829">
        <v>5.5</v>
      </c>
      <c r="AK829">
        <v>-1.8</v>
      </c>
      <c r="AL829">
        <v>-0.2</v>
      </c>
      <c r="AM829">
        <v>20</v>
      </c>
      <c r="AN829">
        <v>44</v>
      </c>
      <c r="AO829">
        <v>13</v>
      </c>
      <c r="AP829">
        <v>4</v>
      </c>
      <c r="AQ829" t="s">
        <v>3154</v>
      </c>
      <c r="AR829">
        <v>64</v>
      </c>
      <c r="AS829" t="s">
        <v>36</v>
      </c>
      <c r="AT829" t="s">
        <v>36</v>
      </c>
      <c r="AU829" s="4">
        <f>HYPERLINK("http://mlb.mlb.com/team/player.jsp?player_id=430661",430661)</f>
        <v>430661</v>
      </c>
      <c r="AV829">
        <v>0</v>
      </c>
      <c r="AW829">
        <v>0</v>
      </c>
      <c r="AX829">
        <v>77.7</v>
      </c>
    </row>
    <row r="830" spans="1:50" x14ac:dyDescent="0.3">
      <c r="A830" s="4">
        <f>HYPERLINK("http://legacy.baseballprospectus.com/p/33059",33059)</f>
        <v>33059</v>
      </c>
      <c r="B830" t="s">
        <v>2193</v>
      </c>
      <c r="C830" t="s">
        <v>261</v>
      </c>
      <c r="D830" s="10">
        <v>29441</v>
      </c>
      <c r="E830" t="s">
        <v>9</v>
      </c>
      <c r="F830" t="s">
        <v>9</v>
      </c>
      <c r="G830">
        <v>72</v>
      </c>
      <c r="H830">
        <v>190</v>
      </c>
      <c r="I830">
        <v>2018</v>
      </c>
      <c r="J830" s="4" t="str">
        <f>HYPERLINK("http://legacy.baseballprospectus.com/fantasy/dc/index.php?tm=CLE","CLE")</f>
        <v>CLE</v>
      </c>
      <c r="K830" t="s">
        <v>95</v>
      </c>
      <c r="L830" t="s">
        <v>34</v>
      </c>
      <c r="M830">
        <v>37</v>
      </c>
      <c r="N830">
        <v>0.9</v>
      </c>
      <c r="O830">
        <v>0.3</v>
      </c>
      <c r="P830">
        <v>0</v>
      </c>
      <c r="Q830">
        <v>0</v>
      </c>
      <c r="R830">
        <v>0</v>
      </c>
      <c r="S830">
        <v>0</v>
      </c>
      <c r="T830">
        <v>19.7</v>
      </c>
      <c r="U830">
        <v>0</v>
      </c>
      <c r="V830" s="9">
        <v>20.666699999999999</v>
      </c>
      <c r="W830">
        <v>96</v>
      </c>
      <c r="X830">
        <v>24</v>
      </c>
      <c r="Y830">
        <v>4</v>
      </c>
      <c r="Z830">
        <v>10</v>
      </c>
      <c r="AA830" t="s">
        <v>1680</v>
      </c>
      <c r="AB830">
        <v>1</v>
      </c>
      <c r="AC830">
        <v>16</v>
      </c>
      <c r="AD830">
        <v>4.3</v>
      </c>
      <c r="AE830">
        <v>6.9</v>
      </c>
      <c r="AF830" s="5">
        <v>0.40987300872802701</v>
      </c>
      <c r="AG830">
        <v>0.316</v>
      </c>
      <c r="AH830">
        <v>1.65</v>
      </c>
      <c r="AI830">
        <v>5.6</v>
      </c>
      <c r="AJ830">
        <v>6</v>
      </c>
      <c r="AK830">
        <v>-1.6</v>
      </c>
      <c r="AL830">
        <v>-0.2</v>
      </c>
      <c r="AM830">
        <v>17</v>
      </c>
      <c r="AN830">
        <v>40</v>
      </c>
      <c r="AO830">
        <v>24</v>
      </c>
      <c r="AP830">
        <v>11</v>
      </c>
      <c r="AQ830" t="s">
        <v>3156</v>
      </c>
      <c r="AR830">
        <v>71</v>
      </c>
      <c r="AS830" t="s">
        <v>36</v>
      </c>
      <c r="AT830" t="s">
        <v>36</v>
      </c>
      <c r="AU830" s="4">
        <f>HYPERLINK("http://mlb.mlb.com/team/player.jsp?player_id=444520",444520)</f>
        <v>444520</v>
      </c>
      <c r="AV830">
        <v>0</v>
      </c>
      <c r="AW830">
        <v>0</v>
      </c>
      <c r="AX830">
        <v>35.299999999999997</v>
      </c>
    </row>
    <row r="831" spans="1:50" x14ac:dyDescent="0.3">
      <c r="A831" s="4">
        <f>HYPERLINK("http://legacy.baseballprospectus.com/p/45918",45918)</f>
        <v>45918</v>
      </c>
      <c r="B831" t="s">
        <v>3329</v>
      </c>
      <c r="C831" t="s">
        <v>3330</v>
      </c>
      <c r="D831" s="10">
        <v>31247</v>
      </c>
      <c r="E831" t="s">
        <v>33</v>
      </c>
      <c r="F831" t="s">
        <v>33</v>
      </c>
      <c r="G831">
        <v>72</v>
      </c>
      <c r="H831">
        <v>205</v>
      </c>
      <c r="I831">
        <v>2018</v>
      </c>
      <c r="J831" s="4" t="str">
        <f>HYPERLINK("http://legacy.baseballprospectus.com/fantasy/dc/index.php?tm=MIL","MIL")</f>
        <v>MIL</v>
      </c>
      <c r="K831" t="s">
        <v>95</v>
      </c>
      <c r="L831" t="s">
        <v>34</v>
      </c>
      <c r="M831">
        <v>32</v>
      </c>
      <c r="N831">
        <v>1.5</v>
      </c>
      <c r="O831">
        <v>0.5</v>
      </c>
      <c r="P831">
        <v>0</v>
      </c>
      <c r="Q831">
        <v>0</v>
      </c>
      <c r="R831">
        <v>0.4</v>
      </c>
      <c r="S831">
        <v>0</v>
      </c>
      <c r="T831">
        <v>31.9</v>
      </c>
      <c r="U831">
        <v>0</v>
      </c>
      <c r="V831" s="9">
        <v>33.666699999999999</v>
      </c>
      <c r="W831">
        <v>150</v>
      </c>
      <c r="X831">
        <v>32</v>
      </c>
      <c r="Y831">
        <v>6</v>
      </c>
      <c r="Z831">
        <v>18</v>
      </c>
      <c r="AA831" t="s">
        <v>1680</v>
      </c>
      <c r="AB831">
        <v>1</v>
      </c>
      <c r="AC831">
        <v>33</v>
      </c>
      <c r="AD831">
        <v>4.7</v>
      </c>
      <c r="AE831">
        <v>8.8000000000000007</v>
      </c>
      <c r="AF831" s="5">
        <v>0.386222034692764</v>
      </c>
      <c r="AG831">
        <v>0.28299999999999997</v>
      </c>
      <c r="AH831">
        <v>1.47</v>
      </c>
      <c r="AI831">
        <v>5.37</v>
      </c>
      <c r="AJ831">
        <v>5.73</v>
      </c>
      <c r="AK831">
        <v>-1.6</v>
      </c>
      <c r="AL831">
        <v>-0.2</v>
      </c>
      <c r="AM831">
        <v>17</v>
      </c>
      <c r="AN831">
        <v>30</v>
      </c>
      <c r="AO831">
        <v>22</v>
      </c>
      <c r="AP831">
        <v>10</v>
      </c>
      <c r="AQ831" t="s">
        <v>3331</v>
      </c>
      <c r="AR831">
        <v>64</v>
      </c>
      <c r="AS831" t="s">
        <v>36</v>
      </c>
      <c r="AT831" t="s">
        <v>36</v>
      </c>
      <c r="AU831" s="4">
        <f>HYPERLINK("http://mlb.mlb.com/team/player.jsp?player_id=457117",457117)</f>
        <v>457117</v>
      </c>
      <c r="AV831">
        <v>0</v>
      </c>
      <c r="AW831">
        <v>0</v>
      </c>
      <c r="AX831">
        <v>7</v>
      </c>
    </row>
    <row r="832" spans="1:50" x14ac:dyDescent="0.3">
      <c r="A832" s="4">
        <f>HYPERLINK("http://legacy.baseballprospectus.com/p/46186",46186)</f>
        <v>46186</v>
      </c>
      <c r="B832" t="s">
        <v>3027</v>
      </c>
      <c r="C832" t="s">
        <v>3028</v>
      </c>
      <c r="D832" s="10">
        <v>31441</v>
      </c>
      <c r="E832" t="s">
        <v>33</v>
      </c>
      <c r="F832" t="s">
        <v>33</v>
      </c>
      <c r="G832">
        <v>73</v>
      </c>
      <c r="H832">
        <v>200</v>
      </c>
      <c r="I832">
        <v>2018</v>
      </c>
      <c r="J832" s="4" t="str">
        <f>HYPERLINK("http://legacy.baseballprospectus.com/fantasy/dc/index.php?tm=LAN","LAN")</f>
        <v>LAN</v>
      </c>
      <c r="K832" t="s">
        <v>100</v>
      </c>
      <c r="L832" t="s">
        <v>34</v>
      </c>
      <c r="M832">
        <v>32</v>
      </c>
      <c r="N832">
        <v>2.2999999999999998</v>
      </c>
      <c r="O832">
        <v>2.5</v>
      </c>
      <c r="P832">
        <v>2.9</v>
      </c>
      <c r="Q832">
        <v>0</v>
      </c>
      <c r="R832">
        <v>0</v>
      </c>
      <c r="S832">
        <v>0</v>
      </c>
      <c r="T832">
        <v>7.5</v>
      </c>
      <c r="U832">
        <v>7.5</v>
      </c>
      <c r="V832" s="9">
        <v>37.666699999999999</v>
      </c>
      <c r="W832">
        <v>161</v>
      </c>
      <c r="X832">
        <v>41</v>
      </c>
      <c r="Y832">
        <v>7</v>
      </c>
      <c r="Z832">
        <v>13</v>
      </c>
      <c r="AA832" t="s">
        <v>1680</v>
      </c>
      <c r="AB832">
        <v>1</v>
      </c>
      <c r="AC832">
        <v>30</v>
      </c>
      <c r="AD832">
        <v>3.2</v>
      </c>
      <c r="AE832">
        <v>7.2</v>
      </c>
      <c r="AF832" s="5">
        <v>0.41859212517738298</v>
      </c>
      <c r="AG832">
        <v>0.30599999999999999</v>
      </c>
      <c r="AH832">
        <v>1.43</v>
      </c>
      <c r="AI832">
        <v>5.2</v>
      </c>
      <c r="AJ832">
        <v>6</v>
      </c>
      <c r="AK832">
        <v>-1.5</v>
      </c>
      <c r="AL832">
        <v>-0.2</v>
      </c>
      <c r="AM832">
        <v>5</v>
      </c>
      <c r="AN832">
        <v>8</v>
      </c>
      <c r="AO832">
        <v>1</v>
      </c>
      <c r="AP832">
        <v>5</v>
      </c>
      <c r="AQ832" t="s">
        <v>3029</v>
      </c>
      <c r="AR832">
        <v>11</v>
      </c>
      <c r="AS832" t="s">
        <v>36</v>
      </c>
      <c r="AT832" t="s">
        <v>35</v>
      </c>
      <c r="AU832" s="4">
        <f>HYPERLINK("http://mlb.mlb.com/team/player.jsp?player_id=457453",457453)</f>
        <v>457453</v>
      </c>
      <c r="AV832">
        <v>0</v>
      </c>
      <c r="AW832">
        <v>0</v>
      </c>
      <c r="AX832">
        <v>0</v>
      </c>
    </row>
    <row r="833" spans="1:50" x14ac:dyDescent="0.3">
      <c r="A833" s="4">
        <f>HYPERLINK("http://legacy.baseballprospectus.com/p/47243",47243)</f>
        <v>47243</v>
      </c>
      <c r="B833" t="s">
        <v>242</v>
      </c>
      <c r="C833" t="s">
        <v>139</v>
      </c>
      <c r="D833" s="10">
        <v>31650</v>
      </c>
      <c r="E833" t="s">
        <v>9</v>
      </c>
      <c r="F833" t="s">
        <v>9</v>
      </c>
      <c r="G833">
        <v>71</v>
      </c>
      <c r="H833">
        <v>210</v>
      </c>
      <c r="I833">
        <v>2018</v>
      </c>
      <c r="J833" s="4" t="str">
        <f>HYPERLINK("http://legacy.baseballprospectus.com/fantasy/dc/index.php?tm=CHA","CHA")</f>
        <v>CHA</v>
      </c>
      <c r="K833" t="s">
        <v>95</v>
      </c>
      <c r="L833" t="s">
        <v>34</v>
      </c>
      <c r="M833">
        <v>31</v>
      </c>
      <c r="N833">
        <v>1.5</v>
      </c>
      <c r="O833">
        <v>0.5</v>
      </c>
      <c r="P833">
        <v>0</v>
      </c>
      <c r="Q833">
        <v>0</v>
      </c>
      <c r="R833">
        <v>1.4</v>
      </c>
      <c r="S833">
        <v>0</v>
      </c>
      <c r="T833">
        <v>31.7</v>
      </c>
      <c r="U833">
        <v>0</v>
      </c>
      <c r="V833" s="9">
        <v>33.666699999999999</v>
      </c>
      <c r="W833">
        <v>150</v>
      </c>
      <c r="X833">
        <v>34</v>
      </c>
      <c r="Y833">
        <v>5</v>
      </c>
      <c r="Z833">
        <v>17</v>
      </c>
      <c r="AA833" t="s">
        <v>1680</v>
      </c>
      <c r="AB833">
        <v>1</v>
      </c>
      <c r="AC833">
        <v>27</v>
      </c>
      <c r="AD833">
        <v>4.5999999999999996</v>
      </c>
      <c r="AE833">
        <v>7.3</v>
      </c>
      <c r="AF833" s="5">
        <v>0.48805445432662897</v>
      </c>
      <c r="AG833">
        <v>0.28999999999999998</v>
      </c>
      <c r="AH833">
        <v>1.53</v>
      </c>
      <c r="AI833">
        <v>5.36</v>
      </c>
      <c r="AJ833">
        <v>5.93</v>
      </c>
      <c r="AK833">
        <v>-1.8</v>
      </c>
      <c r="AL833">
        <v>-0.2</v>
      </c>
      <c r="AM833">
        <v>35</v>
      </c>
      <c r="AN833">
        <v>49</v>
      </c>
      <c r="AO833">
        <v>20</v>
      </c>
      <c r="AP833">
        <v>15</v>
      </c>
      <c r="AQ833" t="s">
        <v>3250</v>
      </c>
      <c r="AR833">
        <v>82</v>
      </c>
      <c r="AS833" t="s">
        <v>36</v>
      </c>
      <c r="AT833" t="s">
        <v>36</v>
      </c>
      <c r="AU833" s="4">
        <f>HYPERLINK("http://mlb.mlb.com/team/player.jsp?player_id=458584",458584)</f>
        <v>458584</v>
      </c>
      <c r="AV833">
        <v>0</v>
      </c>
      <c r="AW833">
        <v>0</v>
      </c>
      <c r="AX833">
        <v>3</v>
      </c>
    </row>
    <row r="834" spans="1:50" x14ac:dyDescent="0.3">
      <c r="A834" s="4">
        <f>HYPERLINK("http://legacy.baseballprospectus.com/p/47990",47990)</f>
        <v>47990</v>
      </c>
      <c r="B834" t="s">
        <v>468</v>
      </c>
      <c r="C834" t="s">
        <v>3251</v>
      </c>
      <c r="D834" s="10">
        <v>31677</v>
      </c>
      <c r="E834" t="s">
        <v>33</v>
      </c>
      <c r="F834" t="s">
        <v>33</v>
      </c>
      <c r="G834">
        <v>75</v>
      </c>
      <c r="H834">
        <v>222</v>
      </c>
      <c r="I834">
        <v>2018</v>
      </c>
      <c r="J834" s="4" t="str">
        <f>HYPERLINK("http://legacy.baseballprospectus.com/fantasy/dc/index.php?tm=DET","DET")</f>
        <v>DET</v>
      </c>
      <c r="K834" t="s">
        <v>95</v>
      </c>
      <c r="L834" t="s">
        <v>34</v>
      </c>
      <c r="M834">
        <v>31</v>
      </c>
      <c r="N834">
        <v>1.4</v>
      </c>
      <c r="O834">
        <v>0.4</v>
      </c>
      <c r="P834">
        <v>0</v>
      </c>
      <c r="Q834">
        <v>0</v>
      </c>
      <c r="R834">
        <v>0.3</v>
      </c>
      <c r="S834">
        <v>0</v>
      </c>
      <c r="T834">
        <v>30.5</v>
      </c>
      <c r="U834">
        <v>0</v>
      </c>
      <c r="V834" s="9">
        <v>32.333300000000001</v>
      </c>
      <c r="W834">
        <v>150</v>
      </c>
      <c r="X834">
        <v>37</v>
      </c>
      <c r="Y834">
        <v>6</v>
      </c>
      <c r="Z834">
        <v>17</v>
      </c>
      <c r="AA834" t="s">
        <v>1680</v>
      </c>
      <c r="AB834">
        <v>2</v>
      </c>
      <c r="AC834">
        <v>26</v>
      </c>
      <c r="AD834">
        <v>4.7</v>
      </c>
      <c r="AE834">
        <v>7.3</v>
      </c>
      <c r="AF834" s="5">
        <v>0.467117369174957</v>
      </c>
      <c r="AG834">
        <v>0.313</v>
      </c>
      <c r="AH834">
        <v>1.66</v>
      </c>
      <c r="AI834">
        <v>5.69</v>
      </c>
      <c r="AJ834">
        <v>5.76</v>
      </c>
      <c r="AK834">
        <v>-1.8</v>
      </c>
      <c r="AL834">
        <v>-0.2</v>
      </c>
      <c r="AM834">
        <v>9</v>
      </c>
      <c r="AN834">
        <v>15</v>
      </c>
      <c r="AO834">
        <v>3</v>
      </c>
      <c r="AP834">
        <v>10</v>
      </c>
      <c r="AQ834" t="s">
        <v>3252</v>
      </c>
      <c r="AR834">
        <v>19</v>
      </c>
      <c r="AS834" t="s">
        <v>36</v>
      </c>
      <c r="AT834" t="s">
        <v>35</v>
      </c>
      <c r="AU834" s="4">
        <f>HYPERLINK("http://mlb.mlb.com/team/player.jsp?player_id=455376",455376)</f>
        <v>455376</v>
      </c>
      <c r="AV834">
        <v>0</v>
      </c>
      <c r="AW834">
        <v>0</v>
      </c>
      <c r="AX834">
        <v>6.7</v>
      </c>
    </row>
    <row r="835" spans="1:50" x14ac:dyDescent="0.3">
      <c r="A835" s="4">
        <f>HYPERLINK("http://legacy.baseballprospectus.com/p/49130",49130)</f>
        <v>49130</v>
      </c>
      <c r="B835" t="s">
        <v>981</v>
      </c>
      <c r="C835" t="s">
        <v>102</v>
      </c>
      <c r="D835" s="10">
        <v>31448</v>
      </c>
      <c r="E835" t="s">
        <v>33</v>
      </c>
      <c r="F835" t="s">
        <v>33</v>
      </c>
      <c r="G835">
        <v>78</v>
      </c>
      <c r="H835">
        <v>245</v>
      </c>
      <c r="I835">
        <v>2018</v>
      </c>
      <c r="J835" s="4" t="str">
        <f>HYPERLINK("http://legacy.baseballprospectus.com/fantasy/dc/index.php?tm=SFN","SFN")</f>
        <v>SFN</v>
      </c>
      <c r="K835" t="s">
        <v>100</v>
      </c>
      <c r="L835" t="s">
        <v>34</v>
      </c>
      <c r="M835">
        <v>32</v>
      </c>
      <c r="N835">
        <v>1.6</v>
      </c>
      <c r="O835">
        <v>0.6</v>
      </c>
      <c r="P835">
        <v>0</v>
      </c>
      <c r="Q835">
        <v>0</v>
      </c>
      <c r="R835">
        <v>0.5</v>
      </c>
      <c r="S835">
        <v>0</v>
      </c>
      <c r="T835">
        <v>33</v>
      </c>
      <c r="U835">
        <v>0</v>
      </c>
      <c r="V835" s="9">
        <v>35</v>
      </c>
      <c r="W835">
        <v>150</v>
      </c>
      <c r="X835">
        <v>36</v>
      </c>
      <c r="Y835">
        <v>4</v>
      </c>
      <c r="Z835">
        <v>15</v>
      </c>
      <c r="AA835" t="s">
        <v>1680</v>
      </c>
      <c r="AB835">
        <v>1</v>
      </c>
      <c r="AC835">
        <v>27</v>
      </c>
      <c r="AD835">
        <v>4</v>
      </c>
      <c r="AE835">
        <v>6.9</v>
      </c>
      <c r="AF835" s="5">
        <v>0.49183535575866699</v>
      </c>
      <c r="AG835">
        <v>0.316</v>
      </c>
      <c r="AH835">
        <v>1.49</v>
      </c>
      <c r="AI835">
        <v>4.5599999999999996</v>
      </c>
      <c r="AJ835">
        <v>5.58</v>
      </c>
      <c r="AK835">
        <v>-1.4</v>
      </c>
      <c r="AL835">
        <v>-0.2</v>
      </c>
      <c r="AM835">
        <v>24</v>
      </c>
      <c r="AN835">
        <v>40</v>
      </c>
      <c r="AO835">
        <v>27</v>
      </c>
      <c r="AP835">
        <v>16</v>
      </c>
      <c r="AQ835" t="s">
        <v>3255</v>
      </c>
      <c r="AR835">
        <v>78</v>
      </c>
      <c r="AS835" t="s">
        <v>36</v>
      </c>
      <c r="AT835" t="s">
        <v>36</v>
      </c>
      <c r="AU835" s="4">
        <f>HYPERLINK("http://mlb.mlb.com/team/player.jsp?player_id=444436",444436)</f>
        <v>444436</v>
      </c>
      <c r="AV835">
        <v>0</v>
      </c>
      <c r="AW835">
        <v>0</v>
      </c>
      <c r="AX835">
        <v>0</v>
      </c>
    </row>
    <row r="836" spans="1:50" x14ac:dyDescent="0.3">
      <c r="A836" s="4">
        <f>HYPERLINK("http://legacy.baseballprospectus.com/p/60016",60016)</f>
        <v>60016</v>
      </c>
      <c r="B836" t="s">
        <v>1824</v>
      </c>
      <c r="C836" t="s">
        <v>1825</v>
      </c>
      <c r="D836" s="10">
        <v>32790</v>
      </c>
      <c r="E836" t="s">
        <v>33</v>
      </c>
      <c r="F836" t="s">
        <v>33</v>
      </c>
      <c r="G836">
        <v>76</v>
      </c>
      <c r="H836">
        <v>225</v>
      </c>
      <c r="I836">
        <v>2018</v>
      </c>
      <c r="J836" s="4" t="str">
        <f>HYPERLINK("http://legacy.baseballprospectus.com/fantasy/dc/index.php?tm=BAL","BAL")</f>
        <v>BAL</v>
      </c>
      <c r="K836" t="s">
        <v>95</v>
      </c>
      <c r="L836" t="s">
        <v>34</v>
      </c>
      <c r="M836">
        <v>28</v>
      </c>
      <c r="N836">
        <v>3.1</v>
      </c>
      <c r="O836">
        <v>4.4000000000000004</v>
      </c>
      <c r="P836">
        <v>3.6</v>
      </c>
      <c r="Q836">
        <v>0</v>
      </c>
      <c r="R836">
        <v>0</v>
      </c>
      <c r="S836">
        <v>0</v>
      </c>
      <c r="T836">
        <v>11.1</v>
      </c>
      <c r="U836">
        <v>11.1</v>
      </c>
      <c r="V836" s="9">
        <v>57.333300000000001</v>
      </c>
      <c r="W836">
        <v>262</v>
      </c>
      <c r="X836">
        <v>63</v>
      </c>
      <c r="Y836">
        <v>11</v>
      </c>
      <c r="Z836">
        <v>28</v>
      </c>
      <c r="AA836" t="s">
        <v>1680</v>
      </c>
      <c r="AB836">
        <v>3</v>
      </c>
      <c r="AC836">
        <v>48</v>
      </c>
      <c r="AD836">
        <v>4.4000000000000004</v>
      </c>
      <c r="AE836">
        <v>7.5</v>
      </c>
      <c r="AF836" s="5">
        <v>0.38743773102760298</v>
      </c>
      <c r="AG836">
        <v>0.29899999999999999</v>
      </c>
      <c r="AH836">
        <v>1.58</v>
      </c>
      <c r="AI836">
        <v>5.87</v>
      </c>
      <c r="AJ836">
        <v>5.94</v>
      </c>
      <c r="AK836">
        <v>-1.4</v>
      </c>
      <c r="AL836">
        <v>-0.2</v>
      </c>
      <c r="AM836">
        <v>15</v>
      </c>
      <c r="AN836">
        <v>20</v>
      </c>
      <c r="AO836">
        <v>3</v>
      </c>
      <c r="AP836">
        <v>15</v>
      </c>
      <c r="AQ836" t="s">
        <v>3377</v>
      </c>
      <c r="AR836">
        <v>24</v>
      </c>
      <c r="AS836" t="s">
        <v>36</v>
      </c>
      <c r="AT836" t="s">
        <v>35</v>
      </c>
      <c r="AU836" s="4">
        <f>HYPERLINK("http://mlb.mlb.com/team/player.jsp?player_id=543532",543532)</f>
        <v>543532</v>
      </c>
      <c r="AV836">
        <v>0</v>
      </c>
      <c r="AW836">
        <v>0</v>
      </c>
      <c r="AX836">
        <v>5.7</v>
      </c>
    </row>
    <row r="837" spans="1:50" x14ac:dyDescent="0.3">
      <c r="A837" s="4">
        <f>HYPERLINK("http://legacy.baseballprospectus.com/p/60652",60652)</f>
        <v>60652</v>
      </c>
      <c r="B837" t="s">
        <v>2037</v>
      </c>
      <c r="C837" t="s">
        <v>260</v>
      </c>
      <c r="D837" s="10">
        <v>33142</v>
      </c>
      <c r="E837" t="s">
        <v>33</v>
      </c>
      <c r="F837" t="s">
        <v>33</v>
      </c>
      <c r="G837">
        <v>77</v>
      </c>
      <c r="H837">
        <v>265</v>
      </c>
      <c r="I837">
        <v>2018</v>
      </c>
      <c r="J837" s="4" t="str">
        <f>HYPERLINK("http://legacy.baseballprospectus.com/fantasy/dc/index.php?tm=COL","COL")</f>
        <v>COL</v>
      </c>
      <c r="K837" t="s">
        <v>95</v>
      </c>
      <c r="L837" t="s">
        <v>34</v>
      </c>
      <c r="M837">
        <v>27</v>
      </c>
      <c r="N837">
        <v>2.8</v>
      </c>
      <c r="O837">
        <v>3</v>
      </c>
      <c r="P837">
        <v>2.4</v>
      </c>
      <c r="Q837">
        <v>0</v>
      </c>
      <c r="R837">
        <v>0.1</v>
      </c>
      <c r="S837">
        <v>0</v>
      </c>
      <c r="T837">
        <v>31.6</v>
      </c>
      <c r="U837">
        <v>7</v>
      </c>
      <c r="V837" s="9">
        <v>57</v>
      </c>
      <c r="W837">
        <v>251</v>
      </c>
      <c r="X837">
        <v>58</v>
      </c>
      <c r="Y837">
        <v>11</v>
      </c>
      <c r="Z837">
        <v>24</v>
      </c>
      <c r="AA837" t="s">
        <v>1680</v>
      </c>
      <c r="AB837">
        <v>3</v>
      </c>
      <c r="AC837">
        <v>50</v>
      </c>
      <c r="AD837">
        <v>3.8</v>
      </c>
      <c r="AE837">
        <v>8</v>
      </c>
      <c r="AF837" s="5">
        <v>0.39240843057632402</v>
      </c>
      <c r="AG837">
        <v>0.28799999999999998</v>
      </c>
      <c r="AH837">
        <v>1.45</v>
      </c>
      <c r="AI837">
        <v>5.58</v>
      </c>
      <c r="AJ837">
        <v>5.81</v>
      </c>
      <c r="AK837">
        <v>-2.2000000000000002</v>
      </c>
      <c r="AL837">
        <v>-0.2</v>
      </c>
      <c r="AM837">
        <v>20</v>
      </c>
      <c r="AN837">
        <v>26</v>
      </c>
      <c r="AO837">
        <v>15</v>
      </c>
      <c r="AP837">
        <v>22</v>
      </c>
      <c r="AQ837" t="s">
        <v>2874</v>
      </c>
      <c r="AR837">
        <v>49</v>
      </c>
      <c r="AS837" t="s">
        <v>36</v>
      </c>
      <c r="AT837" t="s">
        <v>35</v>
      </c>
      <c r="AU837" s="4">
        <f>HYPERLINK("http://mlb.mlb.com/team/player.jsp?player_id=572044",572044)</f>
        <v>572044</v>
      </c>
      <c r="AV837">
        <v>0</v>
      </c>
      <c r="AW837">
        <v>0</v>
      </c>
      <c r="AX837">
        <v>10.3</v>
      </c>
    </row>
    <row r="838" spans="1:50" x14ac:dyDescent="0.3">
      <c r="A838" s="4">
        <f>HYPERLINK("http://legacy.baseballprospectus.com/p/61061",61061)</f>
        <v>61061</v>
      </c>
      <c r="B838" t="s">
        <v>940</v>
      </c>
      <c r="C838" t="s">
        <v>739</v>
      </c>
      <c r="D838" s="10">
        <v>31794</v>
      </c>
      <c r="E838" t="s">
        <v>33</v>
      </c>
      <c r="F838" t="s">
        <v>33</v>
      </c>
      <c r="G838">
        <v>76</v>
      </c>
      <c r="H838">
        <v>200</v>
      </c>
      <c r="I838">
        <v>2018</v>
      </c>
      <c r="J838" s="4" t="str">
        <f>HYPERLINK("http://legacy.baseballprospectus.com/fantasy/dc/index.php?tm=TEX","TEX")</f>
        <v>TEX</v>
      </c>
      <c r="K838" t="s">
        <v>95</v>
      </c>
      <c r="L838" t="s">
        <v>34</v>
      </c>
      <c r="M838">
        <v>31</v>
      </c>
      <c r="N838">
        <v>1.8</v>
      </c>
      <c r="O838">
        <v>0.9</v>
      </c>
      <c r="P838">
        <v>0.5</v>
      </c>
      <c r="Q838">
        <v>0</v>
      </c>
      <c r="R838">
        <v>1.1000000000000001</v>
      </c>
      <c r="S838">
        <v>0</v>
      </c>
      <c r="T838">
        <v>33.299999999999997</v>
      </c>
      <c r="U838">
        <v>1.5</v>
      </c>
      <c r="V838" s="9">
        <v>39.666699999999999</v>
      </c>
      <c r="W838">
        <v>180</v>
      </c>
      <c r="X838">
        <v>42</v>
      </c>
      <c r="Y838">
        <v>7</v>
      </c>
      <c r="Z838">
        <v>19</v>
      </c>
      <c r="AA838" t="s">
        <v>1680</v>
      </c>
      <c r="AB838">
        <v>3</v>
      </c>
      <c r="AC838">
        <v>30</v>
      </c>
      <c r="AD838">
        <v>4.4000000000000004</v>
      </c>
      <c r="AE838">
        <v>6.9</v>
      </c>
      <c r="AF838" s="5">
        <v>0.44950127601623502</v>
      </c>
      <c r="AG838">
        <v>0.29099999999999998</v>
      </c>
      <c r="AH838">
        <v>1.55</v>
      </c>
      <c r="AI838">
        <v>5.72</v>
      </c>
      <c r="AJ838">
        <v>5.79</v>
      </c>
      <c r="AK838">
        <v>-1.9</v>
      </c>
      <c r="AL838">
        <v>-0.2</v>
      </c>
      <c r="AM838">
        <v>25</v>
      </c>
      <c r="AN838">
        <v>31</v>
      </c>
      <c r="AO838">
        <v>11</v>
      </c>
      <c r="AP838">
        <v>16</v>
      </c>
      <c r="AQ838" t="s">
        <v>3265</v>
      </c>
      <c r="AR838">
        <v>52</v>
      </c>
      <c r="AS838" t="s">
        <v>36</v>
      </c>
      <c r="AT838" t="s">
        <v>36</v>
      </c>
      <c r="AU838" s="4">
        <f>HYPERLINK("http://mlb.mlb.com/team/player.jsp?player_id=489294",489294)</f>
        <v>489294</v>
      </c>
      <c r="AV838">
        <v>0</v>
      </c>
      <c r="AW838">
        <v>0</v>
      </c>
      <c r="AX838">
        <v>4</v>
      </c>
    </row>
    <row r="839" spans="1:50" x14ac:dyDescent="0.3">
      <c r="A839" s="4">
        <f>HYPERLINK("http://legacy.baseballprospectus.com/p/66069",66069)</f>
        <v>66069</v>
      </c>
      <c r="B839" t="s">
        <v>742</v>
      </c>
      <c r="C839" t="s">
        <v>2102</v>
      </c>
      <c r="D839" s="10">
        <v>33812</v>
      </c>
      <c r="E839" t="s">
        <v>33</v>
      </c>
      <c r="F839" t="s">
        <v>33</v>
      </c>
      <c r="G839">
        <v>75</v>
      </c>
      <c r="H839">
        <v>230</v>
      </c>
      <c r="I839">
        <v>2018</v>
      </c>
      <c r="J839" s="4" t="str">
        <f>HYPERLINK("http://legacy.baseballprospectus.com/fantasy/dc/index.php?tm=ANA","ANA")</f>
        <v>ANA</v>
      </c>
      <c r="K839" t="s">
        <v>95</v>
      </c>
      <c r="L839" t="s">
        <v>34</v>
      </c>
      <c r="M839">
        <v>25</v>
      </c>
      <c r="N839">
        <v>1.9</v>
      </c>
      <c r="O839">
        <v>3.4</v>
      </c>
      <c r="P839">
        <v>2.5</v>
      </c>
      <c r="Q839">
        <v>0</v>
      </c>
      <c r="R839">
        <v>0</v>
      </c>
      <c r="S839">
        <v>0</v>
      </c>
      <c r="T839">
        <v>8.4</v>
      </c>
      <c r="U839">
        <v>8.4</v>
      </c>
      <c r="V839" s="9">
        <v>39</v>
      </c>
      <c r="W839">
        <v>175</v>
      </c>
      <c r="X839">
        <v>43</v>
      </c>
      <c r="Y839">
        <v>9</v>
      </c>
      <c r="Z839">
        <v>15</v>
      </c>
      <c r="AA839" t="s">
        <v>1680</v>
      </c>
      <c r="AB839">
        <v>2</v>
      </c>
      <c r="AC839">
        <v>31</v>
      </c>
      <c r="AD839">
        <v>3.5</v>
      </c>
      <c r="AE839">
        <v>7.2</v>
      </c>
      <c r="AF839" s="5">
        <v>0.403976410627365</v>
      </c>
      <c r="AG839">
        <v>0.29599999999999999</v>
      </c>
      <c r="AH839">
        <v>1.5</v>
      </c>
      <c r="AI839">
        <v>6</v>
      </c>
      <c r="AJ839">
        <v>6.26</v>
      </c>
      <c r="AK839">
        <v>-2.2999999999999998</v>
      </c>
      <c r="AL839">
        <v>-0.2</v>
      </c>
      <c r="AM839">
        <v>8</v>
      </c>
      <c r="AN839">
        <v>16</v>
      </c>
      <c r="AO839">
        <v>3</v>
      </c>
      <c r="AP839">
        <v>16</v>
      </c>
      <c r="AQ839" t="s">
        <v>3169</v>
      </c>
      <c r="AR839">
        <v>22</v>
      </c>
      <c r="AS839" t="s">
        <v>36</v>
      </c>
      <c r="AT839" t="s">
        <v>35</v>
      </c>
      <c r="AU839" s="4">
        <f>HYPERLINK("http://mlb.mlb.com/team/player.jsp?player_id=553883",553883)</f>
        <v>553883</v>
      </c>
      <c r="AV839">
        <v>0</v>
      </c>
      <c r="AW839">
        <v>0</v>
      </c>
      <c r="AX839">
        <v>0</v>
      </c>
    </row>
    <row r="840" spans="1:50" x14ac:dyDescent="0.3">
      <c r="A840" s="4">
        <f>HYPERLINK("http://legacy.baseballprospectus.com/p/66678",66678)</f>
        <v>66678</v>
      </c>
      <c r="B840" t="s">
        <v>1062</v>
      </c>
      <c r="C840" t="s">
        <v>181</v>
      </c>
      <c r="D840" s="10">
        <v>33505</v>
      </c>
      <c r="E840" t="s">
        <v>33</v>
      </c>
      <c r="F840" t="s">
        <v>33</v>
      </c>
      <c r="G840">
        <v>79</v>
      </c>
      <c r="H840">
        <v>210</v>
      </c>
      <c r="I840">
        <v>2018</v>
      </c>
      <c r="J840" s="4" t="str">
        <f>HYPERLINK("http://legacy.baseballprospectus.com/fantasy/dc/index.php?tm=CHA","CHA")</f>
        <v>CHA</v>
      </c>
      <c r="K840" t="s">
        <v>95</v>
      </c>
      <c r="L840" t="s">
        <v>34</v>
      </c>
      <c r="M840">
        <v>26</v>
      </c>
      <c r="N840">
        <v>1.6</v>
      </c>
      <c r="O840">
        <v>0.5</v>
      </c>
      <c r="P840">
        <v>0</v>
      </c>
      <c r="Q840">
        <v>0</v>
      </c>
      <c r="R840">
        <v>0.1</v>
      </c>
      <c r="S840">
        <v>0</v>
      </c>
      <c r="T840">
        <v>34.799999999999997</v>
      </c>
      <c r="U840">
        <v>0</v>
      </c>
      <c r="V840" s="9">
        <v>36.666699999999999</v>
      </c>
      <c r="W840">
        <v>166</v>
      </c>
      <c r="X840">
        <v>36</v>
      </c>
      <c r="Y840">
        <v>6</v>
      </c>
      <c r="Z840">
        <v>19</v>
      </c>
      <c r="AA840" t="s">
        <v>1680</v>
      </c>
      <c r="AB840">
        <v>3</v>
      </c>
      <c r="AC840">
        <v>34</v>
      </c>
      <c r="AD840">
        <v>4.5</v>
      </c>
      <c r="AE840">
        <v>8.3000000000000007</v>
      </c>
      <c r="AF840" s="5">
        <v>0.40411952137946999</v>
      </c>
      <c r="AG840">
        <v>0.28799999999999998</v>
      </c>
      <c r="AH840">
        <v>1.48</v>
      </c>
      <c r="AI840">
        <v>5.39</v>
      </c>
      <c r="AJ840">
        <v>5.57</v>
      </c>
      <c r="AK840">
        <v>-1.4</v>
      </c>
      <c r="AL840">
        <v>-0.2</v>
      </c>
      <c r="AM840">
        <v>33</v>
      </c>
      <c r="AN840">
        <v>49</v>
      </c>
      <c r="AO840">
        <v>15</v>
      </c>
      <c r="AP840">
        <v>22</v>
      </c>
      <c r="AQ840" t="s">
        <v>3170</v>
      </c>
      <c r="AR840">
        <v>65</v>
      </c>
      <c r="AS840" t="s">
        <v>36</v>
      </c>
      <c r="AT840" t="s">
        <v>36</v>
      </c>
      <c r="AU840" s="4">
        <f>HYPERLINK("http://mlb.mlb.com/team/player.jsp?player_id=573589",573589)</f>
        <v>573589</v>
      </c>
      <c r="AV840">
        <v>0</v>
      </c>
      <c r="AW840">
        <v>0</v>
      </c>
      <c r="AX840">
        <v>29</v>
      </c>
    </row>
    <row r="841" spans="1:50" x14ac:dyDescent="0.3">
      <c r="A841" s="4">
        <f>HYPERLINK("http://legacy.baseballprospectus.com/p/68529",68529)</f>
        <v>68529</v>
      </c>
      <c r="B841" t="s">
        <v>1532</v>
      </c>
      <c r="C841" t="s">
        <v>704</v>
      </c>
      <c r="D841" s="10">
        <v>33464</v>
      </c>
      <c r="E841" t="s">
        <v>33</v>
      </c>
      <c r="F841" t="s">
        <v>33</v>
      </c>
      <c r="G841">
        <v>74</v>
      </c>
      <c r="H841">
        <v>195</v>
      </c>
      <c r="I841">
        <v>2018</v>
      </c>
      <c r="J841" s="4" t="str">
        <f>HYPERLINK("http://legacy.baseballprospectus.com/fantasy/dc/index.php?tm=CHA","CHA")</f>
        <v>CHA</v>
      </c>
      <c r="K841" t="s">
        <v>95</v>
      </c>
      <c r="L841" t="s">
        <v>34</v>
      </c>
      <c r="M841">
        <v>26</v>
      </c>
      <c r="N841">
        <v>0.8</v>
      </c>
      <c r="O841">
        <v>1.3</v>
      </c>
      <c r="P841">
        <v>1</v>
      </c>
      <c r="Q841">
        <v>0</v>
      </c>
      <c r="R841">
        <v>0</v>
      </c>
      <c r="S841">
        <v>0</v>
      </c>
      <c r="T841">
        <v>3</v>
      </c>
      <c r="U841">
        <v>3</v>
      </c>
      <c r="V841" s="9">
        <v>16</v>
      </c>
      <c r="W841">
        <v>73</v>
      </c>
      <c r="X841">
        <v>19</v>
      </c>
      <c r="Y841">
        <v>4</v>
      </c>
      <c r="Z841">
        <v>8</v>
      </c>
      <c r="AA841">
        <v>0</v>
      </c>
      <c r="AB841">
        <v>1</v>
      </c>
      <c r="AC841">
        <v>12</v>
      </c>
      <c r="AD841">
        <v>4.3</v>
      </c>
      <c r="AE841">
        <v>6.7</v>
      </c>
      <c r="AF841" s="5">
        <v>0.505</v>
      </c>
      <c r="AG841">
        <v>0.29499999999999998</v>
      </c>
      <c r="AH841">
        <v>1.64</v>
      </c>
      <c r="AI841">
        <v>6.14</v>
      </c>
      <c r="AJ841">
        <v>6.56</v>
      </c>
      <c r="AK841">
        <v>-1.7</v>
      </c>
      <c r="AL841">
        <v>-0.2</v>
      </c>
      <c r="AM841">
        <v>23</v>
      </c>
      <c r="AN841">
        <v>34</v>
      </c>
      <c r="AO841">
        <v>11</v>
      </c>
      <c r="AP841">
        <v>26</v>
      </c>
      <c r="AQ841" t="s">
        <v>3271</v>
      </c>
      <c r="AR841">
        <v>50</v>
      </c>
      <c r="AS841" t="s">
        <v>35</v>
      </c>
      <c r="AT841" t="s">
        <v>36</v>
      </c>
      <c r="AU841" s="4">
        <f>HYPERLINK("http://mlb.mlb.com/team/player.jsp?player_id=592229",592229)</f>
        <v>592229</v>
      </c>
      <c r="AV841">
        <v>69</v>
      </c>
      <c r="AW841">
        <v>1069</v>
      </c>
      <c r="AX841">
        <v>70</v>
      </c>
    </row>
    <row r="842" spans="1:50" x14ac:dyDescent="0.3">
      <c r="A842" s="4">
        <f>HYPERLINK("http://legacy.baseballprospectus.com/p/68637",68637)</f>
        <v>68637</v>
      </c>
      <c r="B842" t="s">
        <v>1477</v>
      </c>
      <c r="C842" t="s">
        <v>254</v>
      </c>
      <c r="D842" s="10">
        <v>33564</v>
      </c>
      <c r="E842" t="s">
        <v>9</v>
      </c>
      <c r="F842" t="s">
        <v>9</v>
      </c>
      <c r="G842">
        <v>75</v>
      </c>
      <c r="H842">
        <v>195</v>
      </c>
      <c r="I842">
        <v>2018</v>
      </c>
      <c r="J842" s="4" t="str">
        <f>HYPERLINK("http://legacy.baseballprospectus.com/fantasy/dc/index.php?tm=MIA","MIA")</f>
        <v>MIA</v>
      </c>
      <c r="K842" t="s">
        <v>100</v>
      </c>
      <c r="L842" t="s">
        <v>34</v>
      </c>
      <c r="M842">
        <v>26</v>
      </c>
      <c r="N842">
        <v>3</v>
      </c>
      <c r="O842">
        <v>4.8</v>
      </c>
      <c r="P842">
        <v>3</v>
      </c>
      <c r="Q842">
        <v>0</v>
      </c>
      <c r="R842">
        <v>0</v>
      </c>
      <c r="S842">
        <v>0</v>
      </c>
      <c r="T842">
        <v>29</v>
      </c>
      <c r="U842">
        <v>8</v>
      </c>
      <c r="V842" s="9">
        <v>67.333299999999994</v>
      </c>
      <c r="W842">
        <v>297</v>
      </c>
      <c r="X842">
        <v>74</v>
      </c>
      <c r="Y842">
        <v>12</v>
      </c>
      <c r="Z842">
        <v>27</v>
      </c>
      <c r="AA842">
        <v>3</v>
      </c>
      <c r="AB842">
        <v>3</v>
      </c>
      <c r="AC842">
        <v>47</v>
      </c>
      <c r="AD842">
        <v>3.6</v>
      </c>
      <c r="AE842">
        <v>6.3</v>
      </c>
      <c r="AF842" s="5">
        <v>0.47</v>
      </c>
      <c r="AG842">
        <v>0.29499999999999998</v>
      </c>
      <c r="AH842">
        <v>1.49</v>
      </c>
      <c r="AI842">
        <v>5.54</v>
      </c>
      <c r="AJ842">
        <v>5.46</v>
      </c>
      <c r="AK842">
        <v>-1.9</v>
      </c>
      <c r="AL842">
        <v>-0.2</v>
      </c>
      <c r="AM842">
        <v>37</v>
      </c>
      <c r="AN842">
        <v>53</v>
      </c>
      <c r="AO842">
        <v>9</v>
      </c>
      <c r="AP842">
        <v>32</v>
      </c>
      <c r="AQ842" t="s">
        <v>3175</v>
      </c>
      <c r="AR842">
        <v>75</v>
      </c>
      <c r="AS842" t="s">
        <v>35</v>
      </c>
      <c r="AT842" t="s">
        <v>36</v>
      </c>
      <c r="AU842" s="4">
        <f>HYPERLINK("http://mlb.mlb.com/team/player.jsp?player_id=592593",592593)</f>
        <v>592593</v>
      </c>
      <c r="AV842">
        <v>1086</v>
      </c>
      <c r="AW842">
        <v>86</v>
      </c>
      <c r="AX842">
        <v>48</v>
      </c>
    </row>
    <row r="843" spans="1:50" x14ac:dyDescent="0.3">
      <c r="A843" s="4">
        <f>HYPERLINK("http://legacy.baseballprospectus.com/p/69038",69038)</f>
        <v>69038</v>
      </c>
      <c r="B843" t="s">
        <v>2114</v>
      </c>
      <c r="C843" t="s">
        <v>2115</v>
      </c>
      <c r="D843" s="10">
        <v>34151</v>
      </c>
      <c r="E843" t="s">
        <v>33</v>
      </c>
      <c r="F843" t="s">
        <v>33</v>
      </c>
      <c r="G843">
        <v>74</v>
      </c>
      <c r="H843">
        <v>210</v>
      </c>
      <c r="I843">
        <v>2018</v>
      </c>
      <c r="J843" s="4" t="str">
        <f>HYPERLINK("http://legacy.baseballprospectus.com/fantasy/dc/index.php?tm=CHA","CHA")</f>
        <v>CHA</v>
      </c>
      <c r="K843" t="s">
        <v>95</v>
      </c>
      <c r="L843" t="s">
        <v>34</v>
      </c>
      <c r="M843">
        <v>24</v>
      </c>
      <c r="N843">
        <v>1.5</v>
      </c>
      <c r="O843">
        <v>1.9</v>
      </c>
      <c r="P843">
        <v>0</v>
      </c>
      <c r="Q843">
        <v>0</v>
      </c>
      <c r="R843">
        <v>0</v>
      </c>
      <c r="S843">
        <v>1</v>
      </c>
      <c r="T843">
        <v>35</v>
      </c>
      <c r="U843">
        <v>0</v>
      </c>
      <c r="V843" s="9">
        <v>36.666699999999999</v>
      </c>
      <c r="W843">
        <v>165</v>
      </c>
      <c r="X843">
        <v>39</v>
      </c>
      <c r="Y843">
        <v>7</v>
      </c>
      <c r="Z843">
        <v>18</v>
      </c>
      <c r="AA843">
        <v>1</v>
      </c>
      <c r="AB843">
        <v>2</v>
      </c>
      <c r="AC843">
        <v>33</v>
      </c>
      <c r="AD843">
        <v>4.4000000000000004</v>
      </c>
      <c r="AE843">
        <v>8.1</v>
      </c>
      <c r="AF843" s="5">
        <v>0.443</v>
      </c>
      <c r="AG843">
        <v>0.29699999999999999</v>
      </c>
      <c r="AH843">
        <v>1.54</v>
      </c>
      <c r="AI843">
        <v>5.74</v>
      </c>
      <c r="AJ843">
        <v>5.7</v>
      </c>
      <c r="AK843">
        <v>-1.7</v>
      </c>
      <c r="AL843">
        <v>-0.2</v>
      </c>
      <c r="AM843">
        <v>8</v>
      </c>
      <c r="AN843">
        <v>12</v>
      </c>
      <c r="AO843">
        <v>3</v>
      </c>
      <c r="AP843">
        <v>8</v>
      </c>
      <c r="AQ843" t="s">
        <v>3046</v>
      </c>
      <c r="AR843">
        <v>18</v>
      </c>
      <c r="AS843" t="s">
        <v>35</v>
      </c>
      <c r="AT843" t="s">
        <v>35</v>
      </c>
      <c r="AU843" s="4">
        <f>HYPERLINK("http://mlb.mlb.com/team/player.jsp?player_id=600986",600986)</f>
        <v>600986</v>
      </c>
      <c r="AV843">
        <v>340</v>
      </c>
      <c r="AW843">
        <v>1340</v>
      </c>
      <c r="AX843">
        <v>1</v>
      </c>
    </row>
    <row r="844" spans="1:50" x14ac:dyDescent="0.3">
      <c r="A844" s="4">
        <f>HYPERLINK("http://legacy.baseballprospectus.com/p/70069",70069)</f>
        <v>70069</v>
      </c>
      <c r="B844" t="s">
        <v>1294</v>
      </c>
      <c r="C844" t="s">
        <v>638</v>
      </c>
      <c r="D844" s="10">
        <v>32829</v>
      </c>
      <c r="E844" t="s">
        <v>33</v>
      </c>
      <c r="F844" t="s">
        <v>33</v>
      </c>
      <c r="G844">
        <v>76</v>
      </c>
      <c r="H844">
        <v>225</v>
      </c>
      <c r="I844">
        <v>2018</v>
      </c>
      <c r="J844" s="4" t="str">
        <f>HYPERLINK("http://legacy.baseballprospectus.com/fantasy/dc/index.php?tm=NYN","NYN")</f>
        <v>NYN</v>
      </c>
      <c r="K844" t="s">
        <v>100</v>
      </c>
      <c r="L844" t="s">
        <v>34</v>
      </c>
      <c r="M844">
        <v>28</v>
      </c>
      <c r="N844">
        <v>6</v>
      </c>
      <c r="O844">
        <v>7.7</v>
      </c>
      <c r="P844">
        <v>6</v>
      </c>
      <c r="Q844">
        <v>0</v>
      </c>
      <c r="R844">
        <v>0</v>
      </c>
      <c r="S844">
        <v>0</v>
      </c>
      <c r="T844">
        <v>40</v>
      </c>
      <c r="U844">
        <v>16</v>
      </c>
      <c r="V844" s="9">
        <v>116.66670000000001</v>
      </c>
      <c r="W844">
        <v>517</v>
      </c>
      <c r="X844">
        <v>127</v>
      </c>
      <c r="Y844">
        <v>22</v>
      </c>
      <c r="Z844">
        <v>43</v>
      </c>
      <c r="AA844">
        <v>3</v>
      </c>
      <c r="AB844">
        <v>5</v>
      </c>
      <c r="AC844">
        <v>99</v>
      </c>
      <c r="AD844">
        <v>3.3</v>
      </c>
      <c r="AE844">
        <v>7.7</v>
      </c>
      <c r="AF844" s="5">
        <v>0.436</v>
      </c>
      <c r="AG844">
        <v>0.30099999999999999</v>
      </c>
      <c r="AH844">
        <v>1.46</v>
      </c>
      <c r="AI844">
        <v>5.14</v>
      </c>
      <c r="AJ844">
        <v>5.39</v>
      </c>
      <c r="AK844">
        <v>-2.2000000000000002</v>
      </c>
      <c r="AL844">
        <v>-0.2</v>
      </c>
      <c r="AM844">
        <v>32</v>
      </c>
      <c r="AN844">
        <v>56</v>
      </c>
      <c r="AO844">
        <v>13</v>
      </c>
      <c r="AP844">
        <v>31</v>
      </c>
      <c r="AQ844" t="s">
        <v>2514</v>
      </c>
      <c r="AR844">
        <v>78</v>
      </c>
      <c r="AS844" t="s">
        <v>35</v>
      </c>
      <c r="AT844" t="s">
        <v>36</v>
      </c>
      <c r="AU844" s="4">
        <f>HYPERLINK("http://mlb.mlb.com/team/player.jsp?player_id=607625",607625)</f>
        <v>607625</v>
      </c>
      <c r="AV844">
        <v>1054</v>
      </c>
      <c r="AW844">
        <v>54</v>
      </c>
      <c r="AX844">
        <v>101.3</v>
      </c>
    </row>
    <row r="845" spans="1:50" x14ac:dyDescent="0.3">
      <c r="A845" s="4">
        <f>HYPERLINK("http://legacy.baseballprospectus.com/p/70432",70432)</f>
        <v>70432</v>
      </c>
      <c r="B845" t="s">
        <v>3380</v>
      </c>
      <c r="C845" t="s">
        <v>148</v>
      </c>
      <c r="D845" s="10">
        <v>33023</v>
      </c>
      <c r="E845" t="s">
        <v>9</v>
      </c>
      <c r="F845" t="s">
        <v>33</v>
      </c>
      <c r="G845">
        <v>73</v>
      </c>
      <c r="H845">
        <v>185</v>
      </c>
      <c r="I845">
        <v>2018</v>
      </c>
      <c r="J845" s="4" t="str">
        <f>HYPERLINK("http://legacy.baseballprospectus.com/fantasy/dc/index.php?tm=SLN","SLN")</f>
        <v>SLN</v>
      </c>
      <c r="K845" t="s">
        <v>100</v>
      </c>
      <c r="L845" t="s">
        <v>34</v>
      </c>
      <c r="M845">
        <v>28</v>
      </c>
      <c r="N845">
        <v>1.4</v>
      </c>
      <c r="O845">
        <v>1.6</v>
      </c>
      <c r="P845">
        <v>0</v>
      </c>
      <c r="Q845">
        <v>0</v>
      </c>
      <c r="R845">
        <v>0</v>
      </c>
      <c r="S845">
        <v>1</v>
      </c>
      <c r="T845">
        <v>29</v>
      </c>
      <c r="U845">
        <v>0</v>
      </c>
      <c r="V845" s="9">
        <v>31</v>
      </c>
      <c r="W845">
        <v>138</v>
      </c>
      <c r="X845">
        <v>33</v>
      </c>
      <c r="Y845">
        <v>6</v>
      </c>
      <c r="Z845">
        <v>12</v>
      </c>
      <c r="AA845">
        <v>1</v>
      </c>
      <c r="AB845">
        <v>2</v>
      </c>
      <c r="AC845">
        <v>30</v>
      </c>
      <c r="AD845">
        <v>3.6</v>
      </c>
      <c r="AE845">
        <v>8.6999999999999993</v>
      </c>
      <c r="AF845" s="5">
        <v>0.38</v>
      </c>
      <c r="AG845">
        <v>0.29899999999999999</v>
      </c>
      <c r="AH845">
        <v>1.46</v>
      </c>
      <c r="AI845">
        <v>5.66</v>
      </c>
      <c r="AJ845">
        <v>5.6</v>
      </c>
      <c r="AK845">
        <v>-1.9</v>
      </c>
      <c r="AL845">
        <v>-0.2</v>
      </c>
      <c r="AM845">
        <v>22</v>
      </c>
      <c r="AN845">
        <v>33</v>
      </c>
      <c r="AO845">
        <v>10</v>
      </c>
      <c r="AP845">
        <v>24</v>
      </c>
      <c r="AQ845" t="s">
        <v>3381</v>
      </c>
      <c r="AR845">
        <v>55</v>
      </c>
      <c r="AS845" t="s">
        <v>35</v>
      </c>
      <c r="AT845" t="s">
        <v>36</v>
      </c>
      <c r="AU845" s="4">
        <f>HYPERLINK("http://mlb.mlb.com/team/player.jsp?player_id=605154",605154)</f>
        <v>605154</v>
      </c>
      <c r="AV845">
        <v>1291</v>
      </c>
      <c r="AW845">
        <v>291</v>
      </c>
      <c r="AX845">
        <v>51.7</v>
      </c>
    </row>
    <row r="846" spans="1:50" x14ac:dyDescent="0.3">
      <c r="A846" s="4">
        <f>HYPERLINK("http://legacy.baseballprospectus.com/p/70611",70611)</f>
        <v>70611</v>
      </c>
      <c r="B846" t="s">
        <v>1042</v>
      </c>
      <c r="C846" t="s">
        <v>746</v>
      </c>
      <c r="D846" s="10">
        <v>34316</v>
      </c>
      <c r="E846" t="s">
        <v>33</v>
      </c>
      <c r="F846" t="s">
        <v>33</v>
      </c>
      <c r="G846">
        <v>72</v>
      </c>
      <c r="H846">
        <v>195</v>
      </c>
      <c r="I846">
        <v>2018</v>
      </c>
      <c r="J846" s="4" t="str">
        <f>HYPERLINK("http://legacy.baseballprospectus.com/fantasy/dc/index.php?tm=CHA","CHA")</f>
        <v>CHA</v>
      </c>
      <c r="K846" t="s">
        <v>95</v>
      </c>
      <c r="L846" t="s">
        <v>34</v>
      </c>
      <c r="M846">
        <v>24</v>
      </c>
      <c r="N846">
        <v>2.7</v>
      </c>
      <c r="O846">
        <v>4.5</v>
      </c>
      <c r="P846">
        <v>4</v>
      </c>
      <c r="Q846">
        <v>0</v>
      </c>
      <c r="R846">
        <v>0</v>
      </c>
      <c r="S846">
        <v>0</v>
      </c>
      <c r="T846">
        <v>11</v>
      </c>
      <c r="U846">
        <v>11</v>
      </c>
      <c r="V846" s="9">
        <v>55</v>
      </c>
      <c r="W846">
        <v>247</v>
      </c>
      <c r="X846">
        <v>57</v>
      </c>
      <c r="Y846">
        <v>12</v>
      </c>
      <c r="Z846">
        <v>26</v>
      </c>
      <c r="AA846">
        <v>1</v>
      </c>
      <c r="AB846">
        <v>3</v>
      </c>
      <c r="AC846">
        <v>51</v>
      </c>
      <c r="AD846">
        <v>4.3</v>
      </c>
      <c r="AE846">
        <v>8.4</v>
      </c>
      <c r="AF846" s="5">
        <v>0.42899999999999999</v>
      </c>
      <c r="AG846">
        <v>0.29299999999999998</v>
      </c>
      <c r="AH846">
        <v>1.51</v>
      </c>
      <c r="AI846">
        <v>5.44</v>
      </c>
      <c r="AJ846">
        <v>5.82</v>
      </c>
      <c r="AK846">
        <v>-1.6</v>
      </c>
      <c r="AL846">
        <v>-0.2</v>
      </c>
      <c r="AM846">
        <v>19</v>
      </c>
      <c r="AN846">
        <v>31</v>
      </c>
      <c r="AO846">
        <v>18</v>
      </c>
      <c r="AP846">
        <v>26</v>
      </c>
      <c r="AQ846" t="s">
        <v>2894</v>
      </c>
      <c r="AR846">
        <v>58</v>
      </c>
      <c r="AS846" t="s">
        <v>35</v>
      </c>
      <c r="AT846" t="s">
        <v>35</v>
      </c>
      <c r="AU846" s="4">
        <f>HYPERLINK("http://mlb.mlb.com/team/player.jsp?player_id=608334",608334)</f>
        <v>608334</v>
      </c>
      <c r="AV846">
        <v>104</v>
      </c>
      <c r="AW846">
        <v>1104</v>
      </c>
      <c r="AX846">
        <v>23.3</v>
      </c>
    </row>
    <row r="847" spans="1:50" x14ac:dyDescent="0.3">
      <c r="A847" s="4">
        <f>HYPERLINK("http://legacy.baseballprospectus.com/p/70869",70869)</f>
        <v>70869</v>
      </c>
      <c r="B847" t="s">
        <v>284</v>
      </c>
      <c r="C847" t="s">
        <v>2116</v>
      </c>
      <c r="D847" s="10">
        <v>34088</v>
      </c>
      <c r="E847" t="s">
        <v>33</v>
      </c>
      <c r="F847" t="s">
        <v>33</v>
      </c>
      <c r="G847">
        <v>77</v>
      </c>
      <c r="H847">
        <v>255</v>
      </c>
      <c r="I847">
        <v>2018</v>
      </c>
      <c r="J847" s="4" t="str">
        <f>HYPERLINK("http://legacy.baseballprospectus.com/fantasy/dc/index.php?tm=CIN","CIN")</f>
        <v>CIN</v>
      </c>
      <c r="K847" t="s">
        <v>100</v>
      </c>
      <c r="L847" t="s">
        <v>34</v>
      </c>
      <c r="M847">
        <v>25</v>
      </c>
      <c r="N847">
        <v>2.1</v>
      </c>
      <c r="O847">
        <v>3.1</v>
      </c>
      <c r="P847">
        <v>2</v>
      </c>
      <c r="Q847">
        <v>0</v>
      </c>
      <c r="R847">
        <v>0</v>
      </c>
      <c r="S847">
        <v>0</v>
      </c>
      <c r="T847">
        <v>17</v>
      </c>
      <c r="U847">
        <v>6</v>
      </c>
      <c r="V847" s="9">
        <v>43.333300000000001</v>
      </c>
      <c r="W847">
        <v>195</v>
      </c>
      <c r="X847">
        <v>48</v>
      </c>
      <c r="Y847">
        <v>10</v>
      </c>
      <c r="Z847">
        <v>17</v>
      </c>
      <c r="AA847">
        <v>1</v>
      </c>
      <c r="AB847">
        <v>2</v>
      </c>
      <c r="AC847">
        <v>39</v>
      </c>
      <c r="AD847">
        <v>3.6</v>
      </c>
      <c r="AE847">
        <v>8.1</v>
      </c>
      <c r="AF847" s="5">
        <v>0.42399999999999999</v>
      </c>
      <c r="AG847">
        <v>0.30099999999999999</v>
      </c>
      <c r="AH847">
        <v>1.53</v>
      </c>
      <c r="AI847">
        <v>5.67</v>
      </c>
      <c r="AJ847">
        <v>5.64</v>
      </c>
      <c r="AK847">
        <v>-2</v>
      </c>
      <c r="AL847">
        <v>-0.2</v>
      </c>
      <c r="AM847">
        <v>13</v>
      </c>
      <c r="AN847">
        <v>20</v>
      </c>
      <c r="AO847">
        <v>14</v>
      </c>
      <c r="AP847">
        <v>34</v>
      </c>
      <c r="AQ847" t="s">
        <v>3191</v>
      </c>
      <c r="AR847">
        <v>38</v>
      </c>
      <c r="AS847" t="s">
        <v>35</v>
      </c>
      <c r="AT847" t="s">
        <v>35</v>
      </c>
      <c r="AU847" s="4">
        <f>HYPERLINK("http://mlb.mlb.com/team/player.jsp?player_id=606959",606959)</f>
        <v>606959</v>
      </c>
      <c r="AV847">
        <v>1108</v>
      </c>
      <c r="AW847">
        <v>108</v>
      </c>
      <c r="AX847">
        <v>24</v>
      </c>
    </row>
    <row r="848" spans="1:50" x14ac:dyDescent="0.3">
      <c r="A848" s="4">
        <f>HYPERLINK("http://legacy.baseballprospectus.com/p/100260",100260)</f>
        <v>100260</v>
      </c>
      <c r="B848" t="s">
        <v>1648</v>
      </c>
      <c r="C848" t="s">
        <v>138</v>
      </c>
      <c r="D848" s="10">
        <v>34332</v>
      </c>
      <c r="E848" t="s">
        <v>9</v>
      </c>
      <c r="F848" t="s">
        <v>33</v>
      </c>
      <c r="G848">
        <v>76</v>
      </c>
      <c r="H848">
        <v>205</v>
      </c>
      <c r="I848">
        <v>2018</v>
      </c>
      <c r="J848" s="4" t="str">
        <f>HYPERLINK("http://legacy.baseballprospectus.com/fantasy/dc/index.php?tm=SEA","SEA")</f>
        <v>SEA</v>
      </c>
      <c r="K848" t="s">
        <v>95</v>
      </c>
      <c r="L848" t="s">
        <v>34</v>
      </c>
      <c r="M848">
        <v>24</v>
      </c>
      <c r="N848">
        <v>0.9</v>
      </c>
      <c r="O848">
        <v>1.1000000000000001</v>
      </c>
      <c r="P848">
        <v>0</v>
      </c>
      <c r="Q848">
        <v>0</v>
      </c>
      <c r="R848">
        <v>0</v>
      </c>
      <c r="S848">
        <v>1</v>
      </c>
      <c r="T848">
        <v>20</v>
      </c>
      <c r="U848">
        <v>0</v>
      </c>
      <c r="V848" s="9">
        <v>21</v>
      </c>
      <c r="W848">
        <v>92</v>
      </c>
      <c r="X848">
        <v>22</v>
      </c>
      <c r="Y848">
        <v>5</v>
      </c>
      <c r="Z848">
        <v>8</v>
      </c>
      <c r="AA848">
        <v>1</v>
      </c>
      <c r="AB848">
        <v>1</v>
      </c>
      <c r="AC848">
        <v>19</v>
      </c>
      <c r="AD848">
        <v>3.5</v>
      </c>
      <c r="AE848">
        <v>8.1999999999999993</v>
      </c>
      <c r="AF848" s="5">
        <v>0.377</v>
      </c>
      <c r="AG848">
        <v>0.28599999999999998</v>
      </c>
      <c r="AH848">
        <v>1.4</v>
      </c>
      <c r="AI848">
        <v>6.07</v>
      </c>
      <c r="AJ848">
        <v>6.16</v>
      </c>
      <c r="AK848">
        <v>-2</v>
      </c>
      <c r="AL848">
        <v>-0.2</v>
      </c>
      <c r="AM848">
        <v>12</v>
      </c>
      <c r="AN848">
        <v>21</v>
      </c>
      <c r="AO848">
        <v>7</v>
      </c>
      <c r="AP848">
        <v>19</v>
      </c>
      <c r="AQ848" t="s">
        <v>3067</v>
      </c>
      <c r="AR848">
        <v>29</v>
      </c>
      <c r="AS848" t="s">
        <v>35</v>
      </c>
      <c r="AT848" t="s">
        <v>35</v>
      </c>
      <c r="AU848" s="4">
        <f>HYPERLINK("http://mlb.mlb.com/team/player.jsp?player_id=608328",608328)</f>
        <v>608328</v>
      </c>
      <c r="AV848">
        <v>96</v>
      </c>
      <c r="AW848">
        <v>1096</v>
      </c>
      <c r="AX848">
        <v>28.3</v>
      </c>
    </row>
    <row r="849" spans="1:50" x14ac:dyDescent="0.3">
      <c r="A849" s="4">
        <f>HYPERLINK("http://legacy.baseballprospectus.com/p/100517",100517)</f>
        <v>100517</v>
      </c>
      <c r="B849" t="s">
        <v>2157</v>
      </c>
      <c r="C849" t="s">
        <v>1108</v>
      </c>
      <c r="D849" s="10">
        <v>34430</v>
      </c>
      <c r="E849" t="s">
        <v>9</v>
      </c>
      <c r="F849" t="s">
        <v>33</v>
      </c>
      <c r="G849">
        <v>75</v>
      </c>
      <c r="H849">
        <v>200</v>
      </c>
      <c r="I849">
        <v>2018</v>
      </c>
      <c r="J849" s="4" t="str">
        <f>HYPERLINK("http://legacy.baseballprospectus.com/fantasy/dc/index.php?tm=COL","COL")</f>
        <v>COL</v>
      </c>
      <c r="K849" t="s">
        <v>100</v>
      </c>
      <c r="L849" t="s">
        <v>34</v>
      </c>
      <c r="M849">
        <v>24</v>
      </c>
      <c r="N849">
        <v>0.7</v>
      </c>
      <c r="O849">
        <v>0.9</v>
      </c>
      <c r="P849">
        <v>0</v>
      </c>
      <c r="Q849">
        <v>0</v>
      </c>
      <c r="R849">
        <v>0</v>
      </c>
      <c r="S849">
        <v>0</v>
      </c>
      <c r="T849">
        <v>16</v>
      </c>
      <c r="U849">
        <v>0</v>
      </c>
      <c r="V849" s="9">
        <v>16.666699999999999</v>
      </c>
      <c r="W849">
        <v>75</v>
      </c>
      <c r="X849">
        <v>19</v>
      </c>
      <c r="Y849">
        <v>4</v>
      </c>
      <c r="Z849">
        <v>7</v>
      </c>
      <c r="AA849">
        <v>1</v>
      </c>
      <c r="AB849">
        <v>1</v>
      </c>
      <c r="AC849">
        <v>13</v>
      </c>
      <c r="AD849">
        <v>3.8</v>
      </c>
      <c r="AE849">
        <v>7.3</v>
      </c>
      <c r="AF849" s="5">
        <v>0.41899999999999998</v>
      </c>
      <c r="AG849">
        <v>0.29899999999999999</v>
      </c>
      <c r="AH849">
        <v>1.56</v>
      </c>
      <c r="AI849">
        <v>6.2</v>
      </c>
      <c r="AJ849">
        <v>6.01</v>
      </c>
      <c r="AK849">
        <v>-1.7</v>
      </c>
      <c r="AL849">
        <v>-0.2</v>
      </c>
      <c r="AM849">
        <v>2</v>
      </c>
      <c r="AN849">
        <v>3</v>
      </c>
      <c r="AO849">
        <v>0</v>
      </c>
      <c r="AP849">
        <v>2</v>
      </c>
      <c r="AQ849" t="s">
        <v>3069</v>
      </c>
      <c r="AR849">
        <v>4</v>
      </c>
      <c r="AS849" t="s">
        <v>35</v>
      </c>
      <c r="AT849" t="s">
        <v>35</v>
      </c>
      <c r="AU849" s="4">
        <f>HYPERLINK("http://mlb.mlb.com/team/player.jsp?player_id=621106",621106)</f>
        <v>621106</v>
      </c>
      <c r="AV849">
        <v>0</v>
      </c>
      <c r="AW849">
        <v>0</v>
      </c>
      <c r="AX849">
        <v>0</v>
      </c>
    </row>
    <row r="850" spans="1:50" x14ac:dyDescent="0.3">
      <c r="A850" s="4">
        <f>HYPERLINK("http://legacy.baseballprospectus.com/p/100525",100525)</f>
        <v>100525</v>
      </c>
      <c r="B850" t="s">
        <v>2059</v>
      </c>
      <c r="C850" t="s">
        <v>684</v>
      </c>
      <c r="D850" s="10">
        <v>34457</v>
      </c>
      <c r="E850" t="s">
        <v>33</v>
      </c>
      <c r="F850" t="s">
        <v>33</v>
      </c>
      <c r="G850">
        <v>77</v>
      </c>
      <c r="H850">
        <v>225</v>
      </c>
      <c r="I850">
        <v>2018</v>
      </c>
      <c r="J850" s="4" t="str">
        <f>HYPERLINK("http://legacy.baseballprospectus.com/fantasy/dc/index.php?tm=SDN","SDN")</f>
        <v>SDN</v>
      </c>
      <c r="K850" t="s">
        <v>100</v>
      </c>
      <c r="L850" t="s">
        <v>34</v>
      </c>
      <c r="M850">
        <v>24</v>
      </c>
      <c r="N850">
        <v>0.6</v>
      </c>
      <c r="O850">
        <v>1.3</v>
      </c>
      <c r="P850">
        <v>1</v>
      </c>
      <c r="Q850">
        <v>0</v>
      </c>
      <c r="R850">
        <v>0</v>
      </c>
      <c r="S850">
        <v>0</v>
      </c>
      <c r="T850">
        <v>3</v>
      </c>
      <c r="U850">
        <v>3</v>
      </c>
      <c r="V850" s="9">
        <v>15</v>
      </c>
      <c r="W850">
        <v>66</v>
      </c>
      <c r="X850">
        <v>17</v>
      </c>
      <c r="Y850">
        <v>3</v>
      </c>
      <c r="Z850">
        <v>5</v>
      </c>
      <c r="AA850">
        <v>0</v>
      </c>
      <c r="AB850">
        <v>1</v>
      </c>
      <c r="AC850">
        <v>12</v>
      </c>
      <c r="AD850">
        <v>3.1</v>
      </c>
      <c r="AE850">
        <v>7.2</v>
      </c>
      <c r="AF850" s="5">
        <v>0.48599999999999999</v>
      </c>
      <c r="AG850">
        <v>0.29399999999999998</v>
      </c>
      <c r="AH850">
        <v>1.41</v>
      </c>
      <c r="AI850">
        <v>5.58</v>
      </c>
      <c r="AJ850">
        <v>6.22</v>
      </c>
      <c r="AK850">
        <v>-1.5</v>
      </c>
      <c r="AL850">
        <v>-0.2</v>
      </c>
      <c r="AM850">
        <v>19</v>
      </c>
      <c r="AN850">
        <v>25</v>
      </c>
      <c r="AO850">
        <v>11</v>
      </c>
      <c r="AP850">
        <v>26</v>
      </c>
      <c r="AQ850" t="s">
        <v>3070</v>
      </c>
      <c r="AR850">
        <v>42</v>
      </c>
      <c r="AS850" t="s">
        <v>35</v>
      </c>
      <c r="AT850" t="s">
        <v>35</v>
      </c>
      <c r="AU850" s="4">
        <f>HYPERLINK("http://mlb.mlb.com/team/player.jsp?player_id=621141",621141)</f>
        <v>621141</v>
      </c>
      <c r="AV850">
        <v>0</v>
      </c>
      <c r="AW850">
        <v>0</v>
      </c>
      <c r="AX850">
        <v>0</v>
      </c>
    </row>
    <row r="851" spans="1:50" x14ac:dyDescent="0.3">
      <c r="A851" s="4">
        <f>HYPERLINK("http://legacy.baseballprospectus.com/p/68920",68920)</f>
        <v>68920</v>
      </c>
      <c r="B851" t="s">
        <v>1161</v>
      </c>
      <c r="C851" t="s">
        <v>638</v>
      </c>
      <c r="D851" s="10">
        <v>32430</v>
      </c>
      <c r="E851" t="s">
        <v>33</v>
      </c>
      <c r="F851" t="s">
        <v>33</v>
      </c>
      <c r="G851">
        <v>72</v>
      </c>
      <c r="H851">
        <v>190</v>
      </c>
      <c r="I851">
        <v>2018</v>
      </c>
      <c r="J851" s="4" t="str">
        <f>HYPERLINK("http://legacy.baseballprospectus.com/fantasy/dc/index.php?tm=KCA","KCA")</f>
        <v>KCA</v>
      </c>
      <c r="K851" t="s">
        <v>95</v>
      </c>
      <c r="L851" t="s">
        <v>34</v>
      </c>
      <c r="M851">
        <v>29</v>
      </c>
      <c r="N851">
        <v>2</v>
      </c>
      <c r="O851">
        <v>0.6</v>
      </c>
      <c r="P851">
        <v>0</v>
      </c>
      <c r="Q851">
        <v>0</v>
      </c>
      <c r="R851">
        <v>0.3</v>
      </c>
      <c r="S851">
        <v>0</v>
      </c>
      <c r="T851">
        <v>41.9</v>
      </c>
      <c r="U851">
        <v>0</v>
      </c>
      <c r="V851" s="9">
        <v>44.333300000000001</v>
      </c>
      <c r="W851">
        <v>201</v>
      </c>
      <c r="X851">
        <v>52</v>
      </c>
      <c r="Y851">
        <v>7</v>
      </c>
      <c r="Z851">
        <v>19</v>
      </c>
      <c r="AA851" t="s">
        <v>1680</v>
      </c>
      <c r="AB851">
        <v>2</v>
      </c>
      <c r="AC851">
        <v>30</v>
      </c>
      <c r="AD851">
        <v>3.9</v>
      </c>
      <c r="AE851">
        <v>6.2</v>
      </c>
      <c r="AF851" s="5">
        <v>0.49905619025230402</v>
      </c>
      <c r="AG851">
        <v>0.315</v>
      </c>
      <c r="AH851">
        <v>1.6</v>
      </c>
      <c r="AI851">
        <v>5.45</v>
      </c>
      <c r="AJ851">
        <v>5.71</v>
      </c>
      <c r="AK851">
        <v>-2.1</v>
      </c>
      <c r="AL851">
        <v>-0.2</v>
      </c>
      <c r="AM851">
        <v>30</v>
      </c>
      <c r="AN851">
        <v>52</v>
      </c>
      <c r="AO851">
        <v>26</v>
      </c>
      <c r="AP851">
        <v>20</v>
      </c>
      <c r="AQ851" t="s">
        <v>3205</v>
      </c>
      <c r="AR851">
        <v>90</v>
      </c>
      <c r="AS851" t="s">
        <v>36</v>
      </c>
      <c r="AT851" t="s">
        <v>36</v>
      </c>
      <c r="AU851" s="4">
        <f>HYPERLINK("http://mlb.mlb.com/team/player.jsp?player_id=595307",595307)</f>
        <v>595307</v>
      </c>
      <c r="AV851">
        <v>0</v>
      </c>
      <c r="AW851">
        <v>0</v>
      </c>
      <c r="AX851">
        <v>9.6999999999999993</v>
      </c>
    </row>
    <row r="852" spans="1:50" x14ac:dyDescent="0.3">
      <c r="A852" s="4">
        <f>HYPERLINK("http://legacy.baseballprospectus.com/p/69116",69116)</f>
        <v>69116</v>
      </c>
      <c r="B852" t="s">
        <v>380</v>
      </c>
      <c r="C852" t="s">
        <v>943</v>
      </c>
      <c r="D852" s="10">
        <v>33875</v>
      </c>
      <c r="E852" t="s">
        <v>33</v>
      </c>
      <c r="F852" t="s">
        <v>33</v>
      </c>
      <c r="G852">
        <v>74</v>
      </c>
      <c r="H852">
        <v>155</v>
      </c>
      <c r="I852">
        <v>2018</v>
      </c>
      <c r="J852" s="4" t="str">
        <f>HYPERLINK("http://legacy.baseballprospectus.com/fantasy/dc/index.php?tm=MIA","MIA")</f>
        <v>MIA</v>
      </c>
      <c r="K852" t="s">
        <v>100</v>
      </c>
      <c r="L852" t="s">
        <v>34</v>
      </c>
      <c r="M852">
        <v>25</v>
      </c>
      <c r="N852">
        <v>1.2</v>
      </c>
      <c r="O852">
        <v>0.4</v>
      </c>
      <c r="P852">
        <v>0</v>
      </c>
      <c r="Q852">
        <v>0</v>
      </c>
      <c r="R852">
        <v>0</v>
      </c>
      <c r="S852">
        <v>0</v>
      </c>
      <c r="T852">
        <v>25.5</v>
      </c>
      <c r="U852">
        <v>0</v>
      </c>
      <c r="V852" s="9">
        <v>27</v>
      </c>
      <c r="W852">
        <v>116</v>
      </c>
      <c r="X852">
        <v>30</v>
      </c>
      <c r="Y852">
        <v>5</v>
      </c>
      <c r="Z852">
        <v>9</v>
      </c>
      <c r="AA852" t="s">
        <v>1680</v>
      </c>
      <c r="AB852">
        <v>1</v>
      </c>
      <c r="AC852">
        <v>23</v>
      </c>
      <c r="AD852">
        <v>3</v>
      </c>
      <c r="AE852">
        <v>7.5</v>
      </c>
      <c r="AF852" s="5">
        <v>0.39356139302253701</v>
      </c>
      <c r="AG852">
        <v>0.318</v>
      </c>
      <c r="AH852">
        <v>1.45</v>
      </c>
      <c r="AI852">
        <v>5.07</v>
      </c>
      <c r="AJ852">
        <v>5.74</v>
      </c>
      <c r="AK852">
        <v>-2</v>
      </c>
      <c r="AL852">
        <v>-0.2</v>
      </c>
      <c r="AM852">
        <v>18</v>
      </c>
      <c r="AN852">
        <v>32</v>
      </c>
      <c r="AO852">
        <v>18</v>
      </c>
      <c r="AP852">
        <v>45</v>
      </c>
      <c r="AQ852" t="s">
        <v>2883</v>
      </c>
      <c r="AR852">
        <v>63</v>
      </c>
      <c r="AS852" t="s">
        <v>36</v>
      </c>
      <c r="AT852" t="s">
        <v>36</v>
      </c>
      <c r="AU852" s="4">
        <f>HYPERLINK("http://mlb.mlb.com/team/player.jsp?player_id=605894",605894)</f>
        <v>605894</v>
      </c>
      <c r="AV852">
        <v>1146</v>
      </c>
      <c r="AW852">
        <v>146</v>
      </c>
      <c r="AX852">
        <v>0</v>
      </c>
    </row>
    <row r="853" spans="1:50" x14ac:dyDescent="0.3">
      <c r="A853" s="4">
        <f>HYPERLINK("http://legacy.baseballprospectus.com/p/69410",69410)</f>
        <v>69410</v>
      </c>
      <c r="B853" t="s">
        <v>609</v>
      </c>
      <c r="C853" t="s">
        <v>755</v>
      </c>
      <c r="D853" s="10">
        <v>34472</v>
      </c>
      <c r="E853" t="s">
        <v>9</v>
      </c>
      <c r="F853" t="s">
        <v>9</v>
      </c>
      <c r="G853">
        <v>73</v>
      </c>
      <c r="H853">
        <v>200</v>
      </c>
      <c r="I853">
        <v>2018</v>
      </c>
      <c r="J853" s="4" t="str">
        <f>HYPERLINK("http://legacy.baseballprospectus.com/fantasy/dc/index.php?tm=CHN","CHN")</f>
        <v>CHN</v>
      </c>
      <c r="K853" t="s">
        <v>100</v>
      </c>
      <c r="L853" t="s">
        <v>34</v>
      </c>
      <c r="M853">
        <v>24</v>
      </c>
      <c r="N853">
        <v>3.5</v>
      </c>
      <c r="O853">
        <v>2.9</v>
      </c>
      <c r="P853">
        <v>3.1</v>
      </c>
      <c r="Q853">
        <v>0</v>
      </c>
      <c r="R853">
        <v>0.4</v>
      </c>
      <c r="S853">
        <v>0</v>
      </c>
      <c r="T853">
        <v>27.4</v>
      </c>
      <c r="U853">
        <v>7.9</v>
      </c>
      <c r="V853" s="9">
        <v>60.666699999999999</v>
      </c>
      <c r="W853">
        <v>262</v>
      </c>
      <c r="X853">
        <v>65</v>
      </c>
      <c r="Y853">
        <v>11</v>
      </c>
      <c r="Z853">
        <v>26</v>
      </c>
      <c r="AA853" t="s">
        <v>1680</v>
      </c>
      <c r="AB853">
        <v>3</v>
      </c>
      <c r="AC853">
        <v>54</v>
      </c>
      <c r="AD853">
        <v>3.9</v>
      </c>
      <c r="AE853">
        <v>8.1</v>
      </c>
      <c r="AF853" s="5">
        <v>0.48178875446319502</v>
      </c>
      <c r="AG853">
        <v>0.32100000000000001</v>
      </c>
      <c r="AH853">
        <v>1.5</v>
      </c>
      <c r="AI853">
        <v>5.17</v>
      </c>
      <c r="AJ853">
        <v>5.69</v>
      </c>
      <c r="AK853">
        <v>-1.9</v>
      </c>
      <c r="AL853">
        <v>-0.2</v>
      </c>
      <c r="AM853">
        <v>5</v>
      </c>
      <c r="AN853">
        <v>5</v>
      </c>
      <c r="AO853">
        <v>0</v>
      </c>
      <c r="AP853">
        <v>4</v>
      </c>
      <c r="AQ853" t="s">
        <v>2918</v>
      </c>
      <c r="AR853">
        <v>6</v>
      </c>
      <c r="AS853" t="s">
        <v>36</v>
      </c>
      <c r="AT853" t="s">
        <v>35</v>
      </c>
      <c r="AU853" s="4">
        <f>HYPERLINK("http://mlb.mlb.com/team/player.jsp?player_id=600968",600968)</f>
        <v>600968</v>
      </c>
      <c r="AV853">
        <v>1354</v>
      </c>
      <c r="AW853">
        <v>354</v>
      </c>
      <c r="AX853">
        <v>2.2999999999999998</v>
      </c>
    </row>
    <row r="854" spans="1:50" x14ac:dyDescent="0.3">
      <c r="A854" s="4">
        <f>HYPERLINK("http://legacy.baseballprospectus.com/p/102075",102075)</f>
        <v>102075</v>
      </c>
      <c r="B854" t="s">
        <v>3275</v>
      </c>
      <c r="C854" t="s">
        <v>432</v>
      </c>
      <c r="D854" s="10">
        <v>33396</v>
      </c>
      <c r="E854" t="s">
        <v>9</v>
      </c>
      <c r="F854" t="s">
        <v>33</v>
      </c>
      <c r="G854">
        <v>78</v>
      </c>
      <c r="H854">
        <v>210</v>
      </c>
      <c r="I854">
        <v>2018</v>
      </c>
      <c r="J854" s="4" t="str">
        <f>HYPERLINK("http://legacy.baseballprospectus.com/fantasy/dc/index.php?tm=CHN","CHN")</f>
        <v>CHN</v>
      </c>
      <c r="K854" t="s">
        <v>100</v>
      </c>
      <c r="L854" t="s">
        <v>34</v>
      </c>
      <c r="M854">
        <v>27</v>
      </c>
      <c r="N854">
        <v>1.9</v>
      </c>
      <c r="O854">
        <v>2</v>
      </c>
      <c r="P854">
        <v>1</v>
      </c>
      <c r="Q854">
        <v>0</v>
      </c>
      <c r="R854">
        <v>0</v>
      </c>
      <c r="S854">
        <v>0</v>
      </c>
      <c r="T854">
        <v>22</v>
      </c>
      <c r="U854">
        <v>3</v>
      </c>
      <c r="V854" s="9">
        <v>35.666699999999999</v>
      </c>
      <c r="W854">
        <v>158</v>
      </c>
      <c r="X854">
        <v>37</v>
      </c>
      <c r="Y854">
        <v>7</v>
      </c>
      <c r="Z854">
        <v>16</v>
      </c>
      <c r="AA854">
        <v>1</v>
      </c>
      <c r="AB854">
        <v>2</v>
      </c>
      <c r="AC854">
        <v>33</v>
      </c>
      <c r="AD854">
        <v>4</v>
      </c>
      <c r="AE854">
        <v>8.3000000000000007</v>
      </c>
      <c r="AF854" s="5">
        <v>0.38700000000000001</v>
      </c>
      <c r="AG854">
        <v>0.29499999999999998</v>
      </c>
      <c r="AH854">
        <v>1.49</v>
      </c>
      <c r="AI854">
        <v>5.55</v>
      </c>
      <c r="AJ854">
        <v>5.52</v>
      </c>
      <c r="AK854">
        <v>-1.5</v>
      </c>
      <c r="AL854">
        <v>-0.2</v>
      </c>
      <c r="AM854">
        <v>19</v>
      </c>
      <c r="AN854">
        <v>22</v>
      </c>
      <c r="AO854">
        <v>11</v>
      </c>
      <c r="AP854">
        <v>24</v>
      </c>
      <c r="AQ854" t="s">
        <v>3276</v>
      </c>
      <c r="AR854">
        <v>37</v>
      </c>
      <c r="AS854" t="s">
        <v>35</v>
      </c>
      <c r="AT854" t="s">
        <v>35</v>
      </c>
      <c r="AU854" s="4">
        <f>HYPERLINK("http://mlb.mlb.com/team/player.jsp?player_id=608652",608652)</f>
        <v>608652</v>
      </c>
      <c r="AV854">
        <v>1122</v>
      </c>
      <c r="AW854">
        <v>122</v>
      </c>
      <c r="AX854">
        <v>13</v>
      </c>
    </row>
    <row r="855" spans="1:50" x14ac:dyDescent="0.3">
      <c r="A855" s="4">
        <f>HYPERLINK("http://legacy.baseballprospectus.com/p/102112",102112)</f>
        <v>102112</v>
      </c>
      <c r="B855" t="s">
        <v>3159</v>
      </c>
      <c r="C855" t="s">
        <v>119</v>
      </c>
      <c r="D855" s="10">
        <v>35245</v>
      </c>
      <c r="E855" t="s">
        <v>33</v>
      </c>
      <c r="F855" t="s">
        <v>33</v>
      </c>
      <c r="G855">
        <v>74</v>
      </c>
      <c r="H855">
        <v>235</v>
      </c>
      <c r="I855">
        <v>2018</v>
      </c>
      <c r="J855" s="4" t="str">
        <f>HYPERLINK("http://legacy.baseballprospectus.com/fantasy/dc/index.php?tm=TBA","TBA")</f>
        <v>TBA</v>
      </c>
      <c r="K855" t="s">
        <v>95</v>
      </c>
      <c r="L855" t="s">
        <v>34</v>
      </c>
      <c r="M855">
        <v>22</v>
      </c>
      <c r="N855">
        <v>0.8</v>
      </c>
      <c r="O855">
        <v>0.8</v>
      </c>
      <c r="P855">
        <v>0</v>
      </c>
      <c r="Q855">
        <v>0</v>
      </c>
      <c r="R855">
        <v>0</v>
      </c>
      <c r="S855">
        <v>0</v>
      </c>
      <c r="T855">
        <v>16</v>
      </c>
      <c r="U855">
        <v>0</v>
      </c>
      <c r="V855" s="9">
        <v>17</v>
      </c>
      <c r="W855">
        <v>73</v>
      </c>
      <c r="X855">
        <v>18</v>
      </c>
      <c r="Y855">
        <v>4</v>
      </c>
      <c r="Z855">
        <v>7</v>
      </c>
      <c r="AA855">
        <v>1</v>
      </c>
      <c r="AB855">
        <v>0</v>
      </c>
      <c r="AC855">
        <v>15</v>
      </c>
      <c r="AD855">
        <v>3.4</v>
      </c>
      <c r="AE855">
        <v>7.7</v>
      </c>
      <c r="AF855" s="5">
        <v>0.40200000000000002</v>
      </c>
      <c r="AG855">
        <v>0.28299999999999997</v>
      </c>
      <c r="AH855">
        <v>1.36</v>
      </c>
      <c r="AI855">
        <v>5.84</v>
      </c>
      <c r="AJ855">
        <v>6.22</v>
      </c>
      <c r="AK855">
        <v>-1.7</v>
      </c>
      <c r="AL855">
        <v>-0.2</v>
      </c>
      <c r="AM855">
        <v>7</v>
      </c>
      <c r="AN855">
        <v>12</v>
      </c>
      <c r="AO855">
        <v>0</v>
      </c>
      <c r="AP855">
        <v>4</v>
      </c>
      <c r="AQ855" t="s">
        <v>3341</v>
      </c>
      <c r="AR855">
        <v>14</v>
      </c>
      <c r="AS855" t="s">
        <v>35</v>
      </c>
      <c r="AT855" t="s">
        <v>35</v>
      </c>
      <c r="AU855" s="4">
        <f>HYPERLINK("http://mlb.mlb.com/team/player.jsp?player_id=620445",620445)</f>
        <v>620445</v>
      </c>
      <c r="AV855">
        <v>220</v>
      </c>
      <c r="AW855">
        <v>1220</v>
      </c>
      <c r="AX855">
        <v>0</v>
      </c>
    </row>
    <row r="856" spans="1:50" x14ac:dyDescent="0.3">
      <c r="A856" s="4">
        <f>HYPERLINK("http://legacy.baseballprospectus.com/p/102187",102187)</f>
        <v>102187</v>
      </c>
      <c r="B856" t="s">
        <v>3080</v>
      </c>
      <c r="C856" t="s">
        <v>538</v>
      </c>
      <c r="D856" s="10">
        <v>34452</v>
      </c>
      <c r="E856" t="s">
        <v>9</v>
      </c>
      <c r="F856" t="s">
        <v>9</v>
      </c>
      <c r="G856">
        <v>72</v>
      </c>
      <c r="H856">
        <v>195</v>
      </c>
      <c r="I856">
        <v>2018</v>
      </c>
      <c r="J856" s="4" t="str">
        <f>HYPERLINK("http://legacy.baseballprospectus.com/fantasy/dc/index.php?tm=TOR","TOR")</f>
        <v>TOR</v>
      </c>
      <c r="K856" t="s">
        <v>95</v>
      </c>
      <c r="L856" t="s">
        <v>34</v>
      </c>
      <c r="M856">
        <v>24</v>
      </c>
      <c r="N856">
        <v>1.8</v>
      </c>
      <c r="O856">
        <v>2.5</v>
      </c>
      <c r="P856">
        <v>2</v>
      </c>
      <c r="Q856">
        <v>0</v>
      </c>
      <c r="R856">
        <v>0</v>
      </c>
      <c r="S856">
        <v>0</v>
      </c>
      <c r="T856">
        <v>15</v>
      </c>
      <c r="U856">
        <v>5</v>
      </c>
      <c r="V856" s="9">
        <v>35.333300000000001</v>
      </c>
      <c r="W856">
        <v>154</v>
      </c>
      <c r="X856">
        <v>36</v>
      </c>
      <c r="Y856">
        <v>9</v>
      </c>
      <c r="Z856">
        <v>14</v>
      </c>
      <c r="AA856">
        <v>1</v>
      </c>
      <c r="AB856">
        <v>1</v>
      </c>
      <c r="AC856">
        <v>35</v>
      </c>
      <c r="AD856">
        <v>3.5</v>
      </c>
      <c r="AE856">
        <v>8.9</v>
      </c>
      <c r="AF856" s="5">
        <v>0.38100000000000001</v>
      </c>
      <c r="AG856">
        <v>0.29099999999999998</v>
      </c>
      <c r="AH856">
        <v>1.41</v>
      </c>
      <c r="AI856">
        <v>5.66</v>
      </c>
      <c r="AJ856">
        <v>5.97</v>
      </c>
      <c r="AK856">
        <v>-1.9</v>
      </c>
      <c r="AL856">
        <v>-0.2</v>
      </c>
      <c r="AM856">
        <v>10</v>
      </c>
      <c r="AN856">
        <v>24</v>
      </c>
      <c r="AO856">
        <v>12</v>
      </c>
      <c r="AP856">
        <v>26</v>
      </c>
      <c r="AQ856" t="s">
        <v>3081</v>
      </c>
      <c r="AR856">
        <v>41</v>
      </c>
      <c r="AS856" t="s">
        <v>35</v>
      </c>
      <c r="AT856" t="s">
        <v>35</v>
      </c>
      <c r="AU856" s="4">
        <f>HYPERLINK("http://mlb.mlb.com/team/player.jsp?player_id=623381",623381)</f>
        <v>623381</v>
      </c>
      <c r="AV856">
        <v>211</v>
      </c>
      <c r="AW856">
        <v>1211</v>
      </c>
      <c r="AX856">
        <v>0</v>
      </c>
    </row>
    <row r="857" spans="1:50" x14ac:dyDescent="0.3">
      <c r="A857" s="4">
        <f>HYPERLINK("http://legacy.baseballprospectus.com/p/102473",102473)</f>
        <v>102473</v>
      </c>
      <c r="B857" t="s">
        <v>2062</v>
      </c>
      <c r="C857" t="s">
        <v>459</v>
      </c>
      <c r="D857" s="10">
        <v>34674</v>
      </c>
      <c r="E857" t="s">
        <v>33</v>
      </c>
      <c r="F857" t="s">
        <v>33</v>
      </c>
      <c r="G857">
        <v>77</v>
      </c>
      <c r="H857">
        <v>240</v>
      </c>
      <c r="I857">
        <v>2018</v>
      </c>
      <c r="J857" s="4" t="str">
        <f>HYPERLINK("http://legacy.baseballprospectus.com/fantasy/dc/index.php?tm=TBA","TBA")</f>
        <v>TBA</v>
      </c>
      <c r="K857" t="s">
        <v>95</v>
      </c>
      <c r="L857" t="s">
        <v>34</v>
      </c>
      <c r="M857">
        <v>23</v>
      </c>
      <c r="N857">
        <v>0.8</v>
      </c>
      <c r="O857">
        <v>0.8</v>
      </c>
      <c r="P857">
        <v>0</v>
      </c>
      <c r="Q857">
        <v>0</v>
      </c>
      <c r="R857">
        <v>0</v>
      </c>
      <c r="S857">
        <v>0</v>
      </c>
      <c r="T857">
        <v>16</v>
      </c>
      <c r="U857">
        <v>0</v>
      </c>
      <c r="V857" s="9">
        <v>17</v>
      </c>
      <c r="W857">
        <v>75</v>
      </c>
      <c r="X857">
        <v>17</v>
      </c>
      <c r="Y857">
        <v>4</v>
      </c>
      <c r="Z857">
        <v>7</v>
      </c>
      <c r="AA857">
        <v>1</v>
      </c>
      <c r="AB857">
        <v>1</v>
      </c>
      <c r="AC857">
        <v>19</v>
      </c>
      <c r="AD857">
        <v>3.7</v>
      </c>
      <c r="AE857">
        <v>10</v>
      </c>
      <c r="AF857" s="5">
        <v>0.438</v>
      </c>
      <c r="AG857">
        <v>0.29499999999999998</v>
      </c>
      <c r="AH857">
        <v>1.42</v>
      </c>
      <c r="AI857">
        <v>5.67</v>
      </c>
      <c r="AJ857">
        <v>6.05</v>
      </c>
      <c r="AK857">
        <v>-1.4</v>
      </c>
      <c r="AL857">
        <v>-0.2</v>
      </c>
      <c r="AM857">
        <v>11</v>
      </c>
      <c r="AN857">
        <v>14</v>
      </c>
      <c r="AO857">
        <v>6</v>
      </c>
      <c r="AP857">
        <v>17</v>
      </c>
      <c r="AQ857" t="s">
        <v>3210</v>
      </c>
      <c r="AR857">
        <v>23</v>
      </c>
      <c r="AS857" t="s">
        <v>35</v>
      </c>
      <c r="AT857" t="s">
        <v>35</v>
      </c>
      <c r="AU857" s="4">
        <f>HYPERLINK("http://mlb.mlb.com/team/player.jsp?player_id=640737",640737)</f>
        <v>640737</v>
      </c>
      <c r="AV857">
        <v>0</v>
      </c>
      <c r="AW857">
        <v>0</v>
      </c>
      <c r="AX857">
        <v>0</v>
      </c>
    </row>
    <row r="858" spans="1:50" x14ac:dyDescent="0.3">
      <c r="A858" s="4">
        <f>HYPERLINK("http://legacy.baseballprospectus.com/p/101582",101582)</f>
        <v>101582</v>
      </c>
      <c r="B858" t="s">
        <v>654</v>
      </c>
      <c r="C858" t="s">
        <v>2790</v>
      </c>
      <c r="D858" s="10">
        <v>34937</v>
      </c>
      <c r="E858" t="s">
        <v>9</v>
      </c>
      <c r="F858" t="s">
        <v>9</v>
      </c>
      <c r="G858">
        <v>73</v>
      </c>
      <c r="H858">
        <v>180</v>
      </c>
      <c r="I858">
        <v>2018</v>
      </c>
      <c r="J858" s="4" t="str">
        <f>HYPERLINK("http://legacy.baseballprospectus.com/fantasy/dc/index.php?tm=PHI","PHI")</f>
        <v>PHI</v>
      </c>
      <c r="K858" t="s">
        <v>100</v>
      </c>
      <c r="L858" t="s">
        <v>34</v>
      </c>
      <c r="M858">
        <v>22</v>
      </c>
      <c r="N858">
        <v>5.2</v>
      </c>
      <c r="O858">
        <v>6.3</v>
      </c>
      <c r="P858">
        <v>6.4</v>
      </c>
      <c r="Q858">
        <v>0</v>
      </c>
      <c r="R858">
        <v>0</v>
      </c>
      <c r="S858">
        <v>0</v>
      </c>
      <c r="T858">
        <v>16.5</v>
      </c>
      <c r="U858">
        <v>16.5</v>
      </c>
      <c r="V858" s="9">
        <v>92.666700000000006</v>
      </c>
      <c r="W858">
        <v>392</v>
      </c>
      <c r="X858">
        <v>96</v>
      </c>
      <c r="Y858">
        <v>20</v>
      </c>
      <c r="Z858">
        <v>36</v>
      </c>
      <c r="AA858" t="s">
        <v>1680</v>
      </c>
      <c r="AB858">
        <v>2</v>
      </c>
      <c r="AC858">
        <v>93</v>
      </c>
      <c r="AD858">
        <v>3.5</v>
      </c>
      <c r="AE858">
        <v>9</v>
      </c>
      <c r="AF858" s="5">
        <v>0.48768013715744002</v>
      </c>
      <c r="AG858">
        <v>0.315</v>
      </c>
      <c r="AH858">
        <v>1.43</v>
      </c>
      <c r="AI858">
        <v>5.25</v>
      </c>
      <c r="AJ858">
        <v>5.85</v>
      </c>
      <c r="AK858">
        <v>-2.2000000000000002</v>
      </c>
      <c r="AL858">
        <v>-0.2</v>
      </c>
      <c r="AM858">
        <v>6</v>
      </c>
      <c r="AN858">
        <v>17</v>
      </c>
      <c r="AO858">
        <v>5</v>
      </c>
      <c r="AP858">
        <v>12</v>
      </c>
      <c r="AQ858" t="s">
        <v>2791</v>
      </c>
      <c r="AR858">
        <v>23</v>
      </c>
      <c r="AS858" t="s">
        <v>36</v>
      </c>
      <c r="AT858" t="s">
        <v>35</v>
      </c>
      <c r="AU858" s="4">
        <f>HYPERLINK("http://mlb.mlb.com/team/player.jsp?player_id=624133",624133)</f>
        <v>624133</v>
      </c>
      <c r="AV858">
        <v>1193</v>
      </c>
      <c r="AW858">
        <v>193</v>
      </c>
      <c r="AX858">
        <v>0</v>
      </c>
    </row>
    <row r="859" spans="1:50" x14ac:dyDescent="0.3">
      <c r="A859" s="4">
        <f>HYPERLINK("http://legacy.baseballprospectus.com/p/105163",105163)</f>
        <v>105163</v>
      </c>
      <c r="B859" t="s">
        <v>3107</v>
      </c>
      <c r="C859" t="s">
        <v>182</v>
      </c>
      <c r="D859" s="10">
        <v>33816</v>
      </c>
      <c r="E859" t="s">
        <v>9</v>
      </c>
      <c r="F859" t="s">
        <v>9</v>
      </c>
      <c r="G859">
        <v>74</v>
      </c>
      <c r="H859">
        <v>185</v>
      </c>
      <c r="I859">
        <v>2018</v>
      </c>
      <c r="J859" s="4" t="str">
        <f>HYPERLINK("http://legacy.baseballprospectus.com/fantasy/dc/index.php?tm=SDN","SDN")</f>
        <v>SDN</v>
      </c>
      <c r="K859" t="s">
        <v>100</v>
      </c>
      <c r="L859" t="s">
        <v>34</v>
      </c>
      <c r="M859">
        <v>25</v>
      </c>
      <c r="N859">
        <v>1</v>
      </c>
      <c r="O859">
        <v>1.1000000000000001</v>
      </c>
      <c r="P859">
        <v>0</v>
      </c>
      <c r="Q859">
        <v>0</v>
      </c>
      <c r="R859">
        <v>0</v>
      </c>
      <c r="S859">
        <v>1</v>
      </c>
      <c r="T859">
        <v>21</v>
      </c>
      <c r="U859">
        <v>0</v>
      </c>
      <c r="V859" s="9">
        <v>22.666699999999999</v>
      </c>
      <c r="W859">
        <v>98</v>
      </c>
      <c r="X859">
        <v>22</v>
      </c>
      <c r="Y859">
        <v>5</v>
      </c>
      <c r="Z859">
        <v>9</v>
      </c>
      <c r="AA859">
        <v>1</v>
      </c>
      <c r="AB859">
        <v>1</v>
      </c>
      <c r="AC859">
        <v>24</v>
      </c>
      <c r="AD859">
        <v>3.4</v>
      </c>
      <c r="AE859">
        <v>9.4</v>
      </c>
      <c r="AF859" s="5">
        <v>0.35599999999999998</v>
      </c>
      <c r="AG859">
        <v>0.29199999999999998</v>
      </c>
      <c r="AH859">
        <v>1.35</v>
      </c>
      <c r="AI859">
        <v>5.38</v>
      </c>
      <c r="AJ859">
        <v>5.58</v>
      </c>
      <c r="AK859">
        <v>-1.4</v>
      </c>
      <c r="AL859">
        <v>-0.2</v>
      </c>
      <c r="AM859">
        <v>18</v>
      </c>
      <c r="AN859">
        <v>27</v>
      </c>
      <c r="AO859">
        <v>27</v>
      </c>
      <c r="AP859">
        <v>49</v>
      </c>
      <c r="AQ859" t="s">
        <v>3108</v>
      </c>
      <c r="AR859">
        <v>66</v>
      </c>
      <c r="AS859" t="s">
        <v>35</v>
      </c>
      <c r="AT859" t="s">
        <v>35</v>
      </c>
      <c r="AU859" s="4">
        <f>HYPERLINK("http://mlb.mlb.com/team/player.jsp?player_id=657681",657681)</f>
        <v>657681</v>
      </c>
      <c r="AV859">
        <v>1328</v>
      </c>
      <c r="AW859">
        <v>328</v>
      </c>
      <c r="AX859">
        <v>19</v>
      </c>
    </row>
    <row r="860" spans="1:50" x14ac:dyDescent="0.3">
      <c r="A860" s="4">
        <f>HYPERLINK("http://legacy.baseballprospectus.com/p/105220",105220)</f>
        <v>105220</v>
      </c>
      <c r="B860" t="s">
        <v>2113</v>
      </c>
      <c r="C860" t="s">
        <v>247</v>
      </c>
      <c r="D860" s="10">
        <v>34055</v>
      </c>
      <c r="E860" t="s">
        <v>9</v>
      </c>
      <c r="F860" t="s">
        <v>9</v>
      </c>
      <c r="G860">
        <v>75</v>
      </c>
      <c r="H860">
        <v>185</v>
      </c>
      <c r="I860">
        <v>2018</v>
      </c>
      <c r="J860" s="4" t="str">
        <f>HYPERLINK("http://legacy.baseballprospectus.com/fantasy/dc/index.php?tm=KCA","KCA")</f>
        <v>KCA</v>
      </c>
      <c r="K860" t="s">
        <v>95</v>
      </c>
      <c r="L860" t="s">
        <v>34</v>
      </c>
      <c r="M860">
        <v>25</v>
      </c>
      <c r="N860">
        <v>0.8</v>
      </c>
      <c r="O860">
        <v>1.2</v>
      </c>
      <c r="P860">
        <v>0</v>
      </c>
      <c r="Q860">
        <v>0</v>
      </c>
      <c r="R860">
        <v>0</v>
      </c>
      <c r="S860">
        <v>0</v>
      </c>
      <c r="T860">
        <v>20</v>
      </c>
      <c r="U860">
        <v>0</v>
      </c>
      <c r="V860" s="9">
        <v>20.666699999999999</v>
      </c>
      <c r="W860">
        <v>93</v>
      </c>
      <c r="X860">
        <v>23</v>
      </c>
      <c r="Y860">
        <v>4</v>
      </c>
      <c r="Z860">
        <v>9</v>
      </c>
      <c r="AA860">
        <v>1</v>
      </c>
      <c r="AB860">
        <v>1</v>
      </c>
      <c r="AC860">
        <v>17</v>
      </c>
      <c r="AD860">
        <v>3.9</v>
      </c>
      <c r="AE860">
        <v>7.3</v>
      </c>
      <c r="AF860" s="5">
        <v>0.41</v>
      </c>
      <c r="AG860">
        <v>0.29599999999999999</v>
      </c>
      <c r="AH860">
        <v>1.53</v>
      </c>
      <c r="AI860">
        <v>5.98</v>
      </c>
      <c r="AJ860">
        <v>5.9</v>
      </c>
      <c r="AK860">
        <v>-1.4</v>
      </c>
      <c r="AL860">
        <v>-0.2</v>
      </c>
      <c r="AM860">
        <v>9</v>
      </c>
      <c r="AN860">
        <v>13</v>
      </c>
      <c r="AO860">
        <v>9</v>
      </c>
      <c r="AP860">
        <v>16</v>
      </c>
      <c r="AQ860" t="s">
        <v>3109</v>
      </c>
      <c r="AR860">
        <v>25</v>
      </c>
      <c r="AS860" t="s">
        <v>35</v>
      </c>
      <c r="AT860" t="s">
        <v>35</v>
      </c>
      <c r="AU860" s="4">
        <f>HYPERLINK("http://mlb.mlb.com/team/player.jsp?player_id=657770",657770)</f>
        <v>657770</v>
      </c>
      <c r="AV860">
        <v>0</v>
      </c>
      <c r="AW860">
        <v>0</v>
      </c>
      <c r="AX860">
        <v>0</v>
      </c>
    </row>
    <row r="861" spans="1:50" x14ac:dyDescent="0.3">
      <c r="A861" s="4">
        <f>HYPERLINK("http://legacy.baseballprospectus.com/p/104839",104839)</f>
        <v>104839</v>
      </c>
      <c r="B861" t="s">
        <v>493</v>
      </c>
      <c r="C861" t="s">
        <v>200</v>
      </c>
      <c r="D861" s="10">
        <v>34817</v>
      </c>
      <c r="E861" t="s">
        <v>9</v>
      </c>
      <c r="F861" t="s">
        <v>9</v>
      </c>
      <c r="G861">
        <v>76</v>
      </c>
      <c r="H861">
        <v>190</v>
      </c>
      <c r="I861">
        <v>2018</v>
      </c>
      <c r="J861" s="4" t="str">
        <f>HYPERLINK("http://legacy.baseballprospectus.com/fantasy/dc/index.php?tm=TEX","TEX")</f>
        <v>TEX</v>
      </c>
      <c r="K861" t="s">
        <v>95</v>
      </c>
      <c r="L861" t="s">
        <v>34</v>
      </c>
      <c r="M861">
        <v>23</v>
      </c>
      <c r="N861">
        <v>3.8</v>
      </c>
      <c r="O861">
        <v>5</v>
      </c>
      <c r="P861">
        <v>4.5</v>
      </c>
      <c r="Q861">
        <v>0</v>
      </c>
      <c r="R861">
        <v>0.2</v>
      </c>
      <c r="S861">
        <v>0</v>
      </c>
      <c r="T861">
        <v>20.7</v>
      </c>
      <c r="U861">
        <v>13.7</v>
      </c>
      <c r="V861" s="9">
        <v>68.666700000000006</v>
      </c>
      <c r="W861">
        <v>311</v>
      </c>
      <c r="X861">
        <v>80</v>
      </c>
      <c r="Y861">
        <v>15</v>
      </c>
      <c r="Z861">
        <v>30</v>
      </c>
      <c r="AA861" t="s">
        <v>1680</v>
      </c>
      <c r="AB861">
        <v>1</v>
      </c>
      <c r="AC861">
        <v>63</v>
      </c>
      <c r="AD861">
        <v>4</v>
      </c>
      <c r="AE861">
        <v>8.3000000000000007</v>
      </c>
      <c r="AF861" s="5">
        <v>0.44560879468917802</v>
      </c>
      <c r="AG861">
        <v>0.32100000000000001</v>
      </c>
      <c r="AH861">
        <v>1.6</v>
      </c>
      <c r="AI861">
        <v>5.74</v>
      </c>
      <c r="AJ861">
        <v>5.81</v>
      </c>
      <c r="AK861">
        <v>-1.5</v>
      </c>
      <c r="AL861">
        <v>-0.2</v>
      </c>
      <c r="AM861">
        <v>8</v>
      </c>
      <c r="AN861">
        <v>9</v>
      </c>
      <c r="AO861">
        <v>1</v>
      </c>
      <c r="AP861">
        <v>9</v>
      </c>
      <c r="AQ861" t="s">
        <v>3103</v>
      </c>
      <c r="AR861">
        <v>10</v>
      </c>
      <c r="AS861" t="s">
        <v>36</v>
      </c>
      <c r="AT861" t="s">
        <v>35</v>
      </c>
      <c r="AU861" s="4">
        <f>HYPERLINK("http://mlb.mlb.com/team/player.jsp?player_id=656685",656685)</f>
        <v>656685</v>
      </c>
      <c r="AV861">
        <v>204</v>
      </c>
      <c r="AW861">
        <v>1204</v>
      </c>
      <c r="AX861">
        <v>0</v>
      </c>
    </row>
    <row r="862" spans="1:50" x14ac:dyDescent="0.3">
      <c r="A862" s="4">
        <f>HYPERLINK("http://legacy.baseballprospectus.com/p/104993",104993)</f>
        <v>104993</v>
      </c>
      <c r="B862" t="s">
        <v>2948</v>
      </c>
      <c r="C862" t="s">
        <v>2949</v>
      </c>
      <c r="D862" s="10">
        <v>33525</v>
      </c>
      <c r="E862" t="s">
        <v>33</v>
      </c>
      <c r="F862" t="s">
        <v>33</v>
      </c>
      <c r="G862">
        <v>76</v>
      </c>
      <c r="H862">
        <v>200</v>
      </c>
      <c r="I862">
        <v>2018</v>
      </c>
      <c r="J862" s="4" t="str">
        <f>HYPERLINK("http://legacy.baseballprospectus.com/fantasy/dc/index.php?tm=CLE","CLE")</f>
        <v>CLE</v>
      </c>
      <c r="K862" t="s">
        <v>95</v>
      </c>
      <c r="L862" t="s">
        <v>34</v>
      </c>
      <c r="M862">
        <v>26</v>
      </c>
      <c r="N862">
        <v>0.6</v>
      </c>
      <c r="O862">
        <v>0.2</v>
      </c>
      <c r="P862">
        <v>0</v>
      </c>
      <c r="Q862">
        <v>0</v>
      </c>
      <c r="R862">
        <v>0</v>
      </c>
      <c r="S862">
        <v>0</v>
      </c>
      <c r="T862">
        <v>13.9</v>
      </c>
      <c r="U862">
        <v>0</v>
      </c>
      <c r="V862" s="9">
        <v>14.666700000000001</v>
      </c>
      <c r="W862">
        <v>66</v>
      </c>
      <c r="X862">
        <v>17</v>
      </c>
      <c r="Y862">
        <v>3</v>
      </c>
      <c r="Z862">
        <v>5</v>
      </c>
      <c r="AA862" t="s">
        <v>1680</v>
      </c>
      <c r="AB862">
        <v>1</v>
      </c>
      <c r="AC862">
        <v>13</v>
      </c>
      <c r="AD862">
        <v>3.1</v>
      </c>
      <c r="AE862">
        <v>8.1</v>
      </c>
      <c r="AF862" s="5">
        <v>0.44183680415153498</v>
      </c>
      <c r="AG862">
        <v>0.32100000000000001</v>
      </c>
      <c r="AH862">
        <v>1.51</v>
      </c>
      <c r="AI862">
        <v>5.46</v>
      </c>
      <c r="AJ862">
        <v>5.85</v>
      </c>
      <c r="AK862">
        <v>-1.9</v>
      </c>
      <c r="AL862">
        <v>-0.2</v>
      </c>
      <c r="AM862">
        <v>18</v>
      </c>
      <c r="AN862">
        <v>30</v>
      </c>
      <c r="AO862">
        <v>12</v>
      </c>
      <c r="AP862">
        <v>32</v>
      </c>
      <c r="AQ862" t="s">
        <v>2950</v>
      </c>
      <c r="AR862">
        <v>46</v>
      </c>
      <c r="AS862" t="s">
        <v>36</v>
      </c>
      <c r="AT862" t="s">
        <v>35</v>
      </c>
      <c r="AU862" s="4">
        <f>HYPERLINK("http://mlb.mlb.com/team/player.jsp?player_id=657240",657240)</f>
        <v>657240</v>
      </c>
      <c r="AV862">
        <v>0</v>
      </c>
      <c r="AW862">
        <v>0</v>
      </c>
      <c r="AX862">
        <v>0</v>
      </c>
    </row>
    <row r="863" spans="1:50" x14ac:dyDescent="0.3">
      <c r="A863" s="4">
        <f>HYPERLINK("http://legacy.baseballprospectus.com/p/105703",105703)</f>
        <v>105703</v>
      </c>
      <c r="B863" t="s">
        <v>2032</v>
      </c>
      <c r="C863" t="s">
        <v>704</v>
      </c>
      <c r="D863" s="10">
        <v>35061</v>
      </c>
      <c r="E863" t="s">
        <v>33</v>
      </c>
      <c r="F863" t="s">
        <v>33</v>
      </c>
      <c r="G863">
        <v>74</v>
      </c>
      <c r="H863">
        <v>190</v>
      </c>
      <c r="I863">
        <v>2018</v>
      </c>
      <c r="J863" s="4" t="str">
        <f>HYPERLINK("http://legacy.baseballprospectus.com/fantasy/dc/index.php?tm=CHA","CHA")</f>
        <v>CHA</v>
      </c>
      <c r="K863" t="s">
        <v>95</v>
      </c>
      <c r="L863" t="s">
        <v>34</v>
      </c>
      <c r="M863">
        <v>22</v>
      </c>
      <c r="N863">
        <v>3.5</v>
      </c>
      <c r="O863">
        <v>6.2</v>
      </c>
      <c r="P863">
        <v>5.6</v>
      </c>
      <c r="Q863">
        <v>0</v>
      </c>
      <c r="R863">
        <v>0</v>
      </c>
      <c r="S863">
        <v>0</v>
      </c>
      <c r="T863">
        <v>17.2</v>
      </c>
      <c r="U863">
        <v>17.2</v>
      </c>
      <c r="V863" s="9">
        <v>67.333299999999994</v>
      </c>
      <c r="W863">
        <v>303</v>
      </c>
      <c r="X863">
        <v>65</v>
      </c>
      <c r="Y863">
        <v>15</v>
      </c>
      <c r="Z863">
        <v>39</v>
      </c>
      <c r="AA863" t="s">
        <v>1680</v>
      </c>
      <c r="AB863">
        <v>2</v>
      </c>
      <c r="AC863">
        <v>81</v>
      </c>
      <c r="AD863">
        <v>5.3</v>
      </c>
      <c r="AE863">
        <v>10.8</v>
      </c>
      <c r="AF863" s="5">
        <v>0.45026290416717502</v>
      </c>
      <c r="AG863">
        <v>0.30199999999999999</v>
      </c>
      <c r="AH863">
        <v>1.55</v>
      </c>
      <c r="AI863">
        <v>5.69</v>
      </c>
      <c r="AJ863">
        <v>5.92</v>
      </c>
      <c r="AK863">
        <v>-1.5</v>
      </c>
      <c r="AL863">
        <v>-0.2</v>
      </c>
      <c r="AM863">
        <v>11</v>
      </c>
      <c r="AN863">
        <v>18</v>
      </c>
      <c r="AO863">
        <v>4</v>
      </c>
      <c r="AP863">
        <v>16</v>
      </c>
      <c r="AQ863" t="s">
        <v>3398</v>
      </c>
      <c r="AR863">
        <v>26</v>
      </c>
      <c r="AS863" t="s">
        <v>36</v>
      </c>
      <c r="AT863" t="s">
        <v>35</v>
      </c>
      <c r="AU863" s="4">
        <f>HYPERLINK("http://mlb.mlb.com/team/player.jsp?player_id=656302",656302)</f>
        <v>656302</v>
      </c>
      <c r="AV863">
        <v>163</v>
      </c>
      <c r="AW863">
        <v>1163</v>
      </c>
      <c r="AX863">
        <v>0</v>
      </c>
    </row>
    <row r="864" spans="1:50" x14ac:dyDescent="0.3">
      <c r="A864" s="4">
        <f>HYPERLINK("http://legacy.baseballprospectus.com/p/107194",107194)</f>
        <v>107194</v>
      </c>
      <c r="B864" t="s">
        <v>2108</v>
      </c>
      <c r="C864" t="s">
        <v>104</v>
      </c>
      <c r="D864" s="10">
        <v>34628</v>
      </c>
      <c r="E864" t="s">
        <v>9</v>
      </c>
      <c r="F864" t="s">
        <v>9</v>
      </c>
      <c r="G864">
        <v>76</v>
      </c>
      <c r="H864">
        <v>225</v>
      </c>
      <c r="I864">
        <v>2018</v>
      </c>
      <c r="J864" s="4" t="str">
        <f>HYPERLINK("http://legacy.baseballprospectus.com/fantasy/dc/index.php?tm=TBA","TBA")</f>
        <v>TBA</v>
      </c>
      <c r="K864" t="s">
        <v>95</v>
      </c>
      <c r="L864" t="s">
        <v>34</v>
      </c>
      <c r="M864">
        <v>23</v>
      </c>
      <c r="N864">
        <v>3.7</v>
      </c>
      <c r="O864">
        <v>5.3</v>
      </c>
      <c r="P864">
        <v>5.5</v>
      </c>
      <c r="Q864">
        <v>0</v>
      </c>
      <c r="R864">
        <v>0.4</v>
      </c>
      <c r="S864">
        <v>0</v>
      </c>
      <c r="T864">
        <v>25.5</v>
      </c>
      <c r="U864">
        <v>14.6</v>
      </c>
      <c r="V864" s="9">
        <v>71.666700000000006</v>
      </c>
      <c r="W864">
        <v>328</v>
      </c>
      <c r="X864">
        <v>67</v>
      </c>
      <c r="Y864">
        <v>10</v>
      </c>
      <c r="Z864">
        <v>48</v>
      </c>
      <c r="AA864" t="s">
        <v>1680</v>
      </c>
      <c r="AB864">
        <v>4</v>
      </c>
      <c r="AC864">
        <v>74</v>
      </c>
      <c r="AD864">
        <v>6.1</v>
      </c>
      <c r="AE864">
        <v>9.3000000000000007</v>
      </c>
      <c r="AF864" s="5">
        <v>0.56997096538543701</v>
      </c>
      <c r="AG864">
        <v>0.29499999999999998</v>
      </c>
      <c r="AH864">
        <v>1.61</v>
      </c>
      <c r="AI864">
        <v>5.25</v>
      </c>
      <c r="AJ864">
        <v>5.79</v>
      </c>
      <c r="AK864">
        <v>-1.5</v>
      </c>
      <c r="AL864">
        <v>-0.2</v>
      </c>
      <c r="AM864">
        <v>5</v>
      </c>
      <c r="AN864">
        <v>9</v>
      </c>
      <c r="AO864">
        <v>4</v>
      </c>
      <c r="AP864">
        <v>8</v>
      </c>
      <c r="AQ864" t="s">
        <v>3486</v>
      </c>
      <c r="AR864">
        <v>15</v>
      </c>
      <c r="AS864" t="s">
        <v>36</v>
      </c>
      <c r="AT864" t="s">
        <v>35</v>
      </c>
      <c r="AU864" s="4">
        <f>HYPERLINK("http://mlb.mlb.com/team/player.jsp?player_id=640454",640454)</f>
        <v>640454</v>
      </c>
      <c r="AV864">
        <v>0</v>
      </c>
      <c r="AW864">
        <v>0</v>
      </c>
      <c r="AX864">
        <v>0</v>
      </c>
    </row>
    <row r="865" spans="1:50" x14ac:dyDescent="0.3">
      <c r="A865" s="4">
        <f>HYPERLINK("http://legacy.baseballprospectus.com/p/108818",108818)</f>
        <v>108818</v>
      </c>
      <c r="B865" t="s">
        <v>2093</v>
      </c>
      <c r="C865" t="s">
        <v>2094</v>
      </c>
      <c r="D865" s="10">
        <v>34790</v>
      </c>
      <c r="E865" t="s">
        <v>9</v>
      </c>
      <c r="F865" t="s">
        <v>9</v>
      </c>
      <c r="G865">
        <v>72</v>
      </c>
      <c r="H865">
        <v>225</v>
      </c>
      <c r="I865">
        <v>2018</v>
      </c>
      <c r="J865" s="4" t="str">
        <f>HYPERLINK("http://legacy.baseballprospectus.com/fantasy/dc/index.php?tm=BAL","BAL")</f>
        <v>BAL</v>
      </c>
      <c r="K865" t="s">
        <v>95</v>
      </c>
      <c r="L865" t="s">
        <v>34</v>
      </c>
      <c r="M865">
        <v>23</v>
      </c>
      <c r="N865">
        <v>3.9</v>
      </c>
      <c r="O865">
        <v>5.9</v>
      </c>
      <c r="P865">
        <v>5.4</v>
      </c>
      <c r="Q865">
        <v>0</v>
      </c>
      <c r="R865">
        <v>0</v>
      </c>
      <c r="S865">
        <v>0</v>
      </c>
      <c r="T865">
        <v>16.5</v>
      </c>
      <c r="U865">
        <v>16.5</v>
      </c>
      <c r="V865" s="9">
        <v>71</v>
      </c>
      <c r="W865">
        <v>315</v>
      </c>
      <c r="X865">
        <v>75</v>
      </c>
      <c r="Y865">
        <v>17</v>
      </c>
      <c r="Z865">
        <v>33</v>
      </c>
      <c r="AA865" t="s">
        <v>1680</v>
      </c>
      <c r="AB865">
        <v>1</v>
      </c>
      <c r="AC865">
        <v>78</v>
      </c>
      <c r="AD865">
        <v>4.2</v>
      </c>
      <c r="AE865">
        <v>9.9</v>
      </c>
      <c r="AF865" s="5">
        <v>0.38807246088981601</v>
      </c>
      <c r="AG865">
        <v>0.309</v>
      </c>
      <c r="AH865">
        <v>1.51</v>
      </c>
      <c r="AI865">
        <v>5.82</v>
      </c>
      <c r="AJ865">
        <v>5.9</v>
      </c>
      <c r="AK865">
        <v>-1.5</v>
      </c>
      <c r="AL865">
        <v>-0.2</v>
      </c>
      <c r="AM865">
        <v>4</v>
      </c>
      <c r="AN865">
        <v>4</v>
      </c>
      <c r="AO865">
        <v>4</v>
      </c>
      <c r="AP865">
        <v>8</v>
      </c>
      <c r="AQ865" t="s">
        <v>3307</v>
      </c>
      <c r="AR865">
        <v>10</v>
      </c>
      <c r="AS865" t="s">
        <v>36</v>
      </c>
      <c r="AT865" t="s">
        <v>35</v>
      </c>
      <c r="AU865" s="4">
        <f>HYPERLINK("http://mlb.mlb.com/team/player.jsp?player_id=669211",669211)</f>
        <v>669211</v>
      </c>
      <c r="AV865">
        <v>144</v>
      </c>
      <c r="AW865">
        <v>1144</v>
      </c>
      <c r="AX865">
        <v>0</v>
      </c>
    </row>
    <row r="866" spans="1:50" x14ac:dyDescent="0.3">
      <c r="A866" s="4">
        <f>HYPERLINK("http://legacy.baseballprospectus.com/p/108822",108822)</f>
        <v>108822</v>
      </c>
      <c r="B866" t="s">
        <v>124</v>
      </c>
      <c r="C866" t="s">
        <v>297</v>
      </c>
      <c r="D866" s="10">
        <v>35917</v>
      </c>
      <c r="E866" t="s">
        <v>33</v>
      </c>
      <c r="F866" t="s">
        <v>33</v>
      </c>
      <c r="G866">
        <v>75</v>
      </c>
      <c r="H866">
        <v>170</v>
      </c>
      <c r="I866">
        <v>2018</v>
      </c>
      <c r="J866" s="4" t="str">
        <f>HYPERLINK("http://legacy.baseballprospectus.com/fantasy/dc/index.php?tm=ATL","ATL")</f>
        <v>ATL</v>
      </c>
      <c r="K866" t="s">
        <v>100</v>
      </c>
      <c r="L866" t="s">
        <v>34</v>
      </c>
      <c r="M866">
        <v>20</v>
      </c>
      <c r="N866">
        <v>3.6</v>
      </c>
      <c r="O866">
        <v>5</v>
      </c>
      <c r="P866">
        <v>5.9</v>
      </c>
      <c r="Q866">
        <v>0</v>
      </c>
      <c r="R866">
        <v>0</v>
      </c>
      <c r="S866">
        <v>0</v>
      </c>
      <c r="T866">
        <v>14.9</v>
      </c>
      <c r="U866">
        <v>14.9</v>
      </c>
      <c r="V866" s="9">
        <v>62.666699999999999</v>
      </c>
      <c r="W866">
        <v>276</v>
      </c>
      <c r="X866">
        <v>64</v>
      </c>
      <c r="Y866">
        <v>12</v>
      </c>
      <c r="Z866">
        <v>34</v>
      </c>
      <c r="AA866" t="s">
        <v>1680</v>
      </c>
      <c r="AB866">
        <v>3</v>
      </c>
      <c r="AC866">
        <v>71</v>
      </c>
      <c r="AD866">
        <v>4.8</v>
      </c>
      <c r="AE866">
        <v>10.1</v>
      </c>
      <c r="AF866" s="5">
        <v>0.47555878758430398</v>
      </c>
      <c r="AG866">
        <v>0.33</v>
      </c>
      <c r="AH866">
        <v>1.55</v>
      </c>
      <c r="AI866">
        <v>5.14</v>
      </c>
      <c r="AJ866">
        <v>5.94</v>
      </c>
      <c r="AK866">
        <v>-2.1</v>
      </c>
      <c r="AL866">
        <v>-0.2</v>
      </c>
      <c r="AM866">
        <v>4</v>
      </c>
      <c r="AN866">
        <v>5</v>
      </c>
      <c r="AO866">
        <v>1</v>
      </c>
      <c r="AP866">
        <v>4</v>
      </c>
      <c r="AQ866" t="s">
        <v>3404</v>
      </c>
      <c r="AR866">
        <v>7</v>
      </c>
      <c r="AS866" t="s">
        <v>36</v>
      </c>
      <c r="AT866" t="s">
        <v>35</v>
      </c>
      <c r="AU866" s="4">
        <f>HYPERLINK("http://mlb.mlb.com/team/player.jsp?player_id=666120",666120)</f>
        <v>666120</v>
      </c>
      <c r="AV866">
        <v>1158</v>
      </c>
      <c r="AW866">
        <v>158</v>
      </c>
      <c r="AX866">
        <v>0</v>
      </c>
    </row>
    <row r="867" spans="1:50" x14ac:dyDescent="0.3">
      <c r="A867" s="4">
        <f>HYPERLINK("http://legacy.baseballprospectus.com/p/108980",108980)</f>
        <v>108980</v>
      </c>
      <c r="B867" t="s">
        <v>3433</v>
      </c>
      <c r="C867" t="s">
        <v>1664</v>
      </c>
      <c r="D867" s="10">
        <v>34644</v>
      </c>
      <c r="E867" t="s">
        <v>33</v>
      </c>
      <c r="F867" t="s">
        <v>33</v>
      </c>
      <c r="G867">
        <v>79</v>
      </c>
      <c r="H867">
        <v>252</v>
      </c>
      <c r="I867">
        <v>2018</v>
      </c>
      <c r="J867" s="4" t="str">
        <f>HYPERLINK("http://legacy.baseballprospectus.com/fantasy/dc/index.php?tm=CHN","CHN")</f>
        <v>CHN</v>
      </c>
      <c r="K867" t="s">
        <v>100</v>
      </c>
      <c r="L867" t="s">
        <v>34</v>
      </c>
      <c r="M867">
        <v>23</v>
      </c>
      <c r="N867">
        <v>2.2999999999999998</v>
      </c>
      <c r="O867">
        <v>0.8</v>
      </c>
      <c r="P867">
        <v>0</v>
      </c>
      <c r="Q867">
        <v>0</v>
      </c>
      <c r="R867">
        <v>1.9</v>
      </c>
      <c r="S867">
        <v>0</v>
      </c>
      <c r="T867">
        <v>48.7</v>
      </c>
      <c r="U867">
        <v>0</v>
      </c>
      <c r="V867" s="9">
        <v>51.666699999999999</v>
      </c>
      <c r="W867">
        <v>217</v>
      </c>
      <c r="X867">
        <v>47</v>
      </c>
      <c r="Y867">
        <v>10</v>
      </c>
      <c r="Z867">
        <v>24</v>
      </c>
      <c r="AA867" t="s">
        <v>1680</v>
      </c>
      <c r="AB867">
        <v>2</v>
      </c>
      <c r="AC867">
        <v>62</v>
      </c>
      <c r="AD867">
        <v>4.2</v>
      </c>
      <c r="AE867">
        <v>10.8</v>
      </c>
      <c r="AF867" s="5">
        <v>0.40217494964599598</v>
      </c>
      <c r="AG867">
        <v>0.308</v>
      </c>
      <c r="AH867">
        <v>1.38</v>
      </c>
      <c r="AI867">
        <v>4.91</v>
      </c>
      <c r="AJ867">
        <v>5.4</v>
      </c>
      <c r="AK867">
        <v>-1.7</v>
      </c>
      <c r="AL867">
        <v>-0.2</v>
      </c>
      <c r="AM867">
        <v>6</v>
      </c>
      <c r="AN867">
        <v>8</v>
      </c>
      <c r="AO867">
        <v>1</v>
      </c>
      <c r="AP867">
        <v>3</v>
      </c>
      <c r="AQ867" t="s">
        <v>3434</v>
      </c>
      <c r="AR867">
        <v>10</v>
      </c>
      <c r="AS867" t="s">
        <v>36</v>
      </c>
      <c r="AT867" t="s">
        <v>35</v>
      </c>
      <c r="AU867" s="4">
        <f>HYPERLINK("http://mlb.mlb.com/team/player.jsp?player_id=669728",669728)</f>
        <v>669728</v>
      </c>
      <c r="AV867">
        <v>0</v>
      </c>
      <c r="AW867">
        <v>0</v>
      </c>
      <c r="AX867">
        <v>0</v>
      </c>
    </row>
    <row r="868" spans="1:50" x14ac:dyDescent="0.3">
      <c r="A868" s="4">
        <f>HYPERLINK("http://legacy.baseballprospectus.com/p/109123",109123)</f>
        <v>109123</v>
      </c>
      <c r="B868" t="s">
        <v>2099</v>
      </c>
      <c r="C868" t="s">
        <v>137</v>
      </c>
      <c r="D868" s="10">
        <v>36030</v>
      </c>
      <c r="E868" t="s">
        <v>9</v>
      </c>
      <c r="F868" t="s">
        <v>9</v>
      </c>
      <c r="G868">
        <v>78</v>
      </c>
      <c r="H868">
        <v>220</v>
      </c>
      <c r="I868">
        <v>2018</v>
      </c>
      <c r="J868" s="4" t="str">
        <f>HYPERLINK("http://legacy.baseballprospectus.com/fantasy/dc/index.php?tm=BOS","BOS")</f>
        <v>BOS</v>
      </c>
      <c r="K868" t="s">
        <v>95</v>
      </c>
      <c r="L868" t="s">
        <v>34</v>
      </c>
      <c r="M868">
        <v>19</v>
      </c>
      <c r="N868">
        <v>2.1</v>
      </c>
      <c r="O868">
        <v>3.4</v>
      </c>
      <c r="P868">
        <v>3.2</v>
      </c>
      <c r="Q868">
        <v>0</v>
      </c>
      <c r="R868">
        <v>0</v>
      </c>
      <c r="S868">
        <v>0</v>
      </c>
      <c r="T868">
        <v>9.6999999999999993</v>
      </c>
      <c r="U868">
        <v>9.6999999999999993</v>
      </c>
      <c r="V868" s="9">
        <v>38.666699999999999</v>
      </c>
      <c r="W868">
        <v>177</v>
      </c>
      <c r="X868">
        <v>41</v>
      </c>
      <c r="Y868">
        <v>9</v>
      </c>
      <c r="Z868">
        <v>22</v>
      </c>
      <c r="AA868" t="s">
        <v>1680</v>
      </c>
      <c r="AB868">
        <v>1</v>
      </c>
      <c r="AC868">
        <v>44</v>
      </c>
      <c r="AD868">
        <v>5.0999999999999996</v>
      </c>
      <c r="AE868">
        <v>10.4</v>
      </c>
      <c r="AF868" s="5">
        <v>0.45607668161392201</v>
      </c>
      <c r="AG868">
        <v>0.32300000000000001</v>
      </c>
      <c r="AH868">
        <v>1.64</v>
      </c>
      <c r="AI868">
        <v>5.68</v>
      </c>
      <c r="AJ868">
        <v>6.19</v>
      </c>
      <c r="AK868">
        <v>-2</v>
      </c>
      <c r="AL868">
        <v>-0.2</v>
      </c>
      <c r="AM868">
        <v>0</v>
      </c>
      <c r="AN868">
        <v>0</v>
      </c>
      <c r="AO868">
        <v>0</v>
      </c>
      <c r="AP868">
        <v>0</v>
      </c>
      <c r="AQ868" t="s">
        <v>3308</v>
      </c>
      <c r="AR868">
        <v>0</v>
      </c>
      <c r="AS868" t="s">
        <v>36</v>
      </c>
      <c r="AT868" t="s">
        <v>35</v>
      </c>
      <c r="AU868" s="4">
        <f>HYPERLINK("http://mlb.mlb.com/team/player.jsp?player_id=666130",666130)</f>
        <v>666130</v>
      </c>
      <c r="AV868">
        <v>150</v>
      </c>
      <c r="AW868">
        <v>1150</v>
      </c>
      <c r="AX868">
        <v>0</v>
      </c>
    </row>
    <row r="869" spans="1:50" x14ac:dyDescent="0.3">
      <c r="A869" s="4">
        <f>HYPERLINK("http://legacy.baseballprospectus.com/p/109144",109144)</f>
        <v>109144</v>
      </c>
      <c r="B869" t="s">
        <v>398</v>
      </c>
      <c r="C869" t="s">
        <v>2004</v>
      </c>
      <c r="D869" s="10">
        <v>34960</v>
      </c>
      <c r="E869" t="s">
        <v>33</v>
      </c>
      <c r="F869" t="s">
        <v>33</v>
      </c>
      <c r="G869">
        <v>72</v>
      </c>
      <c r="H869">
        <v>190</v>
      </c>
      <c r="I869">
        <v>2018</v>
      </c>
      <c r="J869" s="4" t="str">
        <f>HYPERLINK("http://legacy.baseballprospectus.com/fantasy/dc/index.php?tm=CIN","CIN")</f>
        <v>CIN</v>
      </c>
      <c r="K869" t="s">
        <v>100</v>
      </c>
      <c r="L869" t="s">
        <v>34</v>
      </c>
      <c r="M869">
        <v>22</v>
      </c>
      <c r="N869">
        <v>4.2</v>
      </c>
      <c r="O869">
        <v>5.0999999999999996</v>
      </c>
      <c r="P869">
        <v>5</v>
      </c>
      <c r="Q869">
        <v>0</v>
      </c>
      <c r="R869">
        <v>0</v>
      </c>
      <c r="S869">
        <v>0</v>
      </c>
      <c r="T869">
        <v>13.6</v>
      </c>
      <c r="U869">
        <v>13.6</v>
      </c>
      <c r="V869" s="9">
        <v>72.666700000000006</v>
      </c>
      <c r="W869">
        <v>307</v>
      </c>
      <c r="X869">
        <v>77</v>
      </c>
      <c r="Y869">
        <v>18</v>
      </c>
      <c r="Z869">
        <v>24</v>
      </c>
      <c r="AA869" t="s">
        <v>1680</v>
      </c>
      <c r="AB869">
        <v>3</v>
      </c>
      <c r="AC869">
        <v>73</v>
      </c>
      <c r="AD869">
        <v>2.9</v>
      </c>
      <c r="AE869">
        <v>9.1</v>
      </c>
      <c r="AF869" s="5">
        <v>0.39629548788070601</v>
      </c>
      <c r="AG869">
        <v>0.315</v>
      </c>
      <c r="AH869">
        <v>1.39</v>
      </c>
      <c r="AI869">
        <v>5.43</v>
      </c>
      <c r="AJ869">
        <v>5.86</v>
      </c>
      <c r="AK869">
        <v>-1.8</v>
      </c>
      <c r="AL869">
        <v>-0.2</v>
      </c>
      <c r="AM869">
        <v>13</v>
      </c>
      <c r="AN869">
        <v>17</v>
      </c>
      <c r="AO869">
        <v>4</v>
      </c>
      <c r="AP869">
        <v>19</v>
      </c>
      <c r="AQ869" t="s">
        <v>2611</v>
      </c>
      <c r="AR869">
        <v>23</v>
      </c>
      <c r="AS869" t="s">
        <v>36</v>
      </c>
      <c r="AT869" t="s">
        <v>35</v>
      </c>
      <c r="AU869" s="4">
        <f>HYPERLINK("http://mlb.mlb.com/team/player.jsp?player_id=661269",661269)</f>
        <v>661269</v>
      </c>
      <c r="AV869">
        <v>1173</v>
      </c>
      <c r="AW869">
        <v>173</v>
      </c>
      <c r="AX869">
        <v>0</v>
      </c>
    </row>
    <row r="870" spans="1:50" x14ac:dyDescent="0.3">
      <c r="A870" s="4">
        <f>HYPERLINK("http://legacy.baseballprospectus.com/p/109149",109149)</f>
        <v>109149</v>
      </c>
      <c r="B870" t="s">
        <v>3132</v>
      </c>
      <c r="C870" t="s">
        <v>3133</v>
      </c>
      <c r="D870" s="10">
        <v>34913</v>
      </c>
      <c r="E870" t="s">
        <v>9</v>
      </c>
      <c r="F870" t="s">
        <v>33</v>
      </c>
      <c r="G870">
        <v>72</v>
      </c>
      <c r="H870">
        <v>180</v>
      </c>
      <c r="I870">
        <v>2018</v>
      </c>
      <c r="J870" s="4" t="str">
        <f>HYPERLINK("http://legacy.baseballprospectus.com/fantasy/dc/index.php?tm=OAK","OAK")</f>
        <v>OAK</v>
      </c>
      <c r="K870" t="s">
        <v>95</v>
      </c>
      <c r="L870" t="s">
        <v>34</v>
      </c>
      <c r="M870">
        <v>22</v>
      </c>
      <c r="N870">
        <v>1.8</v>
      </c>
      <c r="O870">
        <v>2.5</v>
      </c>
      <c r="P870">
        <v>2.2999999999999998</v>
      </c>
      <c r="Q870">
        <v>0</v>
      </c>
      <c r="R870">
        <v>0.2</v>
      </c>
      <c r="S870">
        <v>0</v>
      </c>
      <c r="T870">
        <v>12.3</v>
      </c>
      <c r="U870">
        <v>7.1</v>
      </c>
      <c r="V870" s="9">
        <v>33.666699999999999</v>
      </c>
      <c r="W870">
        <v>150</v>
      </c>
      <c r="X870">
        <v>38</v>
      </c>
      <c r="Y870">
        <v>7</v>
      </c>
      <c r="Z870">
        <v>14</v>
      </c>
      <c r="AA870" t="s">
        <v>1680</v>
      </c>
      <c r="AB870">
        <v>0</v>
      </c>
      <c r="AC870">
        <v>29</v>
      </c>
      <c r="AD870">
        <v>3.9</v>
      </c>
      <c r="AE870">
        <v>7.9</v>
      </c>
      <c r="AF870" s="5">
        <v>0.50750494003295898</v>
      </c>
      <c r="AG870">
        <v>0.307</v>
      </c>
      <c r="AH870">
        <v>1.55</v>
      </c>
      <c r="AI870">
        <v>5.77</v>
      </c>
      <c r="AJ870">
        <v>6.03</v>
      </c>
      <c r="AK870">
        <v>-1.5</v>
      </c>
      <c r="AL870">
        <v>-0.2</v>
      </c>
      <c r="AM870">
        <v>2</v>
      </c>
      <c r="AN870">
        <v>4</v>
      </c>
      <c r="AO870">
        <v>2</v>
      </c>
      <c r="AP870">
        <v>7</v>
      </c>
      <c r="AQ870" t="s">
        <v>3134</v>
      </c>
      <c r="AR870">
        <v>9</v>
      </c>
      <c r="AS870" t="s">
        <v>36</v>
      </c>
      <c r="AT870" t="s">
        <v>35</v>
      </c>
      <c r="AU870" s="4">
        <f>HYPERLINK("http://mlb.mlb.com/team/player.jsp?player_id=641726",641726)</f>
        <v>641726</v>
      </c>
      <c r="AV870">
        <v>0</v>
      </c>
      <c r="AW870">
        <v>0</v>
      </c>
      <c r="AX870">
        <v>0</v>
      </c>
    </row>
    <row r="871" spans="1:50" x14ac:dyDescent="0.3">
      <c r="A871" s="4">
        <f>HYPERLINK("http://legacy.baseballprospectus.com/p/109158",109158)</f>
        <v>109158</v>
      </c>
      <c r="B871" t="s">
        <v>3135</v>
      </c>
      <c r="C871" t="s">
        <v>181</v>
      </c>
      <c r="D871" s="10">
        <v>34594</v>
      </c>
      <c r="E871" t="s">
        <v>33</v>
      </c>
      <c r="F871" t="s">
        <v>33</v>
      </c>
      <c r="G871">
        <v>74</v>
      </c>
      <c r="H871">
        <v>200</v>
      </c>
      <c r="I871">
        <v>2018</v>
      </c>
      <c r="J871" s="4" t="str">
        <f>HYPERLINK("http://legacy.baseballprospectus.com/fantasy/dc/index.php?tm=BOS","BOS")</f>
        <v>BOS</v>
      </c>
      <c r="K871" t="s">
        <v>95</v>
      </c>
      <c r="L871" t="s">
        <v>34</v>
      </c>
      <c r="M871">
        <v>23</v>
      </c>
      <c r="N871">
        <v>5</v>
      </c>
      <c r="O871">
        <v>6.7</v>
      </c>
      <c r="P871">
        <v>6.5</v>
      </c>
      <c r="Q871">
        <v>0</v>
      </c>
      <c r="R871">
        <v>0</v>
      </c>
      <c r="S871">
        <v>0</v>
      </c>
      <c r="T871">
        <v>17.7</v>
      </c>
      <c r="U871">
        <v>17.7</v>
      </c>
      <c r="V871" s="9">
        <v>91.333299999999994</v>
      </c>
      <c r="W871">
        <v>404</v>
      </c>
      <c r="X871">
        <v>95</v>
      </c>
      <c r="Y871">
        <v>22</v>
      </c>
      <c r="Z871">
        <v>38</v>
      </c>
      <c r="AA871" t="s">
        <v>1680</v>
      </c>
      <c r="AB871">
        <v>4</v>
      </c>
      <c r="AC871">
        <v>110</v>
      </c>
      <c r="AD871">
        <v>3.7</v>
      </c>
      <c r="AE871">
        <v>10.8</v>
      </c>
      <c r="AF871" s="5">
        <v>0.35439565777778598</v>
      </c>
      <c r="AG871">
        <v>0.318</v>
      </c>
      <c r="AH871">
        <v>1.46</v>
      </c>
      <c r="AI871">
        <v>5.37</v>
      </c>
      <c r="AJ871">
        <v>5.86</v>
      </c>
      <c r="AK871">
        <v>-1.5</v>
      </c>
      <c r="AL871">
        <v>-0.2</v>
      </c>
      <c r="AM871">
        <v>6</v>
      </c>
      <c r="AN871">
        <v>8</v>
      </c>
      <c r="AO871">
        <v>4</v>
      </c>
      <c r="AP871">
        <v>10</v>
      </c>
      <c r="AQ871" t="s">
        <v>3136</v>
      </c>
      <c r="AR871">
        <v>15</v>
      </c>
      <c r="AS871" t="s">
        <v>36</v>
      </c>
      <c r="AT871" t="s">
        <v>35</v>
      </c>
      <c r="AU871" s="4">
        <f>HYPERLINK("http://mlb.mlb.com/team/player.jsp?player_id=642067",642067)</f>
        <v>642067</v>
      </c>
      <c r="AV871">
        <v>0</v>
      </c>
      <c r="AW871">
        <v>0</v>
      </c>
      <c r="AX871">
        <v>0</v>
      </c>
    </row>
    <row r="872" spans="1:50" x14ac:dyDescent="0.3">
      <c r="A872" s="4">
        <f>HYPERLINK("http://legacy.baseballprospectus.com/p/109764",109764)</f>
        <v>109764</v>
      </c>
      <c r="B872" t="s">
        <v>3311</v>
      </c>
      <c r="C872" t="s">
        <v>553</v>
      </c>
      <c r="D872" s="10">
        <v>34742</v>
      </c>
      <c r="E872" t="s">
        <v>33</v>
      </c>
      <c r="F872" t="s">
        <v>33</v>
      </c>
      <c r="G872">
        <v>73</v>
      </c>
      <c r="H872">
        <v>205</v>
      </c>
      <c r="I872">
        <v>2018</v>
      </c>
      <c r="J872" s="4" t="str">
        <f>HYPERLINK("http://legacy.baseballprospectus.com/fantasy/dc/index.php?tm=OAK","OAK")</f>
        <v>OAK</v>
      </c>
      <c r="K872" t="s">
        <v>95</v>
      </c>
      <c r="L872" t="s">
        <v>34</v>
      </c>
      <c r="M872">
        <v>23</v>
      </c>
      <c r="N872">
        <v>1.8</v>
      </c>
      <c r="O872">
        <v>2.2000000000000002</v>
      </c>
      <c r="P872">
        <v>2</v>
      </c>
      <c r="Q872">
        <v>0</v>
      </c>
      <c r="R872">
        <v>0.3</v>
      </c>
      <c r="S872">
        <v>0</v>
      </c>
      <c r="T872">
        <v>15.4</v>
      </c>
      <c r="U872">
        <v>6.1</v>
      </c>
      <c r="V872" s="9">
        <v>34</v>
      </c>
      <c r="W872">
        <v>150</v>
      </c>
      <c r="X872">
        <v>36</v>
      </c>
      <c r="Y872">
        <v>8</v>
      </c>
      <c r="Z872">
        <v>13</v>
      </c>
      <c r="AA872" t="s">
        <v>1680</v>
      </c>
      <c r="AB872">
        <v>2</v>
      </c>
      <c r="AC872">
        <v>36</v>
      </c>
      <c r="AD872">
        <v>3.5</v>
      </c>
      <c r="AE872">
        <v>9.6</v>
      </c>
      <c r="AF872" s="5">
        <v>0.38762661814689597</v>
      </c>
      <c r="AG872">
        <v>0.307</v>
      </c>
      <c r="AH872">
        <v>1.45</v>
      </c>
      <c r="AI872">
        <v>5.73</v>
      </c>
      <c r="AJ872">
        <v>5.99</v>
      </c>
      <c r="AK872">
        <v>-1.9</v>
      </c>
      <c r="AL872">
        <v>-0.2</v>
      </c>
      <c r="AM872">
        <v>4</v>
      </c>
      <c r="AN872">
        <v>4</v>
      </c>
      <c r="AO872">
        <v>2</v>
      </c>
      <c r="AP872">
        <v>6</v>
      </c>
      <c r="AQ872" t="s">
        <v>3312</v>
      </c>
      <c r="AR872">
        <v>7</v>
      </c>
      <c r="AS872" t="s">
        <v>36</v>
      </c>
      <c r="AT872" t="s">
        <v>35</v>
      </c>
      <c r="AU872" s="4">
        <f>HYPERLINK("http://mlb.mlb.com/team/player.jsp?player_id=670161",670161)</f>
        <v>670161</v>
      </c>
      <c r="AV872">
        <v>0</v>
      </c>
      <c r="AW872">
        <v>0</v>
      </c>
      <c r="AX872">
        <v>0</v>
      </c>
    </row>
    <row r="873" spans="1:50" x14ac:dyDescent="0.3">
      <c r="A873" s="4">
        <f>HYPERLINK("http://legacy.baseballprospectus.com/p/110045",110045)</f>
        <v>110045</v>
      </c>
      <c r="B873" t="s">
        <v>429</v>
      </c>
      <c r="C873" t="s">
        <v>1400</v>
      </c>
      <c r="D873" s="10">
        <v>35274</v>
      </c>
      <c r="E873" t="s">
        <v>33</v>
      </c>
      <c r="F873" t="s">
        <v>33</v>
      </c>
      <c r="G873">
        <v>75</v>
      </c>
      <c r="H873">
        <v>205</v>
      </c>
      <c r="I873">
        <v>2018</v>
      </c>
      <c r="J873" s="4" t="str">
        <f>HYPERLINK("http://legacy.baseballprospectus.com/fantasy/dc/index.php?tm=PHI","PHI")</f>
        <v>PHI</v>
      </c>
      <c r="K873" t="s">
        <v>100</v>
      </c>
      <c r="L873" t="s">
        <v>34</v>
      </c>
      <c r="M873">
        <v>21</v>
      </c>
      <c r="N873">
        <v>2</v>
      </c>
      <c r="O873">
        <v>2.9</v>
      </c>
      <c r="P873">
        <v>3.3</v>
      </c>
      <c r="Q873">
        <v>0</v>
      </c>
      <c r="R873">
        <v>0</v>
      </c>
      <c r="S873">
        <v>0</v>
      </c>
      <c r="T873">
        <v>8.8000000000000007</v>
      </c>
      <c r="U873">
        <v>8.8000000000000007</v>
      </c>
      <c r="V873" s="9">
        <v>34.333300000000001</v>
      </c>
      <c r="W873">
        <v>150</v>
      </c>
      <c r="X873">
        <v>34</v>
      </c>
      <c r="Y873">
        <v>7</v>
      </c>
      <c r="Z873">
        <v>19</v>
      </c>
      <c r="AA873" t="s">
        <v>1680</v>
      </c>
      <c r="AB873">
        <v>1</v>
      </c>
      <c r="AC873">
        <v>40</v>
      </c>
      <c r="AD873">
        <v>5</v>
      </c>
      <c r="AE873">
        <v>10.6</v>
      </c>
      <c r="AF873" s="5">
        <v>0.39964610338210999</v>
      </c>
      <c r="AG873">
        <v>0.32700000000000001</v>
      </c>
      <c r="AH873">
        <v>1.54</v>
      </c>
      <c r="AI873">
        <v>5.4</v>
      </c>
      <c r="AJ873">
        <v>6.05</v>
      </c>
      <c r="AK873">
        <v>-1.5</v>
      </c>
      <c r="AL873">
        <v>-0.2</v>
      </c>
      <c r="AM873">
        <v>1</v>
      </c>
      <c r="AN873">
        <v>3</v>
      </c>
      <c r="AO873">
        <v>0</v>
      </c>
      <c r="AP873">
        <v>4</v>
      </c>
      <c r="AQ873" t="s">
        <v>3407</v>
      </c>
      <c r="AR873">
        <v>5</v>
      </c>
      <c r="AS873" t="s">
        <v>36</v>
      </c>
      <c r="AT873" t="s">
        <v>35</v>
      </c>
      <c r="AU873" s="4">
        <f>HYPERLINK("http://mlb.mlb.com/team/player.jsp?player_id=675921",675921)</f>
        <v>675921</v>
      </c>
      <c r="AV873">
        <v>0</v>
      </c>
      <c r="AW873">
        <v>0</v>
      </c>
      <c r="AX873">
        <v>0</v>
      </c>
    </row>
    <row r="874" spans="1:50" x14ac:dyDescent="0.3">
      <c r="A874" s="4">
        <f>HYPERLINK("http://legacy.baseballprospectus.com/p/110259",110259)</f>
        <v>110259</v>
      </c>
      <c r="B874" t="s">
        <v>493</v>
      </c>
      <c r="C874" t="s">
        <v>766</v>
      </c>
      <c r="D874" s="10">
        <v>35061</v>
      </c>
      <c r="E874" t="s">
        <v>33</v>
      </c>
      <c r="F874" t="s">
        <v>33</v>
      </c>
      <c r="G874">
        <v>74</v>
      </c>
      <c r="H874">
        <v>200</v>
      </c>
      <c r="I874">
        <v>2018</v>
      </c>
      <c r="J874" s="4" t="str">
        <f>HYPERLINK("http://legacy.baseballprospectus.com/fantasy/dc/index.php?tm=HOU","HOU")</f>
        <v>HOU</v>
      </c>
      <c r="K874" t="s">
        <v>95</v>
      </c>
      <c r="L874" t="s">
        <v>34</v>
      </c>
      <c r="M874">
        <v>22</v>
      </c>
      <c r="N874">
        <v>1.7</v>
      </c>
      <c r="O874">
        <v>1.3</v>
      </c>
      <c r="P874">
        <v>1.1000000000000001</v>
      </c>
      <c r="Q874">
        <v>0</v>
      </c>
      <c r="R874">
        <v>0.8</v>
      </c>
      <c r="S874">
        <v>0</v>
      </c>
      <c r="T874">
        <v>23.1</v>
      </c>
      <c r="U874">
        <v>3</v>
      </c>
      <c r="V874" s="9">
        <v>34</v>
      </c>
      <c r="W874">
        <v>150</v>
      </c>
      <c r="X874">
        <v>35</v>
      </c>
      <c r="Y874">
        <v>8</v>
      </c>
      <c r="Z874">
        <v>15</v>
      </c>
      <c r="AA874" t="s">
        <v>1680</v>
      </c>
      <c r="AB874">
        <v>0</v>
      </c>
      <c r="AC874">
        <v>38</v>
      </c>
      <c r="AD874">
        <v>4</v>
      </c>
      <c r="AE874">
        <v>9.9</v>
      </c>
      <c r="AF874" s="5">
        <v>0.49052625894546498</v>
      </c>
      <c r="AG874">
        <v>0.313</v>
      </c>
      <c r="AH874">
        <v>1.49</v>
      </c>
      <c r="AI874">
        <v>5.32</v>
      </c>
      <c r="AJ874">
        <v>5.68</v>
      </c>
      <c r="AK874">
        <v>-1.9</v>
      </c>
      <c r="AL874">
        <v>-0.2</v>
      </c>
      <c r="AM874">
        <v>2</v>
      </c>
      <c r="AN874">
        <v>5</v>
      </c>
      <c r="AO874">
        <v>0</v>
      </c>
      <c r="AP874">
        <v>4</v>
      </c>
      <c r="AQ874" t="s">
        <v>3315</v>
      </c>
      <c r="AR874">
        <v>6</v>
      </c>
      <c r="AS874" t="s">
        <v>36</v>
      </c>
      <c r="AT874" t="s">
        <v>35</v>
      </c>
      <c r="AU874" s="4">
        <f>HYPERLINK("http://mlb.mlb.com/team/player.jsp?player_id=656686",656686)</f>
        <v>656686</v>
      </c>
      <c r="AV874">
        <v>0</v>
      </c>
      <c r="AW874">
        <v>0</v>
      </c>
      <c r="AX874">
        <v>0</v>
      </c>
    </row>
    <row r="875" spans="1:50" x14ac:dyDescent="0.3">
      <c r="A875" s="4">
        <f>HYPERLINK("http://legacy.baseballprospectus.com/p/111116",111116)</f>
        <v>111116</v>
      </c>
      <c r="B875" t="s">
        <v>3237</v>
      </c>
      <c r="C875" t="s">
        <v>739</v>
      </c>
      <c r="D875" s="10">
        <v>35245</v>
      </c>
      <c r="E875" t="s">
        <v>33</v>
      </c>
      <c r="F875" t="s">
        <v>33</v>
      </c>
      <c r="G875">
        <v>77</v>
      </c>
      <c r="H875">
        <v>220</v>
      </c>
      <c r="I875">
        <v>2018</v>
      </c>
      <c r="J875" s="4" t="str">
        <f>HYPERLINK("http://legacy.baseballprospectus.com/fantasy/dc/index.php?tm=BOS","BOS")</f>
        <v>BOS</v>
      </c>
      <c r="K875" t="s">
        <v>95</v>
      </c>
      <c r="L875" t="s">
        <v>34</v>
      </c>
      <c r="M875">
        <v>22</v>
      </c>
      <c r="N875">
        <v>1.8</v>
      </c>
      <c r="O875">
        <v>3.1</v>
      </c>
      <c r="P875">
        <v>3</v>
      </c>
      <c r="Q875">
        <v>0</v>
      </c>
      <c r="R875">
        <v>0</v>
      </c>
      <c r="S875">
        <v>0</v>
      </c>
      <c r="T875">
        <v>9.3000000000000007</v>
      </c>
      <c r="U875">
        <v>9.3000000000000007</v>
      </c>
      <c r="V875" s="9">
        <v>32.666699999999999</v>
      </c>
      <c r="W875">
        <v>150</v>
      </c>
      <c r="X875">
        <v>38</v>
      </c>
      <c r="Y875">
        <v>7</v>
      </c>
      <c r="Z875">
        <v>15</v>
      </c>
      <c r="AA875" t="s">
        <v>1680</v>
      </c>
      <c r="AB875">
        <v>2</v>
      </c>
      <c r="AC875">
        <v>32</v>
      </c>
      <c r="AD875">
        <v>4.0999999999999996</v>
      </c>
      <c r="AE875">
        <v>8.9</v>
      </c>
      <c r="AF875" s="5">
        <v>0.404718577861785</v>
      </c>
      <c r="AG875">
        <v>0.32500000000000001</v>
      </c>
      <c r="AH875">
        <v>1.61</v>
      </c>
      <c r="AI875">
        <v>5.72</v>
      </c>
      <c r="AJ875">
        <v>6.25</v>
      </c>
      <c r="AK875">
        <v>-1.9</v>
      </c>
      <c r="AL875">
        <v>-0.2</v>
      </c>
      <c r="AM875">
        <v>1</v>
      </c>
      <c r="AN875">
        <v>2</v>
      </c>
      <c r="AO875">
        <v>0</v>
      </c>
      <c r="AP875">
        <v>1</v>
      </c>
      <c r="AQ875" t="s">
        <v>3238</v>
      </c>
      <c r="AR875">
        <v>2</v>
      </c>
      <c r="AS875" t="s">
        <v>36</v>
      </c>
      <c r="AT875" t="s">
        <v>35</v>
      </c>
      <c r="AU875" s="4">
        <f>HYPERLINK("http://mlb.mlb.com/team/player.jsp?player_id=656557",656557)</f>
        <v>656557</v>
      </c>
      <c r="AV875">
        <v>153</v>
      </c>
      <c r="AW875">
        <v>1153</v>
      </c>
      <c r="AX875">
        <v>0</v>
      </c>
    </row>
    <row r="876" spans="1:50" x14ac:dyDescent="0.3">
      <c r="A876" s="4">
        <f>HYPERLINK("http://legacy.baseballprospectus.com/p/111244",111244)</f>
        <v>111244</v>
      </c>
      <c r="B876" t="s">
        <v>1078</v>
      </c>
      <c r="C876" t="s">
        <v>103</v>
      </c>
      <c r="D876" s="10">
        <v>34945</v>
      </c>
      <c r="E876" t="s">
        <v>9</v>
      </c>
      <c r="F876" t="s">
        <v>9</v>
      </c>
      <c r="G876">
        <v>78</v>
      </c>
      <c r="H876">
        <v>240</v>
      </c>
      <c r="I876">
        <v>2018</v>
      </c>
      <c r="J876" s="4" t="str">
        <f>HYPERLINK("http://legacy.baseballprospectus.com/fantasy/dc/index.php?tm=NYN","NYN")</f>
        <v>NYN</v>
      </c>
      <c r="K876" t="s">
        <v>100</v>
      </c>
      <c r="L876" t="s">
        <v>34</v>
      </c>
      <c r="M876">
        <v>22</v>
      </c>
      <c r="N876">
        <v>1.9</v>
      </c>
      <c r="O876">
        <v>2.8</v>
      </c>
      <c r="P876">
        <v>2.8</v>
      </c>
      <c r="Q876">
        <v>0</v>
      </c>
      <c r="R876">
        <v>0</v>
      </c>
      <c r="S876">
        <v>0</v>
      </c>
      <c r="T876">
        <v>7.8</v>
      </c>
      <c r="U876">
        <v>7.8</v>
      </c>
      <c r="V876" s="9">
        <v>34.666699999999999</v>
      </c>
      <c r="W876">
        <v>150</v>
      </c>
      <c r="X876">
        <v>39</v>
      </c>
      <c r="Y876">
        <v>8</v>
      </c>
      <c r="Z876">
        <v>14</v>
      </c>
      <c r="AA876" t="s">
        <v>1680</v>
      </c>
      <c r="AB876">
        <v>0</v>
      </c>
      <c r="AC876">
        <v>34</v>
      </c>
      <c r="AD876">
        <v>3.8</v>
      </c>
      <c r="AE876">
        <v>8.6999999999999993</v>
      </c>
      <c r="AF876" s="5">
        <v>0.44732779264450001</v>
      </c>
      <c r="AG876">
        <v>0.33</v>
      </c>
      <c r="AH876">
        <v>1.54</v>
      </c>
      <c r="AI876">
        <v>5.54</v>
      </c>
      <c r="AJ876">
        <v>6.16</v>
      </c>
      <c r="AK876">
        <v>-1.9</v>
      </c>
      <c r="AL876">
        <v>-0.2</v>
      </c>
      <c r="AM876">
        <v>1</v>
      </c>
      <c r="AN876">
        <v>1</v>
      </c>
      <c r="AO876">
        <v>0</v>
      </c>
      <c r="AP876">
        <v>1</v>
      </c>
      <c r="AQ876" t="s">
        <v>3321</v>
      </c>
      <c r="AR876">
        <v>1</v>
      </c>
      <c r="AS876" t="s">
        <v>36</v>
      </c>
      <c r="AT876" t="s">
        <v>35</v>
      </c>
      <c r="AU876" s="4">
        <f>HYPERLINK("http://mlb.mlb.com/team/player.jsp?player_id=656849",656849)</f>
        <v>656849</v>
      </c>
      <c r="AV876">
        <v>1186</v>
      </c>
      <c r="AW876">
        <v>186</v>
      </c>
      <c r="AX876">
        <v>0</v>
      </c>
    </row>
    <row r="877" spans="1:50" x14ac:dyDescent="0.3">
      <c r="A877" s="4">
        <f>HYPERLINK("http://legacy.baseballprospectus.com/p/47851",47851)</f>
        <v>47851</v>
      </c>
      <c r="B877" t="s">
        <v>820</v>
      </c>
      <c r="C877" t="s">
        <v>2081</v>
      </c>
      <c r="D877" s="10">
        <v>31351</v>
      </c>
      <c r="E877" t="s">
        <v>33</v>
      </c>
      <c r="F877" t="s">
        <v>33</v>
      </c>
      <c r="G877">
        <v>73</v>
      </c>
      <c r="H877">
        <v>225</v>
      </c>
      <c r="I877">
        <v>2018</v>
      </c>
      <c r="J877" s="4" t="str">
        <f>HYPERLINK("http://legacy.baseballprospectus.com/fantasy/dc/index.php?tm=MIA","MIA")</f>
        <v>MIA</v>
      </c>
      <c r="K877" t="s">
        <v>100</v>
      </c>
      <c r="L877" t="s">
        <v>34</v>
      </c>
      <c r="M877">
        <v>32</v>
      </c>
      <c r="N877">
        <v>0.8</v>
      </c>
      <c r="O877">
        <v>1.2</v>
      </c>
      <c r="P877">
        <v>0</v>
      </c>
      <c r="Q877">
        <v>0</v>
      </c>
      <c r="R877">
        <v>0</v>
      </c>
      <c r="S877">
        <v>1</v>
      </c>
      <c r="T877">
        <v>21</v>
      </c>
      <c r="U877">
        <v>0</v>
      </c>
      <c r="V877" s="9">
        <v>21.666699999999999</v>
      </c>
      <c r="W877">
        <v>99</v>
      </c>
      <c r="X877">
        <v>24</v>
      </c>
      <c r="Y877">
        <v>4</v>
      </c>
      <c r="Z877">
        <v>12</v>
      </c>
      <c r="AA877">
        <v>1</v>
      </c>
      <c r="AB877">
        <v>1</v>
      </c>
      <c r="AC877">
        <v>18</v>
      </c>
      <c r="AD877">
        <v>4.9000000000000004</v>
      </c>
      <c r="AE877">
        <v>7.3</v>
      </c>
      <c r="AF877" s="5">
        <v>0.439</v>
      </c>
      <c r="AG877">
        <v>0.29799999999999999</v>
      </c>
      <c r="AH877">
        <v>1.62</v>
      </c>
      <c r="AI877">
        <v>6.09</v>
      </c>
      <c r="AJ877">
        <v>6.07</v>
      </c>
      <c r="AK877">
        <v>-2.4</v>
      </c>
      <c r="AL877">
        <v>-0.3</v>
      </c>
      <c r="AM877">
        <v>15</v>
      </c>
      <c r="AN877">
        <v>25</v>
      </c>
      <c r="AO877">
        <v>5</v>
      </c>
      <c r="AP877">
        <v>18</v>
      </c>
      <c r="AQ877" t="s">
        <v>3408</v>
      </c>
      <c r="AR877">
        <v>37</v>
      </c>
      <c r="AS877" t="s">
        <v>35</v>
      </c>
      <c r="AT877" t="s">
        <v>36</v>
      </c>
      <c r="AU877" s="4">
        <f>HYPERLINK("http://mlb.mlb.com/team/player.jsp?player_id=457915",457915)</f>
        <v>457915</v>
      </c>
      <c r="AV877">
        <v>0</v>
      </c>
      <c r="AW877">
        <v>0</v>
      </c>
      <c r="AX877">
        <v>21</v>
      </c>
    </row>
    <row r="878" spans="1:50" x14ac:dyDescent="0.3">
      <c r="A878" s="4">
        <f>HYPERLINK("http://legacy.baseballprospectus.com/p/47865",47865)</f>
        <v>47865</v>
      </c>
      <c r="B878" t="s">
        <v>431</v>
      </c>
      <c r="C878" t="s">
        <v>760</v>
      </c>
      <c r="D878" s="10">
        <v>31587</v>
      </c>
      <c r="E878" t="s">
        <v>33</v>
      </c>
      <c r="F878" t="s">
        <v>33</v>
      </c>
      <c r="G878">
        <v>77</v>
      </c>
      <c r="H878">
        <v>240</v>
      </c>
      <c r="I878">
        <v>2018</v>
      </c>
      <c r="J878" s="4" t="str">
        <f>HYPERLINK("http://legacy.baseballprospectus.com/fantasy/dc/index.php?tm=MIN","MIN")</f>
        <v>MIN</v>
      </c>
      <c r="K878" t="s">
        <v>95</v>
      </c>
      <c r="L878" t="s">
        <v>34</v>
      </c>
      <c r="M878">
        <v>32</v>
      </c>
      <c r="N878">
        <v>1.7</v>
      </c>
      <c r="O878">
        <v>2.2000000000000002</v>
      </c>
      <c r="P878">
        <v>1</v>
      </c>
      <c r="Q878">
        <v>0</v>
      </c>
      <c r="R878">
        <v>0</v>
      </c>
      <c r="S878">
        <v>0</v>
      </c>
      <c r="T878">
        <v>27</v>
      </c>
      <c r="U878">
        <v>2</v>
      </c>
      <c r="V878" s="9">
        <v>36.666699999999999</v>
      </c>
      <c r="W878">
        <v>166</v>
      </c>
      <c r="X878">
        <v>43</v>
      </c>
      <c r="Y878">
        <v>9</v>
      </c>
      <c r="Z878">
        <v>14</v>
      </c>
      <c r="AA878">
        <v>1</v>
      </c>
      <c r="AB878">
        <v>1</v>
      </c>
      <c r="AC878">
        <v>27</v>
      </c>
      <c r="AD878">
        <v>3.4</v>
      </c>
      <c r="AE878">
        <v>6.8</v>
      </c>
      <c r="AF878" s="5">
        <v>0.37</v>
      </c>
      <c r="AG878">
        <v>0.30099999999999999</v>
      </c>
      <c r="AH878">
        <v>1.57</v>
      </c>
      <c r="AI878">
        <v>6.05</v>
      </c>
      <c r="AJ878">
        <v>6.04</v>
      </c>
      <c r="AK878">
        <v>-2.7</v>
      </c>
      <c r="AL878">
        <v>-0.3</v>
      </c>
      <c r="AM878">
        <v>10</v>
      </c>
      <c r="AN878">
        <v>40</v>
      </c>
      <c r="AO878">
        <v>27</v>
      </c>
      <c r="AP878">
        <v>6</v>
      </c>
      <c r="AQ878" t="s">
        <v>3140</v>
      </c>
      <c r="AR878">
        <v>87</v>
      </c>
      <c r="AS878" t="s">
        <v>35</v>
      </c>
      <c r="AT878" t="s">
        <v>36</v>
      </c>
      <c r="AU878" s="4">
        <f>HYPERLINK("http://mlb.mlb.com/team/player.jsp?player_id=461833",461833)</f>
        <v>461833</v>
      </c>
      <c r="AV878">
        <v>82</v>
      </c>
      <c r="AW878">
        <v>1082</v>
      </c>
      <c r="AX878">
        <v>53.7</v>
      </c>
    </row>
    <row r="879" spans="1:50" x14ac:dyDescent="0.3">
      <c r="A879" s="4">
        <f>HYPERLINK("http://legacy.baseballprospectus.com/p/50062",50062)</f>
        <v>50062</v>
      </c>
      <c r="B879" t="s">
        <v>963</v>
      </c>
      <c r="C879" t="s">
        <v>234</v>
      </c>
      <c r="D879" s="10">
        <v>32248</v>
      </c>
      <c r="E879" t="s">
        <v>33</v>
      </c>
      <c r="F879" t="s">
        <v>33</v>
      </c>
      <c r="G879">
        <v>77</v>
      </c>
      <c r="H879">
        <v>200</v>
      </c>
      <c r="I879">
        <v>2018</v>
      </c>
      <c r="J879" s="4" t="str">
        <f>HYPERLINK("http://legacy.baseballprospectus.com/fantasy/dc/index.php?tm=BAL","BAL")</f>
        <v>BAL</v>
      </c>
      <c r="K879" t="s">
        <v>95</v>
      </c>
      <c r="L879" t="s">
        <v>34</v>
      </c>
      <c r="M879">
        <v>30</v>
      </c>
      <c r="N879">
        <v>6</v>
      </c>
      <c r="O879">
        <v>8.9</v>
      </c>
      <c r="P879">
        <v>7</v>
      </c>
      <c r="Q879">
        <v>0</v>
      </c>
      <c r="R879">
        <v>0</v>
      </c>
      <c r="S879">
        <v>0</v>
      </c>
      <c r="T879">
        <v>21</v>
      </c>
      <c r="U879">
        <v>21</v>
      </c>
      <c r="V879" s="9">
        <v>119.66670000000001</v>
      </c>
      <c r="W879">
        <v>537</v>
      </c>
      <c r="X879">
        <v>130</v>
      </c>
      <c r="Y879">
        <v>22</v>
      </c>
      <c r="Z879">
        <v>54</v>
      </c>
      <c r="AA879">
        <v>2</v>
      </c>
      <c r="AB879">
        <v>5</v>
      </c>
      <c r="AC879">
        <v>85</v>
      </c>
      <c r="AD879">
        <v>4</v>
      </c>
      <c r="AE879">
        <v>6.4</v>
      </c>
      <c r="AF879" s="5">
        <v>0.42499999999999999</v>
      </c>
      <c r="AG879">
        <v>0.29199999999999998</v>
      </c>
      <c r="AH879">
        <v>1.53</v>
      </c>
      <c r="AI879">
        <v>5.52</v>
      </c>
      <c r="AJ879">
        <v>5.77</v>
      </c>
      <c r="AK879">
        <v>-3</v>
      </c>
      <c r="AL879">
        <v>-0.3</v>
      </c>
      <c r="AM879">
        <v>7</v>
      </c>
      <c r="AN879">
        <v>33</v>
      </c>
      <c r="AO879">
        <v>37</v>
      </c>
      <c r="AP879">
        <v>12</v>
      </c>
      <c r="AQ879" t="s">
        <v>3161</v>
      </c>
      <c r="AR879">
        <v>92</v>
      </c>
      <c r="AS879" t="s">
        <v>35</v>
      </c>
      <c r="AT879" t="s">
        <v>36</v>
      </c>
      <c r="AU879" s="4">
        <f>HYPERLINK("http://mlb.mlb.com/team/player.jsp?player_id=501957",501957)</f>
        <v>501957</v>
      </c>
      <c r="AV879">
        <v>0</v>
      </c>
      <c r="AW879">
        <v>0</v>
      </c>
      <c r="AX879">
        <v>93</v>
      </c>
    </row>
    <row r="880" spans="1:50" x14ac:dyDescent="0.3">
      <c r="A880" s="4">
        <f>HYPERLINK("http://legacy.baseballprospectus.com/p/50185",50185)</f>
        <v>50185</v>
      </c>
      <c r="B880" t="s">
        <v>3256</v>
      </c>
      <c r="C880" t="s">
        <v>136</v>
      </c>
      <c r="D880" s="10">
        <v>31166</v>
      </c>
      <c r="E880" t="s">
        <v>33</v>
      </c>
      <c r="F880" t="s">
        <v>33</v>
      </c>
      <c r="G880">
        <v>73</v>
      </c>
      <c r="H880">
        <v>210</v>
      </c>
      <c r="I880">
        <v>2018</v>
      </c>
      <c r="J880" s="4" t="str">
        <f>HYPERLINK("http://legacy.baseballprospectus.com/fantasy/dc/index.php?tm=TEX","TEX")</f>
        <v>TEX</v>
      </c>
      <c r="K880" t="s">
        <v>95</v>
      </c>
      <c r="L880" t="s">
        <v>34</v>
      </c>
      <c r="M880">
        <v>33</v>
      </c>
      <c r="N880">
        <v>1.4</v>
      </c>
      <c r="O880">
        <v>2.2999999999999998</v>
      </c>
      <c r="P880">
        <v>1</v>
      </c>
      <c r="Q880">
        <v>0</v>
      </c>
      <c r="R880">
        <v>0</v>
      </c>
      <c r="S880">
        <v>0</v>
      </c>
      <c r="T880">
        <v>5</v>
      </c>
      <c r="U880">
        <v>5</v>
      </c>
      <c r="V880" s="9">
        <v>28.666699999999999</v>
      </c>
      <c r="W880">
        <v>131</v>
      </c>
      <c r="X880">
        <v>34</v>
      </c>
      <c r="Y880">
        <v>7</v>
      </c>
      <c r="Z880">
        <v>12</v>
      </c>
      <c r="AA880">
        <v>0</v>
      </c>
      <c r="AB880">
        <v>2</v>
      </c>
      <c r="AC880">
        <v>19</v>
      </c>
      <c r="AD880">
        <v>3.7</v>
      </c>
      <c r="AE880">
        <v>5.9</v>
      </c>
      <c r="AF880" s="5">
        <v>0.41499999999999998</v>
      </c>
      <c r="AG880">
        <v>0.29399999999999998</v>
      </c>
      <c r="AH880">
        <v>1.61</v>
      </c>
      <c r="AI880">
        <v>6.48</v>
      </c>
      <c r="AJ880">
        <v>6.58</v>
      </c>
      <c r="AK880">
        <v>-3.1</v>
      </c>
      <c r="AL880">
        <v>-0.3</v>
      </c>
      <c r="AM880">
        <v>5</v>
      </c>
      <c r="AN880">
        <v>9</v>
      </c>
      <c r="AO880">
        <v>4</v>
      </c>
      <c r="AP880">
        <v>6</v>
      </c>
      <c r="AQ880" t="s">
        <v>3257</v>
      </c>
      <c r="AR880">
        <v>13</v>
      </c>
      <c r="AS880" t="s">
        <v>35</v>
      </c>
      <c r="AT880" t="s">
        <v>36</v>
      </c>
      <c r="AU880" s="4">
        <f>HYPERLINK("http://mlb.mlb.com/team/player.jsp?player_id=502212",502212)</f>
        <v>502212</v>
      </c>
      <c r="AV880">
        <v>0</v>
      </c>
      <c r="AW880">
        <v>0</v>
      </c>
      <c r="AX880">
        <v>69.3</v>
      </c>
    </row>
    <row r="881" spans="1:50" x14ac:dyDescent="0.3">
      <c r="A881" s="4">
        <f>HYPERLINK("http://legacy.baseballprospectus.com/p/56468",56468)</f>
        <v>56468</v>
      </c>
      <c r="B881" t="s">
        <v>837</v>
      </c>
      <c r="C881" t="s">
        <v>301</v>
      </c>
      <c r="D881" s="10">
        <v>31694</v>
      </c>
      <c r="E881" t="s">
        <v>37</v>
      </c>
      <c r="F881" t="s">
        <v>9</v>
      </c>
      <c r="G881">
        <v>74</v>
      </c>
      <c r="H881">
        <v>215</v>
      </c>
      <c r="I881">
        <v>2018</v>
      </c>
      <c r="J881" s="4" t="str">
        <f>HYPERLINK("http://legacy.baseballprospectus.com/fantasy/dc/index.php?tm=SFN","SFN")</f>
        <v>SFN</v>
      </c>
      <c r="K881" t="s">
        <v>100</v>
      </c>
      <c r="L881" t="s">
        <v>34</v>
      </c>
      <c r="M881">
        <v>31</v>
      </c>
      <c r="N881">
        <v>4.5999999999999996</v>
      </c>
      <c r="O881">
        <v>6.1</v>
      </c>
      <c r="P881">
        <v>6</v>
      </c>
      <c r="Q881">
        <v>0</v>
      </c>
      <c r="R881">
        <v>0</v>
      </c>
      <c r="S881">
        <v>0</v>
      </c>
      <c r="T881">
        <v>16</v>
      </c>
      <c r="U881">
        <v>16</v>
      </c>
      <c r="V881" s="9">
        <v>84.666700000000006</v>
      </c>
      <c r="W881">
        <v>376</v>
      </c>
      <c r="X881">
        <v>89</v>
      </c>
      <c r="Y881">
        <v>13</v>
      </c>
      <c r="Z881">
        <v>34</v>
      </c>
      <c r="AA881">
        <v>2</v>
      </c>
      <c r="AB881">
        <v>4</v>
      </c>
      <c r="AC881">
        <v>69</v>
      </c>
      <c r="AD881">
        <v>3.6</v>
      </c>
      <c r="AE881">
        <v>7.3</v>
      </c>
      <c r="AF881" s="5">
        <v>0.41399999999999998</v>
      </c>
      <c r="AG881">
        <v>0.29699999999999999</v>
      </c>
      <c r="AH881">
        <v>1.46</v>
      </c>
      <c r="AI881">
        <v>4.7300000000000004</v>
      </c>
      <c r="AJ881">
        <v>5.58</v>
      </c>
      <c r="AK881">
        <v>-2.8</v>
      </c>
      <c r="AL881">
        <v>-0.3</v>
      </c>
      <c r="AM881">
        <v>11</v>
      </c>
      <c r="AN881">
        <v>50</v>
      </c>
      <c r="AO881">
        <v>18</v>
      </c>
      <c r="AP881">
        <v>21</v>
      </c>
      <c r="AQ881" t="s">
        <v>3261</v>
      </c>
      <c r="AR881">
        <v>85</v>
      </c>
      <c r="AS881" t="s">
        <v>35</v>
      </c>
      <c r="AT881" t="s">
        <v>36</v>
      </c>
      <c r="AU881" s="4">
        <f>HYPERLINK("http://mlb.mlb.com/team/player.jsp?player_id=502706",502706)</f>
        <v>502706</v>
      </c>
      <c r="AV881">
        <v>1744</v>
      </c>
      <c r="AW881">
        <v>744</v>
      </c>
      <c r="AX881">
        <v>135</v>
      </c>
    </row>
    <row r="882" spans="1:50" x14ac:dyDescent="0.3">
      <c r="A882" s="4">
        <f>HYPERLINK("http://legacy.baseballprospectus.com/p/56742",56742)</f>
        <v>56742</v>
      </c>
      <c r="B882" t="s">
        <v>622</v>
      </c>
      <c r="C882" t="s">
        <v>379</v>
      </c>
      <c r="D882" s="10">
        <v>32127</v>
      </c>
      <c r="E882" t="s">
        <v>33</v>
      </c>
      <c r="F882" t="s">
        <v>9</v>
      </c>
      <c r="G882">
        <v>72</v>
      </c>
      <c r="H882">
        <v>215</v>
      </c>
      <c r="I882">
        <v>2018</v>
      </c>
      <c r="J882" s="4" t="str">
        <f>HYPERLINK("http://legacy.baseballprospectus.com/fantasy/dc/index.php?tm=CHA","CHA")</f>
        <v>CHA</v>
      </c>
      <c r="K882" t="s">
        <v>95</v>
      </c>
      <c r="L882" t="s">
        <v>34</v>
      </c>
      <c r="M882">
        <v>30</v>
      </c>
      <c r="N882">
        <v>3.4</v>
      </c>
      <c r="O882">
        <v>5.4</v>
      </c>
      <c r="P882">
        <v>4</v>
      </c>
      <c r="Q882">
        <v>0</v>
      </c>
      <c r="R882">
        <v>0</v>
      </c>
      <c r="S882">
        <v>0</v>
      </c>
      <c r="T882">
        <v>13</v>
      </c>
      <c r="U882">
        <v>13</v>
      </c>
      <c r="V882" s="9">
        <v>69</v>
      </c>
      <c r="W882">
        <v>307</v>
      </c>
      <c r="X882">
        <v>72</v>
      </c>
      <c r="Y882">
        <v>15</v>
      </c>
      <c r="Z882">
        <v>30</v>
      </c>
      <c r="AA882">
        <v>1</v>
      </c>
      <c r="AB882">
        <v>4</v>
      </c>
      <c r="AC882">
        <v>59</v>
      </c>
      <c r="AD882">
        <v>3.9</v>
      </c>
      <c r="AE882">
        <v>7.7</v>
      </c>
      <c r="AF882" s="5">
        <v>0.35699999999999998</v>
      </c>
      <c r="AG882">
        <v>0.28699999999999998</v>
      </c>
      <c r="AH882">
        <v>1.45</v>
      </c>
      <c r="AI882">
        <v>5.5</v>
      </c>
      <c r="AJ882">
        <v>5.87</v>
      </c>
      <c r="AK882">
        <v>-2.4</v>
      </c>
      <c r="AL882">
        <v>-0.3</v>
      </c>
      <c r="AM882">
        <v>8</v>
      </c>
      <c r="AN882">
        <v>31</v>
      </c>
      <c r="AO882">
        <v>35</v>
      </c>
      <c r="AP882">
        <v>14</v>
      </c>
      <c r="AQ882" t="s">
        <v>3262</v>
      </c>
      <c r="AR882">
        <v>89</v>
      </c>
      <c r="AS882" t="s">
        <v>35</v>
      </c>
      <c r="AT882" t="s">
        <v>36</v>
      </c>
      <c r="AU882" s="4">
        <f>HYPERLINK("http://mlb.mlb.com/team/player.jsp?player_id=502327",502327)</f>
        <v>502327</v>
      </c>
      <c r="AV882">
        <v>0</v>
      </c>
      <c r="AW882">
        <v>0</v>
      </c>
      <c r="AX882">
        <v>70.3</v>
      </c>
    </row>
    <row r="883" spans="1:50" x14ac:dyDescent="0.3">
      <c r="A883" s="4">
        <f>HYPERLINK("http://legacy.baseballprospectus.com/p/66008",66008)</f>
        <v>66008</v>
      </c>
      <c r="B883" t="s">
        <v>673</v>
      </c>
      <c r="C883" t="s">
        <v>125</v>
      </c>
      <c r="D883" s="10">
        <v>33379</v>
      </c>
      <c r="E883" t="s">
        <v>33</v>
      </c>
      <c r="F883" t="s">
        <v>33</v>
      </c>
      <c r="G883">
        <v>77</v>
      </c>
      <c r="H883">
        <v>215</v>
      </c>
      <c r="I883">
        <v>2018</v>
      </c>
      <c r="J883" s="4" t="str">
        <f>HYPERLINK("http://legacy.baseballprospectus.com/fantasy/dc/index.php?tm=MIA","MIA")</f>
        <v>MIA</v>
      </c>
      <c r="K883" t="s">
        <v>100</v>
      </c>
      <c r="L883" t="s">
        <v>34</v>
      </c>
      <c r="M883">
        <v>27</v>
      </c>
      <c r="N883">
        <v>2.6</v>
      </c>
      <c r="O883">
        <v>5</v>
      </c>
      <c r="P883">
        <v>4</v>
      </c>
      <c r="Q883">
        <v>0</v>
      </c>
      <c r="R883">
        <v>0</v>
      </c>
      <c r="S883">
        <v>0</v>
      </c>
      <c r="T883">
        <v>20</v>
      </c>
      <c r="U883">
        <v>10</v>
      </c>
      <c r="V883" s="9">
        <v>61</v>
      </c>
      <c r="W883">
        <v>275</v>
      </c>
      <c r="X883">
        <v>67</v>
      </c>
      <c r="Y883">
        <v>11</v>
      </c>
      <c r="Z883">
        <v>26</v>
      </c>
      <c r="AA883">
        <v>2</v>
      </c>
      <c r="AB883">
        <v>3</v>
      </c>
      <c r="AC883">
        <v>51</v>
      </c>
      <c r="AD883">
        <v>3.9</v>
      </c>
      <c r="AE883">
        <v>7.5</v>
      </c>
      <c r="AF883" s="5">
        <v>0.45900000000000002</v>
      </c>
      <c r="AG883">
        <v>0.30599999999999999</v>
      </c>
      <c r="AH883">
        <v>1.57</v>
      </c>
      <c r="AI883">
        <v>5.39</v>
      </c>
      <c r="AJ883">
        <v>5.65</v>
      </c>
      <c r="AK883">
        <v>-2.8</v>
      </c>
      <c r="AL883">
        <v>-0.3</v>
      </c>
      <c r="AM883">
        <v>34</v>
      </c>
      <c r="AN883">
        <v>58</v>
      </c>
      <c r="AO883">
        <v>9</v>
      </c>
      <c r="AP883">
        <v>20</v>
      </c>
      <c r="AQ883" t="s">
        <v>2511</v>
      </c>
      <c r="AR883">
        <v>74</v>
      </c>
      <c r="AS883" t="s">
        <v>35</v>
      </c>
      <c r="AT883" t="s">
        <v>36</v>
      </c>
      <c r="AU883" s="4">
        <f>HYPERLINK("http://mlb.mlb.com/team/player.jsp?player_id=545363",545363)</f>
        <v>545363</v>
      </c>
      <c r="AV883">
        <v>0</v>
      </c>
      <c r="AW883">
        <v>0</v>
      </c>
      <c r="AX883">
        <v>39</v>
      </c>
    </row>
    <row r="884" spans="1:50" x14ac:dyDescent="0.3">
      <c r="A884" s="4">
        <f>HYPERLINK("http://legacy.baseballprospectus.com/p/66369",66369)</f>
        <v>66369</v>
      </c>
      <c r="B884" t="s">
        <v>588</v>
      </c>
      <c r="C884" t="s">
        <v>165</v>
      </c>
      <c r="D884" s="10">
        <v>33352</v>
      </c>
      <c r="E884" t="s">
        <v>33</v>
      </c>
      <c r="F884" t="s">
        <v>33</v>
      </c>
      <c r="G884">
        <v>77</v>
      </c>
      <c r="H884">
        <v>205</v>
      </c>
      <c r="I884">
        <v>2018</v>
      </c>
      <c r="J884" s="4" t="str">
        <f>HYPERLINK("http://legacy.baseballprospectus.com/fantasy/dc/index.php?tm=TOR","TOR")</f>
        <v>TOR</v>
      </c>
      <c r="K884" t="s">
        <v>95</v>
      </c>
      <c r="L884" t="s">
        <v>34</v>
      </c>
      <c r="M884">
        <v>27</v>
      </c>
      <c r="N884">
        <v>2.4</v>
      </c>
      <c r="O884">
        <v>3.1</v>
      </c>
      <c r="P884">
        <v>0</v>
      </c>
      <c r="Q884">
        <v>0</v>
      </c>
      <c r="R884">
        <v>1</v>
      </c>
      <c r="S884">
        <v>1</v>
      </c>
      <c r="T884">
        <v>54</v>
      </c>
      <c r="U884">
        <v>0</v>
      </c>
      <c r="V884" s="9">
        <v>57.333300000000001</v>
      </c>
      <c r="W884">
        <v>255</v>
      </c>
      <c r="X884">
        <v>58</v>
      </c>
      <c r="Y884">
        <v>11</v>
      </c>
      <c r="Z884">
        <v>28</v>
      </c>
      <c r="AA884">
        <v>1</v>
      </c>
      <c r="AB884">
        <v>2</v>
      </c>
      <c r="AC884">
        <v>55</v>
      </c>
      <c r="AD884">
        <v>4.4000000000000004</v>
      </c>
      <c r="AE884">
        <v>8.6</v>
      </c>
      <c r="AF884" s="5">
        <v>0.39600000000000002</v>
      </c>
      <c r="AG884">
        <v>0.29299999999999998</v>
      </c>
      <c r="AH884">
        <v>1.5</v>
      </c>
      <c r="AI884">
        <v>5.64</v>
      </c>
      <c r="AJ884">
        <v>5.7</v>
      </c>
      <c r="AK884">
        <v>-2.7</v>
      </c>
      <c r="AL884">
        <v>-0.3</v>
      </c>
      <c r="AM884">
        <v>6</v>
      </c>
      <c r="AN884">
        <v>12</v>
      </c>
      <c r="AO884">
        <v>14</v>
      </c>
      <c r="AP884">
        <v>25</v>
      </c>
      <c r="AQ884" t="s">
        <v>3245</v>
      </c>
      <c r="AR884">
        <v>34</v>
      </c>
      <c r="AS884" t="s">
        <v>35</v>
      </c>
      <c r="AT884" t="s">
        <v>35</v>
      </c>
      <c r="AU884" s="4">
        <f>HYPERLINK("http://mlb.mlb.com/team/player.jsp?player_id=570702",570702)</f>
        <v>570702</v>
      </c>
      <c r="AV884">
        <v>109</v>
      </c>
      <c r="AW884">
        <v>1109</v>
      </c>
      <c r="AX884">
        <v>16.7</v>
      </c>
    </row>
    <row r="885" spans="1:50" x14ac:dyDescent="0.3">
      <c r="A885" s="4">
        <f>HYPERLINK("http://legacy.baseballprospectus.com/p/46155",46155)</f>
        <v>46155</v>
      </c>
      <c r="B885" t="s">
        <v>831</v>
      </c>
      <c r="C885" t="s">
        <v>419</v>
      </c>
      <c r="D885" s="10">
        <v>31875</v>
      </c>
      <c r="E885" t="s">
        <v>33</v>
      </c>
      <c r="F885" t="s">
        <v>33</v>
      </c>
      <c r="G885">
        <v>73</v>
      </c>
      <c r="H885">
        <v>190</v>
      </c>
      <c r="I885">
        <v>2018</v>
      </c>
      <c r="J885" s="4" t="str">
        <f>HYPERLINK("http://legacy.baseballprospectus.com/fantasy/dc/index.php?tm=WAS","WAS")</f>
        <v>WAS</v>
      </c>
      <c r="K885" t="s">
        <v>95</v>
      </c>
      <c r="L885" t="s">
        <v>34</v>
      </c>
      <c r="M885">
        <v>31</v>
      </c>
      <c r="N885">
        <v>7.1</v>
      </c>
      <c r="O885">
        <v>9.6999999999999993</v>
      </c>
      <c r="P885">
        <v>8</v>
      </c>
      <c r="Q885">
        <v>0</v>
      </c>
      <c r="R885">
        <v>0</v>
      </c>
      <c r="S885">
        <v>0</v>
      </c>
      <c r="T885">
        <v>24.3</v>
      </c>
      <c r="U885">
        <v>24.3</v>
      </c>
      <c r="V885" s="9">
        <v>131.33330000000001</v>
      </c>
      <c r="W885">
        <v>581</v>
      </c>
      <c r="X885">
        <v>146</v>
      </c>
      <c r="Y885">
        <v>27</v>
      </c>
      <c r="Z885">
        <v>47</v>
      </c>
      <c r="AA885" t="s">
        <v>1680</v>
      </c>
      <c r="AB885">
        <v>6</v>
      </c>
      <c r="AC885">
        <v>96</v>
      </c>
      <c r="AD885">
        <v>3.2</v>
      </c>
      <c r="AE885">
        <v>6.6</v>
      </c>
      <c r="AF885" s="5">
        <v>0.41556429862976002</v>
      </c>
      <c r="AG885">
        <v>0.29299999999999998</v>
      </c>
      <c r="AH885">
        <v>1.47</v>
      </c>
      <c r="AI885">
        <v>5.8</v>
      </c>
      <c r="AJ885">
        <v>5.88</v>
      </c>
      <c r="AK885">
        <v>-2.4</v>
      </c>
      <c r="AL885">
        <v>-0.3</v>
      </c>
      <c r="AM885">
        <v>8</v>
      </c>
      <c r="AN885">
        <v>38</v>
      </c>
      <c r="AO885">
        <v>21</v>
      </c>
      <c r="AP885">
        <v>13</v>
      </c>
      <c r="AQ885" t="s">
        <v>2859</v>
      </c>
      <c r="AR885">
        <v>85</v>
      </c>
      <c r="AS885" t="s">
        <v>36</v>
      </c>
      <c r="AT885" t="s">
        <v>36</v>
      </c>
      <c r="AU885" s="4">
        <f>HYPERLINK("http://mlb.mlb.com/team/player.jsp?player_id=476451",476451)</f>
        <v>476451</v>
      </c>
      <c r="AV885">
        <v>0</v>
      </c>
      <c r="AW885">
        <v>0</v>
      </c>
      <c r="AX885">
        <v>164</v>
      </c>
    </row>
    <row r="886" spans="1:50" x14ac:dyDescent="0.3">
      <c r="A886" s="4">
        <f>HYPERLINK("http://legacy.baseballprospectus.com/p/49753",49753)</f>
        <v>49753</v>
      </c>
      <c r="B886" t="s">
        <v>2100</v>
      </c>
      <c r="C886" t="s">
        <v>121</v>
      </c>
      <c r="D886" s="10">
        <v>31712</v>
      </c>
      <c r="E886" t="s">
        <v>33</v>
      </c>
      <c r="F886" t="s">
        <v>33</v>
      </c>
      <c r="G886">
        <v>78</v>
      </c>
      <c r="H886">
        <v>230</v>
      </c>
      <c r="I886">
        <v>2018</v>
      </c>
      <c r="J886" s="4" t="str">
        <f>HYPERLINK("http://legacy.baseballprospectus.com/fantasy/dc/index.php?tm=PHI","PHI")</f>
        <v>PHI</v>
      </c>
      <c r="K886" t="s">
        <v>100</v>
      </c>
      <c r="L886" t="s">
        <v>34</v>
      </c>
      <c r="M886">
        <v>31</v>
      </c>
      <c r="N886">
        <v>2.2999999999999998</v>
      </c>
      <c r="O886">
        <v>0.8</v>
      </c>
      <c r="P886">
        <v>0</v>
      </c>
      <c r="Q886">
        <v>0</v>
      </c>
      <c r="R886">
        <v>1.4</v>
      </c>
      <c r="S886">
        <v>0</v>
      </c>
      <c r="T886">
        <v>48.3</v>
      </c>
      <c r="U886">
        <v>0</v>
      </c>
      <c r="V886" s="9">
        <v>51</v>
      </c>
      <c r="W886">
        <v>218</v>
      </c>
      <c r="X886">
        <v>51</v>
      </c>
      <c r="Y886">
        <v>10</v>
      </c>
      <c r="Z886">
        <v>21</v>
      </c>
      <c r="AA886" t="s">
        <v>1680</v>
      </c>
      <c r="AB886">
        <v>2</v>
      </c>
      <c r="AC886">
        <v>46</v>
      </c>
      <c r="AD886">
        <v>3.7</v>
      </c>
      <c r="AE886">
        <v>8.1</v>
      </c>
      <c r="AF886" s="5">
        <v>0.412431150674819</v>
      </c>
      <c r="AG886">
        <v>0.29799999999999999</v>
      </c>
      <c r="AH886">
        <v>1.4</v>
      </c>
      <c r="AI886">
        <v>5.17</v>
      </c>
      <c r="AJ886">
        <v>5.75</v>
      </c>
      <c r="AK886">
        <v>-3.1</v>
      </c>
      <c r="AL886">
        <v>-0.3</v>
      </c>
      <c r="AM886">
        <v>4</v>
      </c>
      <c r="AN886">
        <v>14</v>
      </c>
      <c r="AO886">
        <v>7</v>
      </c>
      <c r="AP886">
        <v>11</v>
      </c>
      <c r="AQ886" t="s">
        <v>3333</v>
      </c>
      <c r="AR886">
        <v>22</v>
      </c>
      <c r="AS886" t="s">
        <v>36</v>
      </c>
      <c r="AT886" t="s">
        <v>36</v>
      </c>
      <c r="AU886" s="4">
        <f>HYPERLINK("http://mlb.mlb.com/team/player.jsp?player_id=474039",474039)</f>
        <v>474039</v>
      </c>
      <c r="AV886">
        <v>0</v>
      </c>
      <c r="AW886">
        <v>0</v>
      </c>
      <c r="AX886">
        <v>0.7</v>
      </c>
    </row>
    <row r="887" spans="1:50" x14ac:dyDescent="0.3">
      <c r="A887" s="4">
        <f>HYPERLINK("http://legacy.baseballprospectus.com/p/51986",51986)</f>
        <v>51986</v>
      </c>
      <c r="B887" t="s">
        <v>1647</v>
      </c>
      <c r="C887" t="s">
        <v>208</v>
      </c>
      <c r="D887" s="10">
        <v>32021</v>
      </c>
      <c r="E887" t="s">
        <v>33</v>
      </c>
      <c r="F887" t="s">
        <v>33</v>
      </c>
      <c r="G887">
        <v>73</v>
      </c>
      <c r="H887">
        <v>245</v>
      </c>
      <c r="I887">
        <v>2018</v>
      </c>
      <c r="J887" s="4" t="str">
        <f>HYPERLINK("http://legacy.baseballprospectus.com/fantasy/dc/index.php?tm=WAS","WAS")</f>
        <v>WAS</v>
      </c>
      <c r="K887" t="s">
        <v>100</v>
      </c>
      <c r="L887" t="s">
        <v>34</v>
      </c>
      <c r="M887">
        <v>30</v>
      </c>
      <c r="N887">
        <v>2.8</v>
      </c>
      <c r="O887">
        <v>3.3</v>
      </c>
      <c r="P887">
        <v>3.1</v>
      </c>
      <c r="Q887">
        <v>0</v>
      </c>
      <c r="R887">
        <v>0</v>
      </c>
      <c r="S887">
        <v>0</v>
      </c>
      <c r="T887">
        <v>8.8000000000000007</v>
      </c>
      <c r="U887">
        <v>8.8000000000000007</v>
      </c>
      <c r="V887" s="9">
        <v>47.666699999999999</v>
      </c>
      <c r="W887">
        <v>209</v>
      </c>
      <c r="X887">
        <v>54</v>
      </c>
      <c r="Y887">
        <v>9</v>
      </c>
      <c r="Z887">
        <v>19</v>
      </c>
      <c r="AA887" t="s">
        <v>1680</v>
      </c>
      <c r="AB887">
        <v>3</v>
      </c>
      <c r="AC887">
        <v>37</v>
      </c>
      <c r="AD887">
        <v>3.6</v>
      </c>
      <c r="AE887">
        <v>7</v>
      </c>
      <c r="AF887" s="5">
        <v>0.41482228040695102</v>
      </c>
      <c r="AG887">
        <v>0.32</v>
      </c>
      <c r="AH887">
        <v>1.53</v>
      </c>
      <c r="AI887">
        <v>5.44</v>
      </c>
      <c r="AJ887">
        <v>6.21</v>
      </c>
      <c r="AK887">
        <v>-2.9</v>
      </c>
      <c r="AL887">
        <v>-0.3</v>
      </c>
      <c r="AM887">
        <v>10</v>
      </c>
      <c r="AN887">
        <v>20</v>
      </c>
      <c r="AO887">
        <v>8</v>
      </c>
      <c r="AP887">
        <v>20</v>
      </c>
      <c r="AQ887" t="s">
        <v>3258</v>
      </c>
      <c r="AR887">
        <v>30</v>
      </c>
      <c r="AS887" t="s">
        <v>36</v>
      </c>
      <c r="AT887" t="s">
        <v>36</v>
      </c>
      <c r="AU887" s="4">
        <f>HYPERLINK("http://mlb.mlb.com/team/player.jsp?player_id=457711",457711)</f>
        <v>457711</v>
      </c>
      <c r="AV887">
        <v>0</v>
      </c>
      <c r="AW887">
        <v>0</v>
      </c>
      <c r="AX887">
        <v>0</v>
      </c>
    </row>
    <row r="888" spans="1:50" x14ac:dyDescent="0.3">
      <c r="A888" s="4">
        <f>HYPERLINK("http://legacy.baseballprospectus.com/p/55734",55734)</f>
        <v>55734</v>
      </c>
      <c r="B888" t="s">
        <v>762</v>
      </c>
      <c r="C888" t="s">
        <v>150</v>
      </c>
      <c r="D888" s="10">
        <v>31450</v>
      </c>
      <c r="E888" t="s">
        <v>33</v>
      </c>
      <c r="F888" t="s">
        <v>33</v>
      </c>
      <c r="G888">
        <v>75</v>
      </c>
      <c r="H888">
        <v>240</v>
      </c>
      <c r="I888">
        <v>2018</v>
      </c>
      <c r="J888" s="4" t="str">
        <f>HYPERLINK("http://legacy.baseballprospectus.com/fantasy/dc/index.php?tm=ATL","ATL")</f>
        <v>ATL</v>
      </c>
      <c r="K888" t="s">
        <v>100</v>
      </c>
      <c r="L888" t="s">
        <v>34</v>
      </c>
      <c r="M888">
        <v>32</v>
      </c>
      <c r="N888">
        <v>2.2000000000000002</v>
      </c>
      <c r="O888">
        <v>2.4</v>
      </c>
      <c r="P888">
        <v>2.2000000000000002</v>
      </c>
      <c r="Q888">
        <v>0</v>
      </c>
      <c r="R888">
        <v>0</v>
      </c>
      <c r="S888">
        <v>0</v>
      </c>
      <c r="T888">
        <v>16.2</v>
      </c>
      <c r="U888">
        <v>5.7</v>
      </c>
      <c r="V888" s="9">
        <v>42.333300000000001</v>
      </c>
      <c r="W888">
        <v>181</v>
      </c>
      <c r="X888">
        <v>44</v>
      </c>
      <c r="Y888">
        <v>8</v>
      </c>
      <c r="Z888">
        <v>17</v>
      </c>
      <c r="AA888" t="s">
        <v>1680</v>
      </c>
      <c r="AB888">
        <v>2</v>
      </c>
      <c r="AC888">
        <v>35</v>
      </c>
      <c r="AD888">
        <v>3.7</v>
      </c>
      <c r="AE888">
        <v>7.4</v>
      </c>
      <c r="AF888" s="5">
        <v>0.40253692865371699</v>
      </c>
      <c r="AG888">
        <v>0.3</v>
      </c>
      <c r="AH888">
        <v>1.45</v>
      </c>
      <c r="AI888">
        <v>5.24</v>
      </c>
      <c r="AJ888">
        <v>6.06</v>
      </c>
      <c r="AK888">
        <v>-2.9</v>
      </c>
      <c r="AL888">
        <v>-0.3</v>
      </c>
      <c r="AM888">
        <v>9</v>
      </c>
      <c r="AN888">
        <v>40</v>
      </c>
      <c r="AO888">
        <v>27</v>
      </c>
      <c r="AP888">
        <v>11</v>
      </c>
      <c r="AQ888" t="s">
        <v>3375</v>
      </c>
      <c r="AR888">
        <v>86</v>
      </c>
      <c r="AS888" t="s">
        <v>36</v>
      </c>
      <c r="AT888" t="s">
        <v>36</v>
      </c>
      <c r="AU888" s="4">
        <f>HYPERLINK("http://mlb.mlb.com/team/player.jsp?player_id=518567",518567)</f>
        <v>518567</v>
      </c>
      <c r="AV888">
        <v>0</v>
      </c>
      <c r="AW888">
        <v>0</v>
      </c>
      <c r="AX888">
        <v>17</v>
      </c>
    </row>
    <row r="889" spans="1:50" x14ac:dyDescent="0.3">
      <c r="A889" s="4">
        <f>HYPERLINK("http://legacy.baseballprospectus.com/p/58985",58985)</f>
        <v>58985</v>
      </c>
      <c r="B889" t="s">
        <v>868</v>
      </c>
      <c r="C889" t="s">
        <v>173</v>
      </c>
      <c r="D889" s="10">
        <v>31819</v>
      </c>
      <c r="E889" t="s">
        <v>9</v>
      </c>
      <c r="F889" t="s">
        <v>9</v>
      </c>
      <c r="G889">
        <v>77</v>
      </c>
      <c r="H889">
        <v>190</v>
      </c>
      <c r="I889">
        <v>2018</v>
      </c>
      <c r="J889" s="4" t="str">
        <f>HYPERLINK("http://legacy.baseballprospectus.com/fantasy/dc/index.php?tm=ARI","ARI")</f>
        <v>ARI</v>
      </c>
      <c r="K889" t="s">
        <v>100</v>
      </c>
      <c r="L889" t="s">
        <v>34</v>
      </c>
      <c r="M889">
        <v>31</v>
      </c>
      <c r="N889">
        <v>1.6</v>
      </c>
      <c r="O889">
        <v>0.9</v>
      </c>
      <c r="P889">
        <v>0.5</v>
      </c>
      <c r="Q889">
        <v>0</v>
      </c>
      <c r="R889">
        <v>0.3</v>
      </c>
      <c r="S889">
        <v>0</v>
      </c>
      <c r="T889">
        <v>29.4</v>
      </c>
      <c r="U889">
        <v>1.3</v>
      </c>
      <c r="V889" s="9">
        <v>34.666699999999999</v>
      </c>
      <c r="W889">
        <v>150</v>
      </c>
      <c r="X889">
        <v>37</v>
      </c>
      <c r="Y889">
        <v>7</v>
      </c>
      <c r="Z889">
        <v>15</v>
      </c>
      <c r="AA889" t="s">
        <v>1680</v>
      </c>
      <c r="AB889">
        <v>1</v>
      </c>
      <c r="AC889">
        <v>33</v>
      </c>
      <c r="AD889">
        <v>4</v>
      </c>
      <c r="AE889">
        <v>8.5</v>
      </c>
      <c r="AF889" s="5">
        <v>0.402834892272949</v>
      </c>
      <c r="AG889">
        <v>0.318</v>
      </c>
      <c r="AH889">
        <v>1.51</v>
      </c>
      <c r="AI889">
        <v>5.22</v>
      </c>
      <c r="AJ889">
        <v>6.2</v>
      </c>
      <c r="AK889">
        <v>-3.1</v>
      </c>
      <c r="AL889">
        <v>-0.3</v>
      </c>
      <c r="AM889">
        <v>26</v>
      </c>
      <c r="AN889">
        <v>42</v>
      </c>
      <c r="AO889">
        <v>20</v>
      </c>
      <c r="AP889">
        <v>16</v>
      </c>
      <c r="AQ889" t="s">
        <v>3376</v>
      </c>
      <c r="AR889">
        <v>72</v>
      </c>
      <c r="AS889" t="s">
        <v>36</v>
      </c>
      <c r="AT889" t="s">
        <v>36</v>
      </c>
      <c r="AU889" s="4">
        <f>HYPERLINK("http://mlb.mlb.com/team/player.jsp?player_id=451085",451085)</f>
        <v>451085</v>
      </c>
      <c r="AV889">
        <v>0</v>
      </c>
      <c r="AW889">
        <v>0</v>
      </c>
      <c r="AX889">
        <v>0</v>
      </c>
    </row>
    <row r="890" spans="1:50" x14ac:dyDescent="0.3">
      <c r="A890" s="4">
        <f>HYPERLINK("http://legacy.baseballprospectus.com/p/60566",60566)</f>
        <v>60566</v>
      </c>
      <c r="B890" t="s">
        <v>3037</v>
      </c>
      <c r="C890" t="s">
        <v>313</v>
      </c>
      <c r="D890" s="10">
        <v>32120</v>
      </c>
      <c r="E890" t="s">
        <v>9</v>
      </c>
      <c r="F890" t="s">
        <v>9</v>
      </c>
      <c r="G890">
        <v>74</v>
      </c>
      <c r="H890">
        <v>180</v>
      </c>
      <c r="I890">
        <v>2018</v>
      </c>
      <c r="J890" s="4" t="str">
        <f>HYPERLINK("http://legacy.baseballprospectus.com/fantasy/dc/index.php?tm=CLE","CLE")</f>
        <v>CLE</v>
      </c>
      <c r="K890" t="s">
        <v>95</v>
      </c>
      <c r="L890" t="s">
        <v>34</v>
      </c>
      <c r="M890">
        <v>30</v>
      </c>
      <c r="N890">
        <v>2.8</v>
      </c>
      <c r="O890">
        <v>3.9</v>
      </c>
      <c r="P890">
        <v>2.7</v>
      </c>
      <c r="Q890">
        <v>0</v>
      </c>
      <c r="R890">
        <v>0</v>
      </c>
      <c r="S890">
        <v>0</v>
      </c>
      <c r="T890">
        <v>9.3000000000000007</v>
      </c>
      <c r="U890">
        <v>9.3000000000000007</v>
      </c>
      <c r="V890" s="9">
        <v>52.333300000000001</v>
      </c>
      <c r="W890">
        <v>240</v>
      </c>
      <c r="X890">
        <v>65</v>
      </c>
      <c r="Y890">
        <v>12</v>
      </c>
      <c r="Z890">
        <v>19</v>
      </c>
      <c r="AA890" t="s">
        <v>1680</v>
      </c>
      <c r="AB890">
        <v>2</v>
      </c>
      <c r="AC890">
        <v>39</v>
      </c>
      <c r="AD890">
        <v>3.3</v>
      </c>
      <c r="AE890">
        <v>6.7</v>
      </c>
      <c r="AF890" s="5">
        <v>0.40942823886871299</v>
      </c>
      <c r="AG890">
        <v>0.316</v>
      </c>
      <c r="AH890">
        <v>1.61</v>
      </c>
      <c r="AI890">
        <v>6.02</v>
      </c>
      <c r="AJ890">
        <v>6.14</v>
      </c>
      <c r="AK890">
        <v>-2.4</v>
      </c>
      <c r="AL890">
        <v>-0.3</v>
      </c>
      <c r="AM890">
        <v>6</v>
      </c>
      <c r="AN890">
        <v>8</v>
      </c>
      <c r="AO890">
        <v>4</v>
      </c>
      <c r="AP890">
        <v>10</v>
      </c>
      <c r="AQ890" t="s">
        <v>3038</v>
      </c>
      <c r="AR890">
        <v>18</v>
      </c>
      <c r="AS890" t="s">
        <v>36</v>
      </c>
      <c r="AT890" t="s">
        <v>35</v>
      </c>
      <c r="AU890" s="4">
        <f>HYPERLINK("http://mlb.mlb.com/team/player.jsp?player_id=573244",573244)</f>
        <v>573244</v>
      </c>
      <c r="AV890">
        <v>0</v>
      </c>
      <c r="AW890">
        <v>0</v>
      </c>
      <c r="AX890">
        <v>14</v>
      </c>
    </row>
    <row r="891" spans="1:50" x14ac:dyDescent="0.3">
      <c r="A891" s="4">
        <f>HYPERLINK("http://legacy.baseballprospectus.com/p/66039",66039)</f>
        <v>66039</v>
      </c>
      <c r="B891" t="s">
        <v>1190</v>
      </c>
      <c r="C891" t="s">
        <v>172</v>
      </c>
      <c r="D891" s="10">
        <v>32267</v>
      </c>
      <c r="E891" t="s">
        <v>33</v>
      </c>
      <c r="F891" t="s">
        <v>33</v>
      </c>
      <c r="G891">
        <v>73</v>
      </c>
      <c r="H891">
        <v>195</v>
      </c>
      <c r="I891">
        <v>2018</v>
      </c>
      <c r="J891" s="4" t="str">
        <f>HYPERLINK("http://legacy.baseballprospectus.com/fantasy/dc/index.php?tm=SEA","SEA")</f>
        <v>SEA</v>
      </c>
      <c r="K891" t="s">
        <v>95</v>
      </c>
      <c r="L891" t="s">
        <v>34</v>
      </c>
      <c r="M891">
        <v>30</v>
      </c>
      <c r="N891">
        <v>5.8</v>
      </c>
      <c r="O891">
        <v>6.7</v>
      </c>
      <c r="P891">
        <v>6</v>
      </c>
      <c r="Q891">
        <v>0</v>
      </c>
      <c r="R891">
        <v>0.3</v>
      </c>
      <c r="S891">
        <v>0</v>
      </c>
      <c r="T891">
        <v>36.200000000000003</v>
      </c>
      <c r="U891">
        <v>16.7</v>
      </c>
      <c r="V891" s="9">
        <v>109.33329999999999</v>
      </c>
      <c r="W891">
        <v>478</v>
      </c>
      <c r="X891">
        <v>117</v>
      </c>
      <c r="Y891">
        <v>20</v>
      </c>
      <c r="Z891">
        <v>39</v>
      </c>
      <c r="AA891" t="s">
        <v>1680</v>
      </c>
      <c r="AB891">
        <v>5</v>
      </c>
      <c r="AC891">
        <v>77</v>
      </c>
      <c r="AD891">
        <v>3.2</v>
      </c>
      <c r="AE891">
        <v>6.4</v>
      </c>
      <c r="AF891" s="5">
        <v>0.41182297468185403</v>
      </c>
      <c r="AG891">
        <v>0.28899999999999998</v>
      </c>
      <c r="AH891">
        <v>1.43</v>
      </c>
      <c r="AI891">
        <v>5.43</v>
      </c>
      <c r="AJ891">
        <v>5.8</v>
      </c>
      <c r="AK891">
        <v>-2.7</v>
      </c>
      <c r="AL891">
        <v>-0.3</v>
      </c>
      <c r="AM891">
        <v>10</v>
      </c>
      <c r="AN891">
        <v>16</v>
      </c>
      <c r="AO891">
        <v>18</v>
      </c>
      <c r="AP891">
        <v>25</v>
      </c>
      <c r="AQ891" t="s">
        <v>3168</v>
      </c>
      <c r="AR891">
        <v>44</v>
      </c>
      <c r="AS891" t="s">
        <v>36</v>
      </c>
      <c r="AT891" t="s">
        <v>36</v>
      </c>
      <c r="AU891" s="4">
        <f>HYPERLINK("http://mlb.mlb.com/team/player.jsp?player_id=548357",548357)</f>
        <v>548357</v>
      </c>
      <c r="AV891">
        <v>0</v>
      </c>
      <c r="AW891">
        <v>0</v>
      </c>
      <c r="AX891">
        <v>54</v>
      </c>
    </row>
    <row r="892" spans="1:50" x14ac:dyDescent="0.3">
      <c r="A892" s="4">
        <f>HYPERLINK("http://legacy.baseballprospectus.com/p/99961",99961)</f>
        <v>99961</v>
      </c>
      <c r="B892" t="s">
        <v>2057</v>
      </c>
      <c r="C892" t="s">
        <v>659</v>
      </c>
      <c r="D892" s="10">
        <v>33179</v>
      </c>
      <c r="E892" t="s">
        <v>9</v>
      </c>
      <c r="F892" t="s">
        <v>33</v>
      </c>
      <c r="G892">
        <v>75</v>
      </c>
      <c r="H892">
        <v>215</v>
      </c>
      <c r="I892">
        <v>2018</v>
      </c>
      <c r="J892" s="4" t="str">
        <f>HYPERLINK("http://legacy.baseballprospectus.com/fantasy/dc/index.php?tm=ARI","ARI")</f>
        <v>ARI</v>
      </c>
      <c r="K892" t="s">
        <v>100</v>
      </c>
      <c r="L892" t="s">
        <v>34</v>
      </c>
      <c r="M892">
        <v>27</v>
      </c>
      <c r="N892">
        <v>1.5</v>
      </c>
      <c r="O892">
        <v>1.9</v>
      </c>
      <c r="P892">
        <v>1</v>
      </c>
      <c r="Q892">
        <v>0</v>
      </c>
      <c r="R892">
        <v>0</v>
      </c>
      <c r="S892">
        <v>0</v>
      </c>
      <c r="T892">
        <v>17</v>
      </c>
      <c r="U892">
        <v>3</v>
      </c>
      <c r="V892" s="9">
        <v>30</v>
      </c>
      <c r="W892">
        <v>134</v>
      </c>
      <c r="X892">
        <v>34</v>
      </c>
      <c r="Y892">
        <v>6</v>
      </c>
      <c r="Z892">
        <v>10</v>
      </c>
      <c r="AA892">
        <v>1</v>
      </c>
      <c r="AB892">
        <v>1</v>
      </c>
      <c r="AC892">
        <v>23</v>
      </c>
      <c r="AD892">
        <v>3</v>
      </c>
      <c r="AE892">
        <v>6.9</v>
      </c>
      <c r="AF892" s="5">
        <v>0.43</v>
      </c>
      <c r="AG892">
        <v>0.30299999999999999</v>
      </c>
      <c r="AH892">
        <v>1.52</v>
      </c>
      <c r="AI892">
        <v>5.61</v>
      </c>
      <c r="AJ892">
        <v>6.05</v>
      </c>
      <c r="AK892">
        <v>-2.9</v>
      </c>
      <c r="AL892">
        <v>-0.3</v>
      </c>
      <c r="AM892">
        <v>3</v>
      </c>
      <c r="AN892">
        <v>6</v>
      </c>
      <c r="AO892">
        <v>3</v>
      </c>
      <c r="AP892">
        <v>13</v>
      </c>
      <c r="AQ892" t="s">
        <v>3195</v>
      </c>
      <c r="AR892">
        <v>12</v>
      </c>
      <c r="AS892" t="s">
        <v>35</v>
      </c>
      <c r="AT892" t="s">
        <v>35</v>
      </c>
      <c r="AU892" s="4">
        <f>HYPERLINK("http://mlb.mlb.com/team/player.jsp?player_id=571863",571863)</f>
        <v>571863</v>
      </c>
      <c r="AV892">
        <v>1148</v>
      </c>
      <c r="AW892">
        <v>148</v>
      </c>
      <c r="AX892">
        <v>0</v>
      </c>
    </row>
    <row r="893" spans="1:50" x14ac:dyDescent="0.3">
      <c r="A893" s="4">
        <f>HYPERLINK("http://legacy.baseballprospectus.com/p/67172",67172)</f>
        <v>67172</v>
      </c>
      <c r="B893" t="s">
        <v>607</v>
      </c>
      <c r="C893" t="s">
        <v>917</v>
      </c>
      <c r="D893" s="10">
        <v>32936</v>
      </c>
      <c r="E893" t="s">
        <v>33</v>
      </c>
      <c r="F893" t="s">
        <v>33</v>
      </c>
      <c r="G893">
        <v>76</v>
      </c>
      <c r="H893">
        <v>205</v>
      </c>
      <c r="I893">
        <v>2018</v>
      </c>
      <c r="J893" s="4" t="str">
        <f>HYPERLINK("http://legacy.baseballprospectus.com/fantasy/dc/index.php?tm=PIT","PIT")</f>
        <v>PIT</v>
      </c>
      <c r="K893" t="s">
        <v>100</v>
      </c>
      <c r="L893" t="s">
        <v>34</v>
      </c>
      <c r="M893">
        <v>28</v>
      </c>
      <c r="N893">
        <v>3</v>
      </c>
      <c r="O893">
        <v>1.1000000000000001</v>
      </c>
      <c r="P893">
        <v>0</v>
      </c>
      <c r="Q893">
        <v>0</v>
      </c>
      <c r="R893">
        <v>0.9</v>
      </c>
      <c r="S893">
        <v>0</v>
      </c>
      <c r="T893">
        <v>62.1</v>
      </c>
      <c r="U893">
        <v>0</v>
      </c>
      <c r="V893" s="9">
        <v>65.666700000000006</v>
      </c>
      <c r="W893">
        <v>276</v>
      </c>
      <c r="X893">
        <v>64</v>
      </c>
      <c r="Y893">
        <v>11</v>
      </c>
      <c r="Z893">
        <v>25</v>
      </c>
      <c r="AA893" t="s">
        <v>1680</v>
      </c>
      <c r="AB893">
        <v>3</v>
      </c>
      <c r="AC893">
        <v>63</v>
      </c>
      <c r="AD893">
        <v>3.5</v>
      </c>
      <c r="AE893">
        <v>8.6</v>
      </c>
      <c r="AF893" s="5">
        <v>0.366683989763259</v>
      </c>
      <c r="AG893">
        <v>0.30199999999999999</v>
      </c>
      <c r="AH893">
        <v>1.35</v>
      </c>
      <c r="AI893">
        <v>4.84</v>
      </c>
      <c r="AJ893">
        <v>5.42</v>
      </c>
      <c r="AK893">
        <v>-2.5</v>
      </c>
      <c r="AL893">
        <v>-0.3</v>
      </c>
      <c r="AM893">
        <v>6</v>
      </c>
      <c r="AN893">
        <v>10</v>
      </c>
      <c r="AO893">
        <v>11</v>
      </c>
      <c r="AP893">
        <v>21</v>
      </c>
      <c r="AQ893" t="s">
        <v>3040</v>
      </c>
      <c r="AR893">
        <v>27</v>
      </c>
      <c r="AS893" t="s">
        <v>36</v>
      </c>
      <c r="AT893" t="s">
        <v>35</v>
      </c>
      <c r="AU893" s="4">
        <f>HYPERLINK("http://mlb.mlb.com/team/player.jsp?player_id=593144",593144)</f>
        <v>593144</v>
      </c>
      <c r="AV893">
        <v>0</v>
      </c>
      <c r="AW893">
        <v>0</v>
      </c>
      <c r="AX893">
        <v>5.7</v>
      </c>
    </row>
    <row r="894" spans="1:50" x14ac:dyDescent="0.3">
      <c r="A894" s="4">
        <f>HYPERLINK("http://legacy.baseballprospectus.com/p/68560",68560)</f>
        <v>68560</v>
      </c>
      <c r="B894" t="s">
        <v>1488</v>
      </c>
      <c r="C894" t="s">
        <v>103</v>
      </c>
      <c r="D894" s="10">
        <v>32427</v>
      </c>
      <c r="E894" t="s">
        <v>33</v>
      </c>
      <c r="F894" t="s">
        <v>33</v>
      </c>
      <c r="G894">
        <v>70</v>
      </c>
      <c r="H894">
        <v>205</v>
      </c>
      <c r="I894">
        <v>2018</v>
      </c>
      <c r="J894" s="4" t="str">
        <f>HYPERLINK("http://legacy.baseballprospectus.com/fantasy/dc/index.php?tm=WAS","WAS")</f>
        <v>WAS</v>
      </c>
      <c r="K894" t="s">
        <v>100</v>
      </c>
      <c r="L894" t="s">
        <v>34</v>
      </c>
      <c r="M894">
        <v>29</v>
      </c>
      <c r="N894">
        <v>2.2999999999999998</v>
      </c>
      <c r="O894">
        <v>0.8</v>
      </c>
      <c r="P894">
        <v>0</v>
      </c>
      <c r="Q894">
        <v>0</v>
      </c>
      <c r="R894">
        <v>0.4</v>
      </c>
      <c r="S894">
        <v>0</v>
      </c>
      <c r="T894">
        <v>48.1</v>
      </c>
      <c r="U894">
        <v>0</v>
      </c>
      <c r="V894" s="9">
        <v>51</v>
      </c>
      <c r="W894">
        <v>220</v>
      </c>
      <c r="X894">
        <v>50</v>
      </c>
      <c r="Y894">
        <v>7</v>
      </c>
      <c r="Z894">
        <v>25</v>
      </c>
      <c r="AA894" t="s">
        <v>1680</v>
      </c>
      <c r="AB894">
        <v>3</v>
      </c>
      <c r="AC894">
        <v>43</v>
      </c>
      <c r="AD894">
        <v>4.4000000000000004</v>
      </c>
      <c r="AE894">
        <v>7.6</v>
      </c>
      <c r="AF894" s="5">
        <v>0.49950236082076999</v>
      </c>
      <c r="AG894">
        <v>0.30099999999999999</v>
      </c>
      <c r="AH894">
        <v>1.47</v>
      </c>
      <c r="AI894">
        <v>4.9800000000000004</v>
      </c>
      <c r="AJ894">
        <v>5.59</v>
      </c>
      <c r="AK894">
        <v>-2.4</v>
      </c>
      <c r="AL894">
        <v>-0.3</v>
      </c>
      <c r="AM894">
        <v>10</v>
      </c>
      <c r="AN894">
        <v>11</v>
      </c>
      <c r="AO894">
        <v>6</v>
      </c>
      <c r="AP894">
        <v>8</v>
      </c>
      <c r="AQ894" t="s">
        <v>3338</v>
      </c>
      <c r="AR894">
        <v>19</v>
      </c>
      <c r="AS894" t="s">
        <v>36</v>
      </c>
      <c r="AT894" t="s">
        <v>35</v>
      </c>
      <c r="AU894" s="4">
        <f>HYPERLINK("http://mlb.mlb.com/team/player.jsp?player_id=592341",592341)</f>
        <v>592341</v>
      </c>
      <c r="AV894">
        <v>0</v>
      </c>
      <c r="AW894">
        <v>0</v>
      </c>
      <c r="AX894">
        <v>1</v>
      </c>
    </row>
    <row r="895" spans="1:50" x14ac:dyDescent="0.3">
      <c r="A895" s="4">
        <f>HYPERLINK("http://legacy.baseballprospectus.com/p/69323",69323)</f>
        <v>69323</v>
      </c>
      <c r="B895" t="s">
        <v>667</v>
      </c>
      <c r="C895" t="s">
        <v>119</v>
      </c>
      <c r="D895" s="10">
        <v>34236</v>
      </c>
      <c r="E895" t="s">
        <v>9</v>
      </c>
      <c r="F895" t="s">
        <v>9</v>
      </c>
      <c r="G895">
        <v>74</v>
      </c>
      <c r="H895">
        <v>175</v>
      </c>
      <c r="I895">
        <v>2018</v>
      </c>
      <c r="J895" s="4" t="str">
        <f>HYPERLINK("http://legacy.baseballprospectus.com/fantasy/dc/index.php?tm=SDN","SDN")</f>
        <v>SDN</v>
      </c>
      <c r="K895" t="s">
        <v>100</v>
      </c>
      <c r="L895" t="s">
        <v>34</v>
      </c>
      <c r="M895">
        <v>24</v>
      </c>
      <c r="N895">
        <v>2.7</v>
      </c>
      <c r="O895">
        <v>1.5</v>
      </c>
      <c r="P895">
        <v>0.8</v>
      </c>
      <c r="Q895">
        <v>0</v>
      </c>
      <c r="R895">
        <v>1</v>
      </c>
      <c r="S895">
        <v>0</v>
      </c>
      <c r="T895">
        <v>48.3</v>
      </c>
      <c r="U895">
        <v>1.9</v>
      </c>
      <c r="V895" s="9">
        <v>58</v>
      </c>
      <c r="W895">
        <v>240</v>
      </c>
      <c r="X895">
        <v>53</v>
      </c>
      <c r="Y895">
        <v>11</v>
      </c>
      <c r="Z895">
        <v>22</v>
      </c>
      <c r="AA895" t="s">
        <v>1680</v>
      </c>
      <c r="AB895">
        <v>2</v>
      </c>
      <c r="AC895">
        <v>62</v>
      </c>
      <c r="AD895">
        <v>3.4</v>
      </c>
      <c r="AE895">
        <v>9.6999999999999993</v>
      </c>
      <c r="AF895" s="5">
        <v>0.43395274877548201</v>
      </c>
      <c r="AG895">
        <v>0.29599999999999999</v>
      </c>
      <c r="AH895">
        <v>1.3</v>
      </c>
      <c r="AI895">
        <v>4.82</v>
      </c>
      <c r="AJ895">
        <v>5.59</v>
      </c>
      <c r="AK895">
        <v>-2.6</v>
      </c>
      <c r="AL895">
        <v>-0.3</v>
      </c>
      <c r="AM895">
        <v>27</v>
      </c>
      <c r="AN895">
        <v>38</v>
      </c>
      <c r="AO895">
        <v>7</v>
      </c>
      <c r="AP895">
        <v>25</v>
      </c>
      <c r="AQ895" t="s">
        <v>3047</v>
      </c>
      <c r="AR895">
        <v>61</v>
      </c>
      <c r="AS895" t="s">
        <v>36</v>
      </c>
      <c r="AT895" t="s">
        <v>36</v>
      </c>
      <c r="AU895" s="4">
        <f>HYPERLINK("http://mlb.mlb.com/team/player.jsp?player_id=600526",600526)</f>
        <v>600526</v>
      </c>
      <c r="AV895">
        <v>1249</v>
      </c>
      <c r="AW895">
        <v>249</v>
      </c>
      <c r="AX895">
        <v>68.3</v>
      </c>
    </row>
    <row r="896" spans="1:50" x14ac:dyDescent="0.3">
      <c r="A896" s="4">
        <f>HYPERLINK("http://legacy.baseballprospectus.com/p/69639",69639)</f>
        <v>69639</v>
      </c>
      <c r="B896" t="s">
        <v>588</v>
      </c>
      <c r="C896" t="s">
        <v>2142</v>
      </c>
      <c r="D896" s="10">
        <v>34301</v>
      </c>
      <c r="E896" t="s">
        <v>33</v>
      </c>
      <c r="F896" t="s">
        <v>33</v>
      </c>
      <c r="G896">
        <v>74</v>
      </c>
      <c r="H896">
        <v>215</v>
      </c>
      <c r="I896">
        <v>2018</v>
      </c>
      <c r="J896" s="4" t="str">
        <f>HYPERLINK("http://legacy.baseballprospectus.com/fantasy/dc/index.php?tm=BAL","BAL")</f>
        <v>BAL</v>
      </c>
      <c r="K896" t="s">
        <v>95</v>
      </c>
      <c r="L896" t="s">
        <v>34</v>
      </c>
      <c r="M896">
        <v>24</v>
      </c>
      <c r="N896">
        <v>0.9</v>
      </c>
      <c r="O896">
        <v>1.5</v>
      </c>
      <c r="P896">
        <v>0.4</v>
      </c>
      <c r="Q896">
        <v>0</v>
      </c>
      <c r="R896">
        <v>0</v>
      </c>
      <c r="S896">
        <v>0</v>
      </c>
      <c r="T896">
        <v>8.3000000000000007</v>
      </c>
      <c r="U896">
        <v>3</v>
      </c>
      <c r="V896" s="9">
        <v>21.666699999999999</v>
      </c>
      <c r="W896">
        <v>97</v>
      </c>
      <c r="X896">
        <v>25</v>
      </c>
      <c r="Y896">
        <v>8</v>
      </c>
      <c r="Z896">
        <v>9</v>
      </c>
      <c r="AA896" t="s">
        <v>1680</v>
      </c>
      <c r="AB896">
        <v>1</v>
      </c>
      <c r="AC896">
        <v>21</v>
      </c>
      <c r="AD896">
        <v>3.7</v>
      </c>
      <c r="AE896">
        <v>8.6999999999999993</v>
      </c>
      <c r="AF896" s="5">
        <v>0.36477309465408297</v>
      </c>
      <c r="AG896">
        <v>0.29199999999999998</v>
      </c>
      <c r="AH896">
        <v>1.57</v>
      </c>
      <c r="AI896">
        <v>7.45</v>
      </c>
      <c r="AJ896">
        <v>7.64</v>
      </c>
      <c r="AK896">
        <v>-3.2</v>
      </c>
      <c r="AL896">
        <v>-0.3</v>
      </c>
      <c r="AM896">
        <v>10</v>
      </c>
      <c r="AN896">
        <v>20</v>
      </c>
      <c r="AO896">
        <v>10</v>
      </c>
      <c r="AP896">
        <v>17</v>
      </c>
      <c r="AQ896" t="s">
        <v>3183</v>
      </c>
      <c r="AR896">
        <v>30</v>
      </c>
      <c r="AS896" t="s">
        <v>36</v>
      </c>
      <c r="AT896" t="s">
        <v>35</v>
      </c>
      <c r="AU896" s="4">
        <f>HYPERLINK("http://mlb.mlb.com/team/player.jsp?player_id=606162",606162)</f>
        <v>606162</v>
      </c>
      <c r="AV896">
        <v>146</v>
      </c>
      <c r="AW896">
        <v>1146</v>
      </c>
      <c r="AX896">
        <v>0</v>
      </c>
    </row>
    <row r="897" spans="1:50" x14ac:dyDescent="0.3">
      <c r="A897" s="4">
        <f>HYPERLINK("http://legacy.baseballprospectus.com/p/102406",102406)</f>
        <v>102406</v>
      </c>
      <c r="B897" t="s">
        <v>3285</v>
      </c>
      <c r="C897" t="s">
        <v>234</v>
      </c>
      <c r="D897" s="10">
        <v>33099</v>
      </c>
      <c r="E897" t="s">
        <v>33</v>
      </c>
      <c r="F897" t="s">
        <v>33</v>
      </c>
      <c r="G897">
        <v>74</v>
      </c>
      <c r="H897">
        <v>195</v>
      </c>
      <c r="I897">
        <v>2018</v>
      </c>
      <c r="J897" s="4" t="str">
        <f>HYPERLINK("http://legacy.baseballprospectus.com/fantasy/dc/index.php?tm=TOR","TOR")</f>
        <v>TOR</v>
      </c>
      <c r="K897" t="s">
        <v>95</v>
      </c>
      <c r="L897" t="s">
        <v>34</v>
      </c>
      <c r="M897">
        <v>27</v>
      </c>
      <c r="N897">
        <v>2.9</v>
      </c>
      <c r="O897">
        <v>4</v>
      </c>
      <c r="P897">
        <v>3</v>
      </c>
      <c r="Q897">
        <v>0</v>
      </c>
      <c r="R897">
        <v>0</v>
      </c>
      <c r="S897">
        <v>0</v>
      </c>
      <c r="T897">
        <v>19</v>
      </c>
      <c r="U897">
        <v>9</v>
      </c>
      <c r="V897" s="9">
        <v>55.333300000000001</v>
      </c>
      <c r="W897">
        <v>246</v>
      </c>
      <c r="X897">
        <v>63</v>
      </c>
      <c r="Y897">
        <v>12</v>
      </c>
      <c r="Z897">
        <v>20</v>
      </c>
      <c r="AA897">
        <v>1</v>
      </c>
      <c r="AB897">
        <v>3</v>
      </c>
      <c r="AC897">
        <v>41</v>
      </c>
      <c r="AD897">
        <v>3.2</v>
      </c>
      <c r="AE897">
        <v>6.7</v>
      </c>
      <c r="AF897" s="5">
        <v>0.45</v>
      </c>
      <c r="AG897">
        <v>0.29499999999999998</v>
      </c>
      <c r="AH897">
        <v>1.49</v>
      </c>
      <c r="AI897">
        <v>5.62</v>
      </c>
      <c r="AJ897">
        <v>6</v>
      </c>
      <c r="AK897">
        <v>-3</v>
      </c>
      <c r="AL897">
        <v>-0.3</v>
      </c>
      <c r="AM897">
        <v>17</v>
      </c>
      <c r="AN897">
        <v>35</v>
      </c>
      <c r="AO897">
        <v>9</v>
      </c>
      <c r="AP897">
        <v>17</v>
      </c>
      <c r="AQ897" t="s">
        <v>3286</v>
      </c>
      <c r="AR897">
        <v>46</v>
      </c>
      <c r="AS897" t="s">
        <v>35</v>
      </c>
      <c r="AT897" t="s">
        <v>35</v>
      </c>
      <c r="AU897" s="4">
        <f>HYPERLINK("http://mlb.mlb.com/team/player.jsp?player_id=635903",635903)</f>
        <v>635903</v>
      </c>
      <c r="AV897">
        <v>0</v>
      </c>
      <c r="AW897">
        <v>0</v>
      </c>
      <c r="AX897">
        <v>18.7</v>
      </c>
    </row>
    <row r="898" spans="1:50" x14ac:dyDescent="0.3">
      <c r="A898" s="4">
        <f>HYPERLINK("http://legacy.baseballprospectus.com/p/102437",102437)</f>
        <v>102437</v>
      </c>
      <c r="B898" t="s">
        <v>1312</v>
      </c>
      <c r="C898" t="s">
        <v>1313</v>
      </c>
      <c r="D898" s="10">
        <v>33656</v>
      </c>
      <c r="E898" t="s">
        <v>33</v>
      </c>
      <c r="F898" t="s">
        <v>33</v>
      </c>
      <c r="G898">
        <v>73</v>
      </c>
      <c r="H898">
        <v>190</v>
      </c>
      <c r="I898">
        <v>2018</v>
      </c>
      <c r="J898" s="4" t="str">
        <f>HYPERLINK("http://legacy.baseballprospectus.com/fantasy/dc/index.php?tm=ARI","ARI")</f>
        <v>ARI</v>
      </c>
      <c r="K898" t="s">
        <v>100</v>
      </c>
      <c r="L898" t="s">
        <v>34</v>
      </c>
      <c r="M898">
        <v>26</v>
      </c>
      <c r="N898">
        <v>3.7</v>
      </c>
      <c r="O898">
        <v>4.5</v>
      </c>
      <c r="P898">
        <v>4</v>
      </c>
      <c r="Q898">
        <v>0</v>
      </c>
      <c r="R898">
        <v>0</v>
      </c>
      <c r="S898">
        <v>0</v>
      </c>
      <c r="T898">
        <v>24</v>
      </c>
      <c r="U898">
        <v>10</v>
      </c>
      <c r="V898" s="9">
        <v>68</v>
      </c>
      <c r="W898">
        <v>299</v>
      </c>
      <c r="X898">
        <v>73</v>
      </c>
      <c r="Y898">
        <v>12</v>
      </c>
      <c r="Z898">
        <v>26</v>
      </c>
      <c r="AA898">
        <v>2</v>
      </c>
      <c r="AB898">
        <v>2</v>
      </c>
      <c r="AC898">
        <v>54</v>
      </c>
      <c r="AD898">
        <v>3.5</v>
      </c>
      <c r="AE898">
        <v>7.2</v>
      </c>
      <c r="AF898" s="5">
        <v>0.434</v>
      </c>
      <c r="AG898">
        <v>0.30099999999999999</v>
      </c>
      <c r="AH898">
        <v>1.48</v>
      </c>
      <c r="AI898">
        <v>5.08</v>
      </c>
      <c r="AJ898">
        <v>5.6</v>
      </c>
      <c r="AK898">
        <v>-2.8</v>
      </c>
      <c r="AL898">
        <v>-0.3</v>
      </c>
      <c r="AM898">
        <v>27</v>
      </c>
      <c r="AN898">
        <v>45</v>
      </c>
      <c r="AO898">
        <v>12</v>
      </c>
      <c r="AP898">
        <v>33</v>
      </c>
      <c r="AQ898" t="s">
        <v>3090</v>
      </c>
      <c r="AR898">
        <v>69</v>
      </c>
      <c r="AS898" t="s">
        <v>35</v>
      </c>
      <c r="AT898" t="s">
        <v>36</v>
      </c>
      <c r="AU898" s="4">
        <f>HYPERLINK("http://mlb.mlb.com/team/player.jsp?player_id=640463",640463)</f>
        <v>640463</v>
      </c>
      <c r="AV898">
        <v>1106</v>
      </c>
      <c r="AW898">
        <v>106</v>
      </c>
      <c r="AX898">
        <v>25</v>
      </c>
    </row>
    <row r="899" spans="1:50" x14ac:dyDescent="0.3">
      <c r="A899" s="4">
        <f>HYPERLINK("http://legacy.baseballprospectus.com/p/103556",103556)</f>
        <v>103556</v>
      </c>
      <c r="B899" t="s">
        <v>3342</v>
      </c>
      <c r="C899" t="s">
        <v>1305</v>
      </c>
      <c r="D899" s="10">
        <v>33997</v>
      </c>
      <c r="E899" t="s">
        <v>37</v>
      </c>
      <c r="F899" t="s">
        <v>33</v>
      </c>
      <c r="G899">
        <v>75</v>
      </c>
      <c r="H899">
        <v>170</v>
      </c>
      <c r="I899">
        <v>2018</v>
      </c>
      <c r="J899" s="4" t="str">
        <f>HYPERLINK("http://legacy.baseballprospectus.com/fantasy/dc/index.php?tm=DET","DET")</f>
        <v>DET</v>
      </c>
      <c r="K899" t="s">
        <v>95</v>
      </c>
      <c r="L899" t="s">
        <v>34</v>
      </c>
      <c r="M899">
        <v>25</v>
      </c>
      <c r="N899">
        <v>1.1000000000000001</v>
      </c>
      <c r="O899">
        <v>1.6</v>
      </c>
      <c r="P899">
        <v>0</v>
      </c>
      <c r="Q899">
        <v>0</v>
      </c>
      <c r="R899">
        <v>0</v>
      </c>
      <c r="S899">
        <v>1</v>
      </c>
      <c r="T899">
        <v>26</v>
      </c>
      <c r="U899">
        <v>0</v>
      </c>
      <c r="V899" s="9">
        <v>27.666699999999999</v>
      </c>
      <c r="W899">
        <v>127</v>
      </c>
      <c r="X899">
        <v>31</v>
      </c>
      <c r="Y899">
        <v>6</v>
      </c>
      <c r="Z899">
        <v>14</v>
      </c>
      <c r="AA899">
        <v>1</v>
      </c>
      <c r="AB899">
        <v>1</v>
      </c>
      <c r="AC899">
        <v>23</v>
      </c>
      <c r="AD899">
        <v>4.7</v>
      </c>
      <c r="AE899">
        <v>7.5</v>
      </c>
      <c r="AF899" s="5">
        <v>0.42899999999999999</v>
      </c>
      <c r="AG899">
        <v>0.29799999999999999</v>
      </c>
      <c r="AH899">
        <v>1.65</v>
      </c>
      <c r="AI899">
        <v>6.48</v>
      </c>
      <c r="AJ899">
        <v>6.26</v>
      </c>
      <c r="AK899">
        <v>-2.9</v>
      </c>
      <c r="AL899">
        <v>-0.3</v>
      </c>
      <c r="AM899">
        <v>13</v>
      </c>
      <c r="AN899">
        <v>15</v>
      </c>
      <c r="AO899">
        <v>5</v>
      </c>
      <c r="AP899">
        <v>12</v>
      </c>
      <c r="AQ899" t="s">
        <v>3343</v>
      </c>
      <c r="AR899">
        <v>23</v>
      </c>
      <c r="AS899" t="s">
        <v>35</v>
      </c>
      <c r="AT899" t="s">
        <v>35</v>
      </c>
      <c r="AU899" s="4">
        <f>HYPERLINK("http://mlb.mlb.com/team/player.jsp?player_id=643617",643617)</f>
        <v>643617</v>
      </c>
      <c r="AV899">
        <v>333</v>
      </c>
      <c r="AW899">
        <v>1333</v>
      </c>
      <c r="AX899">
        <v>9.6999999999999993</v>
      </c>
    </row>
    <row r="900" spans="1:50" x14ac:dyDescent="0.3">
      <c r="A900" s="4">
        <f>HYPERLINK("http://legacy.baseballprospectus.com/p/103801",103801)</f>
        <v>103801</v>
      </c>
      <c r="B900" t="s">
        <v>3344</v>
      </c>
      <c r="C900" t="s">
        <v>103</v>
      </c>
      <c r="D900" s="10">
        <v>34160</v>
      </c>
      <c r="E900" t="s">
        <v>33</v>
      </c>
      <c r="F900" t="s">
        <v>33</v>
      </c>
      <c r="G900">
        <v>74</v>
      </c>
      <c r="H900">
        <v>180</v>
      </c>
      <c r="I900">
        <v>2018</v>
      </c>
      <c r="J900" s="4" t="str">
        <f>HYPERLINK("http://legacy.baseballprospectus.com/fantasy/dc/index.php?tm=BAL","BAL")</f>
        <v>BAL</v>
      </c>
      <c r="K900" t="s">
        <v>95</v>
      </c>
      <c r="L900" t="s">
        <v>34</v>
      </c>
      <c r="M900">
        <v>24</v>
      </c>
      <c r="N900">
        <v>1.2</v>
      </c>
      <c r="O900">
        <v>1.8</v>
      </c>
      <c r="P900">
        <v>1</v>
      </c>
      <c r="Q900">
        <v>0</v>
      </c>
      <c r="R900">
        <v>0</v>
      </c>
      <c r="S900">
        <v>0</v>
      </c>
      <c r="T900">
        <v>17</v>
      </c>
      <c r="U900">
        <v>2</v>
      </c>
      <c r="V900" s="9">
        <v>27</v>
      </c>
      <c r="W900">
        <v>121</v>
      </c>
      <c r="X900">
        <v>30</v>
      </c>
      <c r="Y900">
        <v>7</v>
      </c>
      <c r="Z900">
        <v>11</v>
      </c>
      <c r="AA900">
        <v>1</v>
      </c>
      <c r="AB900">
        <v>1</v>
      </c>
      <c r="AC900">
        <v>23</v>
      </c>
      <c r="AD900">
        <v>3.8</v>
      </c>
      <c r="AE900">
        <v>7.5</v>
      </c>
      <c r="AF900" s="5">
        <v>0.34300000000000003</v>
      </c>
      <c r="AG900">
        <v>0.29299999999999998</v>
      </c>
      <c r="AH900">
        <v>1.53</v>
      </c>
      <c r="AI900">
        <v>6.34</v>
      </c>
      <c r="AJ900">
        <v>6.29</v>
      </c>
      <c r="AK900">
        <v>-2.6</v>
      </c>
      <c r="AL900">
        <v>-0.3</v>
      </c>
      <c r="AM900">
        <v>9</v>
      </c>
      <c r="AN900">
        <v>15</v>
      </c>
      <c r="AO900">
        <v>5</v>
      </c>
      <c r="AP900">
        <v>7</v>
      </c>
      <c r="AQ900" t="s">
        <v>3345</v>
      </c>
      <c r="AR900">
        <v>21</v>
      </c>
      <c r="AS900" t="s">
        <v>35</v>
      </c>
      <c r="AT900" t="s">
        <v>35</v>
      </c>
      <c r="AU900" s="4">
        <f>HYPERLINK("http://mlb.mlb.com/team/player.jsp?player_id=605276",605276)</f>
        <v>605276</v>
      </c>
      <c r="AV900">
        <v>0</v>
      </c>
      <c r="AW900">
        <v>0</v>
      </c>
      <c r="AX900">
        <v>0</v>
      </c>
    </row>
    <row r="901" spans="1:50" x14ac:dyDescent="0.3">
      <c r="A901" s="4">
        <f>HYPERLINK("http://legacy.baseballprospectus.com/p/101010",101010)</f>
        <v>101010</v>
      </c>
      <c r="B901" t="s">
        <v>359</v>
      </c>
      <c r="C901" t="s">
        <v>2158</v>
      </c>
      <c r="D901" s="10">
        <v>34692</v>
      </c>
      <c r="E901" t="s">
        <v>9</v>
      </c>
      <c r="F901" t="s">
        <v>9</v>
      </c>
      <c r="G901">
        <v>72</v>
      </c>
      <c r="H901">
        <v>155</v>
      </c>
      <c r="I901">
        <v>2018</v>
      </c>
      <c r="J901" s="4" t="str">
        <f>HYPERLINK("http://legacy.baseballprospectus.com/fantasy/dc/index.php?tm=PHI","PHI")</f>
        <v>PHI</v>
      </c>
      <c r="K901" t="s">
        <v>100</v>
      </c>
      <c r="L901" t="s">
        <v>34</v>
      </c>
      <c r="M901">
        <v>23</v>
      </c>
      <c r="N901">
        <v>2</v>
      </c>
      <c r="O901">
        <v>2.8</v>
      </c>
      <c r="P901">
        <v>2.2999999999999998</v>
      </c>
      <c r="Q901">
        <v>0</v>
      </c>
      <c r="R901">
        <v>0</v>
      </c>
      <c r="S901">
        <v>0</v>
      </c>
      <c r="T901">
        <v>6.8</v>
      </c>
      <c r="U901">
        <v>6.8</v>
      </c>
      <c r="V901" s="9">
        <v>37.666699999999999</v>
      </c>
      <c r="W901">
        <v>164</v>
      </c>
      <c r="X901">
        <v>42</v>
      </c>
      <c r="Y901">
        <v>8</v>
      </c>
      <c r="Z901">
        <v>16</v>
      </c>
      <c r="AA901" t="s">
        <v>1680</v>
      </c>
      <c r="AB901">
        <v>1</v>
      </c>
      <c r="AC901">
        <v>31</v>
      </c>
      <c r="AD901">
        <v>3.9</v>
      </c>
      <c r="AE901">
        <v>7.4</v>
      </c>
      <c r="AF901" s="5">
        <v>0.43884673714637701</v>
      </c>
      <c r="AG901">
        <v>0.309</v>
      </c>
      <c r="AH901">
        <v>1.53</v>
      </c>
      <c r="AI901">
        <v>5.77</v>
      </c>
      <c r="AJ901">
        <v>6.42</v>
      </c>
      <c r="AK901">
        <v>-3.1</v>
      </c>
      <c r="AL901">
        <v>-0.3</v>
      </c>
      <c r="AM901">
        <v>5</v>
      </c>
      <c r="AN901">
        <v>5</v>
      </c>
      <c r="AO901">
        <v>1</v>
      </c>
      <c r="AP901">
        <v>7</v>
      </c>
      <c r="AQ901" t="s">
        <v>3088</v>
      </c>
      <c r="AR901">
        <v>8</v>
      </c>
      <c r="AS901" t="s">
        <v>36</v>
      </c>
      <c r="AT901" t="s">
        <v>35</v>
      </c>
      <c r="AU901" s="4">
        <f>HYPERLINK("http://mlb.mlb.com/team/player.jsp?player_id=622556",622556)</f>
        <v>622556</v>
      </c>
      <c r="AV901">
        <v>0</v>
      </c>
      <c r="AW901">
        <v>0</v>
      </c>
      <c r="AX901">
        <v>0</v>
      </c>
    </row>
    <row r="902" spans="1:50" x14ac:dyDescent="0.3">
      <c r="A902" s="4">
        <f>HYPERLINK("http://legacy.baseballprospectus.com/p/101643",101643)</f>
        <v>101643</v>
      </c>
      <c r="B902" t="s">
        <v>690</v>
      </c>
      <c r="C902" t="s">
        <v>451</v>
      </c>
      <c r="D902" s="10">
        <v>34592</v>
      </c>
      <c r="E902" t="s">
        <v>9</v>
      </c>
      <c r="F902" t="s">
        <v>9</v>
      </c>
      <c r="G902">
        <v>73</v>
      </c>
      <c r="H902">
        <v>205</v>
      </c>
      <c r="I902">
        <v>2018</v>
      </c>
      <c r="J902" s="4" t="str">
        <f>HYPERLINK("http://legacy.baseballprospectus.com/fantasy/dc/index.php?tm=SFN","SFN")</f>
        <v>SFN</v>
      </c>
      <c r="K902" t="s">
        <v>100</v>
      </c>
      <c r="L902" t="s">
        <v>34</v>
      </c>
      <c r="M902">
        <v>23</v>
      </c>
      <c r="N902">
        <v>4.2</v>
      </c>
      <c r="O902">
        <v>5.4</v>
      </c>
      <c r="P902">
        <v>6.4</v>
      </c>
      <c r="Q902">
        <v>0</v>
      </c>
      <c r="R902">
        <v>0</v>
      </c>
      <c r="S902">
        <v>0</v>
      </c>
      <c r="T902">
        <v>15.1</v>
      </c>
      <c r="U902">
        <v>15.1</v>
      </c>
      <c r="V902" s="9">
        <v>74.333299999999994</v>
      </c>
      <c r="W902">
        <v>323</v>
      </c>
      <c r="X902">
        <v>79</v>
      </c>
      <c r="Y902">
        <v>12</v>
      </c>
      <c r="Z902">
        <v>34</v>
      </c>
      <c r="AA902" t="s">
        <v>1680</v>
      </c>
      <c r="AB902">
        <v>3</v>
      </c>
      <c r="AC902">
        <v>70</v>
      </c>
      <c r="AD902">
        <v>4.0999999999999996</v>
      </c>
      <c r="AE902">
        <v>8.4</v>
      </c>
      <c r="AF902" s="5">
        <v>0.49689453840255698</v>
      </c>
      <c r="AG902">
        <v>0.32600000000000001</v>
      </c>
      <c r="AH902">
        <v>1.52</v>
      </c>
      <c r="AI902">
        <v>4.96</v>
      </c>
      <c r="AJ902">
        <v>6.02</v>
      </c>
      <c r="AK902">
        <v>-3.1</v>
      </c>
      <c r="AL902">
        <v>-0.3</v>
      </c>
      <c r="AM902">
        <v>5</v>
      </c>
      <c r="AN902">
        <v>8</v>
      </c>
      <c r="AO902">
        <v>1</v>
      </c>
      <c r="AP902">
        <v>5</v>
      </c>
      <c r="AQ902" t="s">
        <v>3208</v>
      </c>
      <c r="AR902">
        <v>13</v>
      </c>
      <c r="AS902" t="s">
        <v>36</v>
      </c>
      <c r="AT902" t="s">
        <v>35</v>
      </c>
      <c r="AU902" s="4">
        <f>HYPERLINK("http://mlb.mlb.com/team/player.jsp?player_id=624526",624526)</f>
        <v>624526</v>
      </c>
      <c r="AV902">
        <v>0</v>
      </c>
      <c r="AW902">
        <v>0</v>
      </c>
      <c r="AX902">
        <v>0</v>
      </c>
    </row>
    <row r="903" spans="1:50" x14ac:dyDescent="0.3">
      <c r="A903" s="4">
        <f>HYPERLINK("http://legacy.baseballprospectus.com/p/102119",102119)</f>
        <v>102119</v>
      </c>
      <c r="B903" t="s">
        <v>237</v>
      </c>
      <c r="C903" t="s">
        <v>119</v>
      </c>
      <c r="D903" s="10">
        <v>35074</v>
      </c>
      <c r="E903" t="s">
        <v>9</v>
      </c>
      <c r="F903" t="s">
        <v>9</v>
      </c>
      <c r="G903">
        <v>76</v>
      </c>
      <c r="H903">
        <v>200</v>
      </c>
      <c r="I903">
        <v>2018</v>
      </c>
      <c r="J903" s="4" t="str">
        <f>HYPERLINK("http://legacy.baseballprospectus.com/fantasy/dc/index.php?tm=SDN","SDN")</f>
        <v>SDN</v>
      </c>
      <c r="K903" t="s">
        <v>100</v>
      </c>
      <c r="L903" t="s">
        <v>34</v>
      </c>
      <c r="M903">
        <v>22</v>
      </c>
      <c r="N903">
        <v>2.2000000000000002</v>
      </c>
      <c r="O903">
        <v>2</v>
      </c>
      <c r="P903">
        <v>1.8</v>
      </c>
      <c r="Q903">
        <v>0</v>
      </c>
      <c r="R903">
        <v>1</v>
      </c>
      <c r="S903">
        <v>0</v>
      </c>
      <c r="T903">
        <v>29.8</v>
      </c>
      <c r="U903">
        <v>4.4000000000000004</v>
      </c>
      <c r="V903" s="9">
        <v>46</v>
      </c>
      <c r="W903">
        <v>197</v>
      </c>
      <c r="X903">
        <v>46</v>
      </c>
      <c r="Y903">
        <v>9</v>
      </c>
      <c r="Z903">
        <v>21</v>
      </c>
      <c r="AA903" t="s">
        <v>1680</v>
      </c>
      <c r="AB903">
        <v>2</v>
      </c>
      <c r="AC903">
        <v>49</v>
      </c>
      <c r="AD903">
        <v>4.0999999999999996</v>
      </c>
      <c r="AE903">
        <v>9.5</v>
      </c>
      <c r="AF903" s="5">
        <v>0.42350548505782998</v>
      </c>
      <c r="AG903">
        <v>0.315</v>
      </c>
      <c r="AH903">
        <v>1.45</v>
      </c>
      <c r="AI903">
        <v>5.08</v>
      </c>
      <c r="AJ903">
        <v>5.9</v>
      </c>
      <c r="AK903">
        <v>-3.2</v>
      </c>
      <c r="AL903">
        <v>-0.3</v>
      </c>
      <c r="AM903">
        <v>8</v>
      </c>
      <c r="AN903">
        <v>9</v>
      </c>
      <c r="AO903">
        <v>0</v>
      </c>
      <c r="AP903">
        <v>6</v>
      </c>
      <c r="AQ903" t="s">
        <v>3209</v>
      </c>
      <c r="AR903">
        <v>10</v>
      </c>
      <c r="AS903" t="s">
        <v>36</v>
      </c>
      <c r="AT903" t="s">
        <v>35</v>
      </c>
      <c r="AU903" s="4">
        <f>HYPERLINK("http://mlb.mlb.com/team/player.jsp?player_id=620454",620454)</f>
        <v>620454</v>
      </c>
      <c r="AV903">
        <v>1364</v>
      </c>
      <c r="AW903">
        <v>364</v>
      </c>
      <c r="AX903">
        <v>0</v>
      </c>
    </row>
    <row r="904" spans="1:50" x14ac:dyDescent="0.3">
      <c r="A904" s="4">
        <f>HYPERLINK("http://legacy.baseballprospectus.com/p/102663",102663)</f>
        <v>102663</v>
      </c>
      <c r="B904" t="s">
        <v>873</v>
      </c>
      <c r="C904" t="s">
        <v>459</v>
      </c>
      <c r="D904" s="10">
        <v>33529</v>
      </c>
      <c r="E904" t="s">
        <v>33</v>
      </c>
      <c r="F904" t="s">
        <v>33</v>
      </c>
      <c r="G904">
        <v>77</v>
      </c>
      <c r="H904">
        <v>233</v>
      </c>
      <c r="I904">
        <v>2018</v>
      </c>
      <c r="J904" s="4" t="str">
        <f>HYPERLINK("http://legacy.baseballprospectus.com/fantasy/dc/index.php?tm=NYN","NYN")</f>
        <v>NYN</v>
      </c>
      <c r="K904" t="s">
        <v>100</v>
      </c>
      <c r="L904" t="s">
        <v>34</v>
      </c>
      <c r="M904">
        <v>26</v>
      </c>
      <c r="N904">
        <v>3.3</v>
      </c>
      <c r="O904">
        <v>3.2</v>
      </c>
      <c r="P904">
        <v>3.1</v>
      </c>
      <c r="Q904">
        <v>0</v>
      </c>
      <c r="R904">
        <v>0.2</v>
      </c>
      <c r="S904">
        <v>0</v>
      </c>
      <c r="T904">
        <v>29.8</v>
      </c>
      <c r="U904">
        <v>7.6</v>
      </c>
      <c r="V904" s="9">
        <v>64.333299999999994</v>
      </c>
      <c r="W904">
        <v>276</v>
      </c>
      <c r="X904">
        <v>68</v>
      </c>
      <c r="Y904">
        <v>12</v>
      </c>
      <c r="Z904">
        <v>25</v>
      </c>
      <c r="AA904" t="s">
        <v>1680</v>
      </c>
      <c r="AB904">
        <v>2</v>
      </c>
      <c r="AC904">
        <v>58</v>
      </c>
      <c r="AD904">
        <v>3.5</v>
      </c>
      <c r="AE904">
        <v>8.1</v>
      </c>
      <c r="AF904" s="5">
        <v>0.41470092535018899</v>
      </c>
      <c r="AG904">
        <v>0.314</v>
      </c>
      <c r="AH904">
        <v>1.46</v>
      </c>
      <c r="AI904">
        <v>5.17</v>
      </c>
      <c r="AJ904">
        <v>5.74</v>
      </c>
      <c r="AK904">
        <v>-2.4</v>
      </c>
      <c r="AL904">
        <v>-0.3</v>
      </c>
      <c r="AM904">
        <v>11</v>
      </c>
      <c r="AN904">
        <v>13</v>
      </c>
      <c r="AO904">
        <v>5</v>
      </c>
      <c r="AP904">
        <v>15</v>
      </c>
      <c r="AQ904" t="s">
        <v>3213</v>
      </c>
      <c r="AR904">
        <v>20</v>
      </c>
      <c r="AS904" t="s">
        <v>36</v>
      </c>
      <c r="AT904" t="s">
        <v>35</v>
      </c>
      <c r="AU904" s="4">
        <f>HYPERLINK("http://mlb.mlb.com/team/player.jsp?player_id=641850",641850)</f>
        <v>641850</v>
      </c>
      <c r="AV904">
        <v>1126</v>
      </c>
      <c r="AW904">
        <v>126</v>
      </c>
      <c r="AX904">
        <v>8.6999999999999993</v>
      </c>
    </row>
    <row r="905" spans="1:50" x14ac:dyDescent="0.3">
      <c r="A905" s="4">
        <f>HYPERLINK("http://legacy.baseballprospectus.com/p/102792",102792)</f>
        <v>102792</v>
      </c>
      <c r="B905" t="s">
        <v>988</v>
      </c>
      <c r="C905" t="s">
        <v>232</v>
      </c>
      <c r="D905" s="10">
        <v>33331</v>
      </c>
      <c r="E905" t="s">
        <v>33</v>
      </c>
      <c r="F905" t="s">
        <v>33</v>
      </c>
      <c r="G905">
        <v>74</v>
      </c>
      <c r="H905">
        <v>205</v>
      </c>
      <c r="I905">
        <v>2018</v>
      </c>
      <c r="J905" s="4" t="str">
        <f>HYPERLINK("http://legacy.baseballprospectus.com/fantasy/dc/index.php?tm=ANA","ANA")</f>
        <v>ANA</v>
      </c>
      <c r="K905" t="s">
        <v>95</v>
      </c>
      <c r="L905" t="s">
        <v>34</v>
      </c>
      <c r="M905">
        <v>27</v>
      </c>
      <c r="N905">
        <v>5.3</v>
      </c>
      <c r="O905">
        <v>8</v>
      </c>
      <c r="P905">
        <v>6.3</v>
      </c>
      <c r="Q905">
        <v>0</v>
      </c>
      <c r="R905">
        <v>0</v>
      </c>
      <c r="S905">
        <v>0</v>
      </c>
      <c r="T905">
        <v>19.100000000000001</v>
      </c>
      <c r="U905">
        <v>19.100000000000001</v>
      </c>
      <c r="V905" s="9">
        <v>104</v>
      </c>
      <c r="W905">
        <v>463</v>
      </c>
      <c r="X905">
        <v>116</v>
      </c>
      <c r="Y905">
        <v>21</v>
      </c>
      <c r="Z905">
        <v>38</v>
      </c>
      <c r="AA905" t="s">
        <v>1680</v>
      </c>
      <c r="AB905">
        <v>6</v>
      </c>
      <c r="AC905">
        <v>80</v>
      </c>
      <c r="AD905">
        <v>3.3</v>
      </c>
      <c r="AE905">
        <v>6.9</v>
      </c>
      <c r="AF905" s="5">
        <v>0.41143015027046198</v>
      </c>
      <c r="AG905">
        <v>0.3</v>
      </c>
      <c r="AH905">
        <v>1.48</v>
      </c>
      <c r="AI905">
        <v>5.7</v>
      </c>
      <c r="AJ905">
        <v>5.94</v>
      </c>
      <c r="AK905">
        <v>-2.6</v>
      </c>
      <c r="AL905">
        <v>-0.3</v>
      </c>
      <c r="AM905">
        <v>11</v>
      </c>
      <c r="AN905">
        <v>21</v>
      </c>
      <c r="AO905">
        <v>3</v>
      </c>
      <c r="AP905">
        <v>13</v>
      </c>
      <c r="AQ905" t="s">
        <v>2954</v>
      </c>
      <c r="AR905">
        <v>27</v>
      </c>
      <c r="AS905" t="s">
        <v>36</v>
      </c>
      <c r="AT905" t="s">
        <v>36</v>
      </c>
      <c r="AU905" s="4">
        <f>HYPERLINK("http://mlb.mlb.com/team/player.jsp?player_id=642229",642229)</f>
        <v>642229</v>
      </c>
      <c r="AV905">
        <v>0</v>
      </c>
      <c r="AW905">
        <v>0</v>
      </c>
      <c r="AX905">
        <v>19.7</v>
      </c>
    </row>
    <row r="906" spans="1:50" x14ac:dyDescent="0.3">
      <c r="A906" s="4">
        <f>HYPERLINK("http://legacy.baseballprospectus.com/p/106502",106502)</f>
        <v>106502</v>
      </c>
      <c r="B906" t="s">
        <v>522</v>
      </c>
      <c r="C906" t="s">
        <v>204</v>
      </c>
      <c r="D906" s="10">
        <v>34487</v>
      </c>
      <c r="E906" t="s">
        <v>33</v>
      </c>
      <c r="F906" t="s">
        <v>33</v>
      </c>
      <c r="G906">
        <v>72</v>
      </c>
      <c r="H906">
        <v>185</v>
      </c>
      <c r="I906">
        <v>2018</v>
      </c>
      <c r="J906" s="4" t="str">
        <f>HYPERLINK("http://legacy.baseballprospectus.com/fantasy/dc/index.php?tm=SEA","SEA")</f>
        <v>SEA</v>
      </c>
      <c r="K906" t="s">
        <v>95</v>
      </c>
      <c r="L906" t="s">
        <v>34</v>
      </c>
      <c r="M906">
        <v>24</v>
      </c>
      <c r="N906">
        <v>1.5</v>
      </c>
      <c r="O906">
        <v>2.2000000000000002</v>
      </c>
      <c r="P906">
        <v>1</v>
      </c>
      <c r="Q906">
        <v>0</v>
      </c>
      <c r="R906">
        <v>0</v>
      </c>
      <c r="S906">
        <v>0</v>
      </c>
      <c r="T906">
        <v>5</v>
      </c>
      <c r="U906">
        <v>5</v>
      </c>
      <c r="V906" s="9">
        <v>28.666699999999999</v>
      </c>
      <c r="W906">
        <v>124</v>
      </c>
      <c r="X906">
        <v>31</v>
      </c>
      <c r="Y906">
        <v>8</v>
      </c>
      <c r="Z906">
        <v>9</v>
      </c>
      <c r="AA906">
        <v>0</v>
      </c>
      <c r="AB906">
        <v>1</v>
      </c>
      <c r="AC906">
        <v>25</v>
      </c>
      <c r="AD906">
        <v>2.9</v>
      </c>
      <c r="AE906">
        <v>7.8</v>
      </c>
      <c r="AF906" s="5">
        <v>0.36599999999999999</v>
      </c>
      <c r="AG906">
        <v>0.29199999999999998</v>
      </c>
      <c r="AH906">
        <v>1.42</v>
      </c>
      <c r="AI906">
        <v>6.03</v>
      </c>
      <c r="AJ906">
        <v>6.58</v>
      </c>
      <c r="AK906">
        <v>-3.1</v>
      </c>
      <c r="AL906">
        <v>-0.3</v>
      </c>
      <c r="AM906">
        <v>15</v>
      </c>
      <c r="AN906">
        <v>39</v>
      </c>
      <c r="AO906">
        <v>17</v>
      </c>
      <c r="AP906">
        <v>27</v>
      </c>
      <c r="AQ906" t="s">
        <v>2968</v>
      </c>
      <c r="AR906">
        <v>64</v>
      </c>
      <c r="AS906" t="s">
        <v>35</v>
      </c>
      <c r="AT906" t="s">
        <v>36</v>
      </c>
      <c r="AU906" s="4">
        <f>HYPERLINK("http://mlb.mlb.com/team/player.jsp?player_id=621058",621058)</f>
        <v>621058</v>
      </c>
      <c r="AV906">
        <v>78</v>
      </c>
      <c r="AW906">
        <v>1078</v>
      </c>
      <c r="AX906">
        <v>59</v>
      </c>
    </row>
    <row r="907" spans="1:50" x14ac:dyDescent="0.3">
      <c r="A907" s="4">
        <f>HYPERLINK("http://legacy.baseballprospectus.com/p/104460",104460)</f>
        <v>104460</v>
      </c>
      <c r="B907" t="s">
        <v>500</v>
      </c>
      <c r="C907" t="s">
        <v>2123</v>
      </c>
      <c r="D907" s="10">
        <v>34428</v>
      </c>
      <c r="E907" t="s">
        <v>33</v>
      </c>
      <c r="F907" t="s">
        <v>33</v>
      </c>
      <c r="G907">
        <v>74</v>
      </c>
      <c r="H907">
        <v>180</v>
      </c>
      <c r="I907">
        <v>2018</v>
      </c>
      <c r="J907" s="4" t="str">
        <f>HYPERLINK("http://legacy.baseballprospectus.com/fantasy/dc/index.php?tm=SFN","SFN")</f>
        <v>SFN</v>
      </c>
      <c r="K907" t="s">
        <v>100</v>
      </c>
      <c r="L907" t="s">
        <v>34</v>
      </c>
      <c r="M907">
        <v>24</v>
      </c>
      <c r="N907">
        <v>1.6</v>
      </c>
      <c r="O907">
        <v>0.8</v>
      </c>
      <c r="P907">
        <v>0.5</v>
      </c>
      <c r="Q907">
        <v>0</v>
      </c>
      <c r="R907">
        <v>1.1000000000000001</v>
      </c>
      <c r="S907">
        <v>0</v>
      </c>
      <c r="T907">
        <v>29.6</v>
      </c>
      <c r="U907">
        <v>1.2</v>
      </c>
      <c r="V907" s="9">
        <v>34.666699999999999</v>
      </c>
      <c r="W907">
        <v>150</v>
      </c>
      <c r="X907">
        <v>37</v>
      </c>
      <c r="Y907">
        <v>7</v>
      </c>
      <c r="Z907">
        <v>15</v>
      </c>
      <c r="AA907" t="s">
        <v>1680</v>
      </c>
      <c r="AB907">
        <v>1</v>
      </c>
      <c r="AC907">
        <v>34</v>
      </c>
      <c r="AD907">
        <v>3.8</v>
      </c>
      <c r="AE907">
        <v>8.8000000000000007</v>
      </c>
      <c r="AF907" s="5">
        <v>0.440743207931518</v>
      </c>
      <c r="AG907">
        <v>0.32900000000000001</v>
      </c>
      <c r="AH907">
        <v>1.5</v>
      </c>
      <c r="AI907">
        <v>5.04</v>
      </c>
      <c r="AJ907">
        <v>6.1</v>
      </c>
      <c r="AK907">
        <v>-3.1</v>
      </c>
      <c r="AL907">
        <v>-0.3</v>
      </c>
      <c r="AM907">
        <v>1</v>
      </c>
      <c r="AN907">
        <v>1</v>
      </c>
      <c r="AO907">
        <v>0</v>
      </c>
      <c r="AP907">
        <v>2</v>
      </c>
      <c r="AQ907" t="s">
        <v>3219</v>
      </c>
      <c r="AR907">
        <v>2</v>
      </c>
      <c r="AS907" t="s">
        <v>36</v>
      </c>
      <c r="AT907" t="s">
        <v>35</v>
      </c>
      <c r="AU907" s="4">
        <f>HYPERLINK("http://mlb.mlb.com/team/player.jsp?player_id=650869",650869)</f>
        <v>650869</v>
      </c>
      <c r="AV907">
        <v>0</v>
      </c>
      <c r="AW907">
        <v>0</v>
      </c>
      <c r="AX907">
        <v>0</v>
      </c>
    </row>
    <row r="908" spans="1:50" x14ac:dyDescent="0.3">
      <c r="A908" s="4">
        <f>HYPERLINK("http://legacy.baseballprospectus.com/p/106940",106940)</f>
        <v>106940</v>
      </c>
      <c r="B908" t="s">
        <v>1646</v>
      </c>
      <c r="C908" t="s">
        <v>142</v>
      </c>
      <c r="D908" s="10">
        <v>35646</v>
      </c>
      <c r="E908" t="s">
        <v>33</v>
      </c>
      <c r="F908" t="s">
        <v>33</v>
      </c>
      <c r="G908">
        <v>77</v>
      </c>
      <c r="H908">
        <v>225</v>
      </c>
      <c r="I908">
        <v>2018</v>
      </c>
      <c r="J908" s="4" t="str">
        <f>HYPERLINK("http://legacy.baseballprospectus.com/fantasy/dc/index.php?tm=ATL","ATL")</f>
        <v>ATL</v>
      </c>
      <c r="K908" t="s">
        <v>100</v>
      </c>
      <c r="L908" t="s">
        <v>34</v>
      </c>
      <c r="M908">
        <v>20</v>
      </c>
      <c r="N908">
        <v>6.7</v>
      </c>
      <c r="O908">
        <v>8.4</v>
      </c>
      <c r="P908">
        <v>9</v>
      </c>
      <c r="Q908">
        <v>0</v>
      </c>
      <c r="R908">
        <v>0</v>
      </c>
      <c r="S908">
        <v>0</v>
      </c>
      <c r="T908">
        <v>22.2</v>
      </c>
      <c r="U908">
        <v>22.2</v>
      </c>
      <c r="V908" s="9">
        <v>121.33329999999999</v>
      </c>
      <c r="W908">
        <v>513</v>
      </c>
      <c r="X908">
        <v>127</v>
      </c>
      <c r="Y908">
        <v>25</v>
      </c>
      <c r="Z908">
        <v>42</v>
      </c>
      <c r="AA908" t="s">
        <v>1680</v>
      </c>
      <c r="AB908">
        <v>5</v>
      </c>
      <c r="AC908">
        <v>118</v>
      </c>
      <c r="AD908">
        <v>3.1</v>
      </c>
      <c r="AE908">
        <v>8.6999999999999993</v>
      </c>
      <c r="AF908" s="5">
        <v>0.46552658081054599</v>
      </c>
      <c r="AG908">
        <v>0.315</v>
      </c>
      <c r="AH908">
        <v>1.4</v>
      </c>
      <c r="AI908">
        <v>5.05</v>
      </c>
      <c r="AJ908">
        <v>5.83</v>
      </c>
      <c r="AK908">
        <v>-2.6</v>
      </c>
      <c r="AL908">
        <v>-0.3</v>
      </c>
      <c r="AM908">
        <v>7</v>
      </c>
      <c r="AN908">
        <v>11</v>
      </c>
      <c r="AO908">
        <v>3</v>
      </c>
      <c r="AP908">
        <v>7</v>
      </c>
      <c r="AQ908" t="s">
        <v>2326</v>
      </c>
      <c r="AR908">
        <v>14</v>
      </c>
      <c r="AS908" t="s">
        <v>36</v>
      </c>
      <c r="AT908" t="s">
        <v>35</v>
      </c>
      <c r="AU908" s="4">
        <f>HYPERLINK("http://mlb.mlb.com/team/player.jsp?player_id=647336",647336)</f>
        <v>647336</v>
      </c>
      <c r="AV908">
        <v>0</v>
      </c>
      <c r="AW908">
        <v>0</v>
      </c>
      <c r="AX908">
        <v>0</v>
      </c>
    </row>
    <row r="909" spans="1:50" x14ac:dyDescent="0.3">
      <c r="A909" s="4">
        <f>HYPERLINK("http://legacy.baseballprospectus.com/p/106956",106956)</f>
        <v>106956</v>
      </c>
      <c r="B909" t="s">
        <v>2141</v>
      </c>
      <c r="C909" t="s">
        <v>150</v>
      </c>
      <c r="D909" s="10">
        <v>34324</v>
      </c>
      <c r="E909" t="s">
        <v>33</v>
      </c>
      <c r="F909" t="s">
        <v>33</v>
      </c>
      <c r="G909">
        <v>75</v>
      </c>
      <c r="H909">
        <v>200</v>
      </c>
      <c r="I909">
        <v>2018</v>
      </c>
      <c r="J909" s="4" t="str">
        <f>HYPERLINK("http://legacy.baseballprospectus.com/fantasy/dc/index.php?tm=KCA","KCA")</f>
        <v>KCA</v>
      </c>
      <c r="K909" t="s">
        <v>95</v>
      </c>
      <c r="L909" t="s">
        <v>34</v>
      </c>
      <c r="M909">
        <v>24</v>
      </c>
      <c r="N909">
        <v>5.6</v>
      </c>
      <c r="O909">
        <v>7.9</v>
      </c>
      <c r="P909">
        <v>7.2</v>
      </c>
      <c r="Q909">
        <v>0</v>
      </c>
      <c r="R909">
        <v>0.5</v>
      </c>
      <c r="S909">
        <v>0</v>
      </c>
      <c r="T909">
        <v>35.299999999999997</v>
      </c>
      <c r="U909">
        <v>20.6</v>
      </c>
      <c r="V909" s="9">
        <v>108.66670000000001</v>
      </c>
      <c r="W909">
        <v>496</v>
      </c>
      <c r="X909">
        <v>103</v>
      </c>
      <c r="Y909">
        <v>21</v>
      </c>
      <c r="Z909">
        <v>70</v>
      </c>
      <c r="AA909" t="s">
        <v>1680</v>
      </c>
      <c r="AB909">
        <v>6</v>
      </c>
      <c r="AC909">
        <v>132</v>
      </c>
      <c r="AD909">
        <v>5.8</v>
      </c>
      <c r="AE909">
        <v>11</v>
      </c>
      <c r="AF909" s="5">
        <v>0.45362743735313399</v>
      </c>
      <c r="AG909">
        <v>0.309</v>
      </c>
      <c r="AH909">
        <v>1.6</v>
      </c>
      <c r="AI909">
        <v>5.56</v>
      </c>
      <c r="AJ909">
        <v>5.8</v>
      </c>
      <c r="AK909">
        <v>-2.5</v>
      </c>
      <c r="AL909">
        <v>-0.3</v>
      </c>
      <c r="AM909">
        <v>11</v>
      </c>
      <c r="AN909">
        <v>20</v>
      </c>
      <c r="AO909">
        <v>7</v>
      </c>
      <c r="AP909">
        <v>17</v>
      </c>
      <c r="AQ909" t="s">
        <v>3474</v>
      </c>
      <c r="AR909">
        <v>30</v>
      </c>
      <c r="AS909" t="s">
        <v>36</v>
      </c>
      <c r="AT909" t="s">
        <v>35</v>
      </c>
      <c r="AU909" s="4">
        <f>HYPERLINK("http://mlb.mlb.com/team/player.jsp?player_id=622251",622251)</f>
        <v>622251</v>
      </c>
      <c r="AV909">
        <v>176</v>
      </c>
      <c r="AW909">
        <v>1176</v>
      </c>
      <c r="AX909">
        <v>0</v>
      </c>
    </row>
    <row r="910" spans="1:50" x14ac:dyDescent="0.3">
      <c r="A910" s="4">
        <f>HYPERLINK("http://legacy.baseballprospectus.com/p/107264",107264)</f>
        <v>107264</v>
      </c>
      <c r="B910" t="s">
        <v>977</v>
      </c>
      <c r="C910" t="s">
        <v>3360</v>
      </c>
      <c r="D910" s="10">
        <v>34051</v>
      </c>
      <c r="E910" t="s">
        <v>33</v>
      </c>
      <c r="F910" t="s">
        <v>33</v>
      </c>
      <c r="G910">
        <v>75</v>
      </c>
      <c r="H910">
        <v>230</v>
      </c>
      <c r="I910">
        <v>2018</v>
      </c>
      <c r="J910" s="4" t="str">
        <f>HYPERLINK("http://legacy.baseballprospectus.com/fantasy/dc/index.php?tm=SEA","SEA")</f>
        <v>SEA</v>
      </c>
      <c r="K910" t="s">
        <v>95</v>
      </c>
      <c r="L910" t="s">
        <v>34</v>
      </c>
      <c r="M910">
        <v>25</v>
      </c>
      <c r="N910">
        <v>3</v>
      </c>
      <c r="O910">
        <v>2.9</v>
      </c>
      <c r="P910">
        <v>2.4</v>
      </c>
      <c r="Q910">
        <v>0</v>
      </c>
      <c r="R910">
        <v>1</v>
      </c>
      <c r="S910">
        <v>0</v>
      </c>
      <c r="T910">
        <v>33.9</v>
      </c>
      <c r="U910">
        <v>6.8</v>
      </c>
      <c r="V910" s="9">
        <v>60.333300000000001</v>
      </c>
      <c r="W910">
        <v>269</v>
      </c>
      <c r="X910">
        <v>63</v>
      </c>
      <c r="Y910">
        <v>12</v>
      </c>
      <c r="Z910">
        <v>27</v>
      </c>
      <c r="AA910" t="s">
        <v>1680</v>
      </c>
      <c r="AB910">
        <v>3</v>
      </c>
      <c r="AC910">
        <v>56</v>
      </c>
      <c r="AD910">
        <v>4.0999999999999996</v>
      </c>
      <c r="AE910">
        <v>8.3000000000000007</v>
      </c>
      <c r="AF910" s="5">
        <v>0.43921667337417603</v>
      </c>
      <c r="AG910">
        <v>0.3</v>
      </c>
      <c r="AH910">
        <v>1.5</v>
      </c>
      <c r="AI910">
        <v>5.46</v>
      </c>
      <c r="AJ910">
        <v>5.83</v>
      </c>
      <c r="AK910">
        <v>-2.9</v>
      </c>
      <c r="AL910">
        <v>-0.3</v>
      </c>
      <c r="AM910">
        <v>1</v>
      </c>
      <c r="AN910">
        <v>4</v>
      </c>
      <c r="AO910">
        <v>1</v>
      </c>
      <c r="AP910">
        <v>5</v>
      </c>
      <c r="AQ910" t="s">
        <v>3361</v>
      </c>
      <c r="AR910">
        <v>5</v>
      </c>
      <c r="AS910" t="s">
        <v>36</v>
      </c>
      <c r="AT910" t="s">
        <v>35</v>
      </c>
      <c r="AU910" s="4">
        <f>HYPERLINK("http://mlb.mlb.com/team/player.jsp?player_id=605521",605521)</f>
        <v>605521</v>
      </c>
      <c r="AV910">
        <v>0</v>
      </c>
      <c r="AW910">
        <v>0</v>
      </c>
      <c r="AX910">
        <v>0</v>
      </c>
    </row>
    <row r="911" spans="1:50" x14ac:dyDescent="0.3">
      <c r="A911" s="4">
        <f>HYPERLINK("http://legacy.baseballprospectus.com/p/107376",107376)</f>
        <v>107376</v>
      </c>
      <c r="B911" t="s">
        <v>3300</v>
      </c>
      <c r="C911" t="s">
        <v>119</v>
      </c>
      <c r="D911" s="10">
        <v>36106</v>
      </c>
      <c r="E911" t="s">
        <v>33</v>
      </c>
      <c r="F911" t="s">
        <v>33</v>
      </c>
      <c r="G911">
        <v>73</v>
      </c>
      <c r="H911">
        <v>185</v>
      </c>
      <c r="I911">
        <v>2018</v>
      </c>
      <c r="J911" s="4" t="str">
        <f>HYPERLINK("http://legacy.baseballprospectus.com/fantasy/dc/index.php?tm=CHN","CHN")</f>
        <v>CHN</v>
      </c>
      <c r="K911" t="s">
        <v>100</v>
      </c>
      <c r="L911" t="s">
        <v>34</v>
      </c>
      <c r="M911">
        <v>19</v>
      </c>
      <c r="N911">
        <v>2.1</v>
      </c>
      <c r="O911">
        <v>2.6</v>
      </c>
      <c r="P911">
        <v>2.4</v>
      </c>
      <c r="Q911">
        <v>0</v>
      </c>
      <c r="R911">
        <v>0</v>
      </c>
      <c r="S911">
        <v>0</v>
      </c>
      <c r="T911">
        <v>7.6</v>
      </c>
      <c r="U911">
        <v>7.6</v>
      </c>
      <c r="V911" s="9">
        <v>34.333300000000001</v>
      </c>
      <c r="W911">
        <v>150</v>
      </c>
      <c r="X911">
        <v>35</v>
      </c>
      <c r="Y911">
        <v>8</v>
      </c>
      <c r="Z911">
        <v>18</v>
      </c>
      <c r="AA911" t="s">
        <v>1680</v>
      </c>
      <c r="AB911">
        <v>1</v>
      </c>
      <c r="AC911">
        <v>37</v>
      </c>
      <c r="AD911">
        <v>4.9000000000000004</v>
      </c>
      <c r="AE911">
        <v>9.6999999999999993</v>
      </c>
      <c r="AF911" s="5">
        <v>0.466810762882232</v>
      </c>
      <c r="AG911">
        <v>0.316</v>
      </c>
      <c r="AH911">
        <v>1.57</v>
      </c>
      <c r="AI911">
        <v>5.83</v>
      </c>
      <c r="AJ911">
        <v>6.44</v>
      </c>
      <c r="AK911">
        <v>-2.9</v>
      </c>
      <c r="AL911">
        <v>-0.3</v>
      </c>
      <c r="AM911">
        <v>0</v>
      </c>
      <c r="AN911">
        <v>0</v>
      </c>
      <c r="AO911">
        <v>0</v>
      </c>
      <c r="AP911">
        <v>0</v>
      </c>
      <c r="AQ911" t="s">
        <v>3301</v>
      </c>
      <c r="AR911">
        <v>0</v>
      </c>
      <c r="AS911" t="s">
        <v>36</v>
      </c>
      <c r="AT911" t="s">
        <v>35</v>
      </c>
      <c r="AU911" s="4">
        <f>HYPERLINK("http://mlb.mlb.com/team/player.jsp?player_id=666016",666016)</f>
        <v>666016</v>
      </c>
      <c r="AV911">
        <v>1165</v>
      </c>
      <c r="AW911">
        <v>165</v>
      </c>
      <c r="AX911">
        <v>0</v>
      </c>
    </row>
    <row r="912" spans="1:50" x14ac:dyDescent="0.3">
      <c r="A912" s="4">
        <f>HYPERLINK("http://legacy.baseballprospectus.com/p/107636",107636)</f>
        <v>107636</v>
      </c>
      <c r="B912" t="s">
        <v>2537</v>
      </c>
      <c r="C912" t="s">
        <v>277</v>
      </c>
      <c r="D912" s="10">
        <v>34862</v>
      </c>
      <c r="E912" t="s">
        <v>33</v>
      </c>
      <c r="F912" t="s">
        <v>33</v>
      </c>
      <c r="G912">
        <v>74</v>
      </c>
      <c r="H912">
        <v>215</v>
      </c>
      <c r="I912">
        <v>2018</v>
      </c>
      <c r="J912" s="4" t="str">
        <f>HYPERLINK("http://legacy.baseballprospectus.com/fantasy/dc/index.php?tm=CLE","CLE")</f>
        <v>CLE</v>
      </c>
      <c r="K912" t="s">
        <v>95</v>
      </c>
      <c r="L912" t="s">
        <v>34</v>
      </c>
      <c r="M912">
        <v>23</v>
      </c>
      <c r="N912">
        <v>6.3</v>
      </c>
      <c r="O912">
        <v>8.1</v>
      </c>
      <c r="P912">
        <v>7.5</v>
      </c>
      <c r="Q912">
        <v>0</v>
      </c>
      <c r="R912">
        <v>0</v>
      </c>
      <c r="S912">
        <v>0</v>
      </c>
      <c r="T912">
        <v>21.8</v>
      </c>
      <c r="U912">
        <v>21.8</v>
      </c>
      <c r="V912" s="9">
        <v>110.33329999999999</v>
      </c>
      <c r="W912">
        <v>484</v>
      </c>
      <c r="X912">
        <v>127</v>
      </c>
      <c r="Y912">
        <v>26</v>
      </c>
      <c r="Z912">
        <v>35</v>
      </c>
      <c r="AA912" t="s">
        <v>1680</v>
      </c>
      <c r="AB912">
        <v>3</v>
      </c>
      <c r="AC912">
        <v>98</v>
      </c>
      <c r="AD912">
        <v>2.9</v>
      </c>
      <c r="AE912">
        <v>8</v>
      </c>
      <c r="AF912" s="5">
        <v>0.46960279345512301</v>
      </c>
      <c r="AG912">
        <v>0.315</v>
      </c>
      <c r="AH912">
        <v>1.47</v>
      </c>
      <c r="AI912">
        <v>5.54</v>
      </c>
      <c r="AJ912">
        <v>5.94</v>
      </c>
      <c r="AK912">
        <v>-2.7</v>
      </c>
      <c r="AL912">
        <v>-0.3</v>
      </c>
      <c r="AM912">
        <v>10</v>
      </c>
      <c r="AN912">
        <v>11</v>
      </c>
      <c r="AO912">
        <v>10</v>
      </c>
      <c r="AP912">
        <v>16</v>
      </c>
      <c r="AQ912" t="s">
        <v>2538</v>
      </c>
      <c r="AR912">
        <v>22</v>
      </c>
      <c r="AS912" t="s">
        <v>36</v>
      </c>
      <c r="AT912" t="s">
        <v>35</v>
      </c>
      <c r="AU912" s="4">
        <f>HYPERLINK("http://mlb.mlb.com/team/player.jsp?player_id=650644",650644)</f>
        <v>650644</v>
      </c>
      <c r="AV912">
        <v>165</v>
      </c>
      <c r="AW912">
        <v>1165</v>
      </c>
      <c r="AX912">
        <v>0</v>
      </c>
    </row>
    <row r="913" spans="1:50" x14ac:dyDescent="0.3">
      <c r="A913" s="4">
        <f>HYPERLINK("http://legacy.baseballprospectus.com/p/107642",107642)</f>
        <v>107642</v>
      </c>
      <c r="B913" t="s">
        <v>584</v>
      </c>
      <c r="C913" t="s">
        <v>182</v>
      </c>
      <c r="D913" s="10">
        <v>34555</v>
      </c>
      <c r="E913" t="s">
        <v>33</v>
      </c>
      <c r="F913" t="s">
        <v>33</v>
      </c>
      <c r="G913">
        <v>79</v>
      </c>
      <c r="H913">
        <v>245</v>
      </c>
      <c r="I913">
        <v>2018</v>
      </c>
      <c r="J913" s="4" t="str">
        <f>HYPERLINK("http://legacy.baseballprospectus.com/fantasy/dc/index.php?tm=TEX","TEX")</f>
        <v>TEX</v>
      </c>
      <c r="K913" t="s">
        <v>95</v>
      </c>
      <c r="L913" t="s">
        <v>34</v>
      </c>
      <c r="M913">
        <v>23</v>
      </c>
      <c r="N913">
        <v>4.8</v>
      </c>
      <c r="O913">
        <v>6.8</v>
      </c>
      <c r="P913">
        <v>5.2</v>
      </c>
      <c r="Q913">
        <v>0</v>
      </c>
      <c r="R913">
        <v>0</v>
      </c>
      <c r="S913">
        <v>0</v>
      </c>
      <c r="T913">
        <v>17.3</v>
      </c>
      <c r="U913">
        <v>17.3</v>
      </c>
      <c r="V913" s="9">
        <v>89.666700000000006</v>
      </c>
      <c r="W913">
        <v>403</v>
      </c>
      <c r="X913">
        <v>99</v>
      </c>
      <c r="Y913">
        <v>22</v>
      </c>
      <c r="Z913">
        <v>39</v>
      </c>
      <c r="AA913" t="s">
        <v>1680</v>
      </c>
      <c r="AB913">
        <v>5</v>
      </c>
      <c r="AC913">
        <v>87</v>
      </c>
      <c r="AD913">
        <v>3.9</v>
      </c>
      <c r="AE913">
        <v>8.8000000000000007</v>
      </c>
      <c r="AF913" s="5">
        <v>0.44454172253608698</v>
      </c>
      <c r="AG913">
        <v>0.311</v>
      </c>
      <c r="AH913">
        <v>1.54</v>
      </c>
      <c r="AI913">
        <v>5.95</v>
      </c>
      <c r="AJ913">
        <v>6.03</v>
      </c>
      <c r="AK913">
        <v>-3</v>
      </c>
      <c r="AL913">
        <v>-0.3</v>
      </c>
      <c r="AM913">
        <v>10</v>
      </c>
      <c r="AN913">
        <v>13</v>
      </c>
      <c r="AO913">
        <v>3</v>
      </c>
      <c r="AP913">
        <v>13</v>
      </c>
      <c r="AQ913" t="s">
        <v>3227</v>
      </c>
      <c r="AR913">
        <v>20</v>
      </c>
      <c r="AS913" t="s">
        <v>36</v>
      </c>
      <c r="AT913" t="s">
        <v>35</v>
      </c>
      <c r="AU913" s="4">
        <f>HYPERLINK("http://mlb.mlb.com/team/player.jsp?player_id=621129",621129)</f>
        <v>621129</v>
      </c>
      <c r="AV913">
        <v>723</v>
      </c>
      <c r="AW913">
        <v>1723</v>
      </c>
      <c r="AX913">
        <v>0</v>
      </c>
    </row>
    <row r="914" spans="1:50" x14ac:dyDescent="0.3">
      <c r="A914" s="4">
        <f>HYPERLINK("http://legacy.baseballprospectus.com/p/109108",109108)</f>
        <v>109108</v>
      </c>
      <c r="B914" t="s">
        <v>171</v>
      </c>
      <c r="C914" t="s">
        <v>2824</v>
      </c>
      <c r="D914" s="10">
        <v>35784</v>
      </c>
      <c r="E914" t="s">
        <v>33</v>
      </c>
      <c r="F914" t="s">
        <v>33</v>
      </c>
      <c r="G914">
        <v>73</v>
      </c>
      <c r="H914">
        <v>225</v>
      </c>
      <c r="I914">
        <v>2018</v>
      </c>
      <c r="J914" s="4" t="str">
        <f>HYPERLINK("http://legacy.baseballprospectus.com/fantasy/dc/index.php?tm=ATL","ATL")</f>
        <v>ATL</v>
      </c>
      <c r="K914" t="s">
        <v>100</v>
      </c>
      <c r="L914" t="s">
        <v>34</v>
      </c>
      <c r="M914">
        <v>20</v>
      </c>
      <c r="N914">
        <v>5.3</v>
      </c>
      <c r="O914">
        <v>7</v>
      </c>
      <c r="P914">
        <v>7.7</v>
      </c>
      <c r="Q914">
        <v>0</v>
      </c>
      <c r="R914">
        <v>0</v>
      </c>
      <c r="S914">
        <v>0</v>
      </c>
      <c r="T914">
        <v>19.5</v>
      </c>
      <c r="U914">
        <v>19.5</v>
      </c>
      <c r="V914" s="9">
        <v>94.666700000000006</v>
      </c>
      <c r="W914">
        <v>403</v>
      </c>
      <c r="X914">
        <v>94</v>
      </c>
      <c r="Y914">
        <v>20</v>
      </c>
      <c r="Z914">
        <v>42</v>
      </c>
      <c r="AA914" t="s">
        <v>1680</v>
      </c>
      <c r="AB914">
        <v>2</v>
      </c>
      <c r="AC914">
        <v>104</v>
      </c>
      <c r="AD914">
        <v>4</v>
      </c>
      <c r="AE914">
        <v>9.8000000000000007</v>
      </c>
      <c r="AF914" s="5">
        <v>0.50355267524719205</v>
      </c>
      <c r="AG914">
        <v>0.317</v>
      </c>
      <c r="AH914">
        <v>1.44</v>
      </c>
      <c r="AI914">
        <v>5.0999999999999996</v>
      </c>
      <c r="AJ914">
        <v>5.89</v>
      </c>
      <c r="AK914">
        <v>-2.7</v>
      </c>
      <c r="AL914">
        <v>-0.3</v>
      </c>
      <c r="AM914">
        <v>5</v>
      </c>
      <c r="AN914">
        <v>8</v>
      </c>
      <c r="AO914">
        <v>1</v>
      </c>
      <c r="AP914">
        <v>6</v>
      </c>
      <c r="AQ914" t="s">
        <v>2825</v>
      </c>
      <c r="AR914">
        <v>9</v>
      </c>
      <c r="AS914" t="s">
        <v>36</v>
      </c>
      <c r="AT914" t="s">
        <v>35</v>
      </c>
      <c r="AU914" s="4">
        <f>HYPERLINK("http://mlb.mlb.com/team/player.jsp?player_id=669060",669060)</f>
        <v>669060</v>
      </c>
      <c r="AV914">
        <v>1709</v>
      </c>
      <c r="AW914">
        <v>709</v>
      </c>
      <c r="AX914">
        <v>0</v>
      </c>
    </row>
    <row r="915" spans="1:50" x14ac:dyDescent="0.3">
      <c r="A915" s="4">
        <f>HYPERLINK("http://legacy.baseballprospectus.com/p/109159",109159)</f>
        <v>109159</v>
      </c>
      <c r="B915" t="s">
        <v>124</v>
      </c>
      <c r="C915" t="s">
        <v>2215</v>
      </c>
      <c r="D915" s="10">
        <v>34636</v>
      </c>
      <c r="E915" t="s">
        <v>33</v>
      </c>
      <c r="F915" t="s">
        <v>33</v>
      </c>
      <c r="G915">
        <v>76</v>
      </c>
      <c r="H915">
        <v>225</v>
      </c>
      <c r="I915">
        <v>2018</v>
      </c>
      <c r="J915" s="4" t="str">
        <f>HYPERLINK("http://legacy.baseballprospectus.com/fantasy/dc/index.php?tm=SFN","SFN")</f>
        <v>SFN</v>
      </c>
      <c r="K915" t="s">
        <v>100</v>
      </c>
      <c r="L915" t="s">
        <v>34</v>
      </c>
      <c r="M915">
        <v>23</v>
      </c>
      <c r="N915">
        <v>4.8</v>
      </c>
      <c r="O915">
        <v>5.9</v>
      </c>
      <c r="P915">
        <v>7.1</v>
      </c>
      <c r="Q915">
        <v>0</v>
      </c>
      <c r="R915">
        <v>0</v>
      </c>
      <c r="S915">
        <v>0</v>
      </c>
      <c r="T915">
        <v>16.5</v>
      </c>
      <c r="U915">
        <v>16.5</v>
      </c>
      <c r="V915" s="9">
        <v>85</v>
      </c>
      <c r="W915">
        <v>358</v>
      </c>
      <c r="X915">
        <v>88</v>
      </c>
      <c r="Y915">
        <v>16</v>
      </c>
      <c r="Z915">
        <v>29</v>
      </c>
      <c r="AA915" t="s">
        <v>1680</v>
      </c>
      <c r="AB915">
        <v>3</v>
      </c>
      <c r="AC915">
        <v>80</v>
      </c>
      <c r="AD915">
        <v>3.1</v>
      </c>
      <c r="AE915">
        <v>8.5</v>
      </c>
      <c r="AF915" s="5">
        <v>0.43203648924827498</v>
      </c>
      <c r="AG915">
        <v>0.315</v>
      </c>
      <c r="AH915">
        <v>1.38</v>
      </c>
      <c r="AI915">
        <v>4.8600000000000003</v>
      </c>
      <c r="AJ915">
        <v>5.9</v>
      </c>
      <c r="AK915">
        <v>-2.5</v>
      </c>
      <c r="AL915">
        <v>-0.3</v>
      </c>
      <c r="AM915">
        <v>4</v>
      </c>
      <c r="AN915">
        <v>6</v>
      </c>
      <c r="AO915">
        <v>7</v>
      </c>
      <c r="AP915">
        <v>13</v>
      </c>
      <c r="AQ915" t="s">
        <v>2827</v>
      </c>
      <c r="AR915">
        <v>17</v>
      </c>
      <c r="AS915" t="s">
        <v>36</v>
      </c>
      <c r="AT915" t="s">
        <v>35</v>
      </c>
      <c r="AU915" s="4">
        <f>HYPERLINK("http://mlb.mlb.com/team/player.jsp?player_id=641312",641312)</f>
        <v>641312</v>
      </c>
      <c r="AV915">
        <v>1217</v>
      </c>
      <c r="AW915">
        <v>217</v>
      </c>
      <c r="AX915">
        <v>0</v>
      </c>
    </row>
    <row r="916" spans="1:50" x14ac:dyDescent="0.3">
      <c r="A916" s="4">
        <f>HYPERLINK("http://legacy.baseballprospectus.com/p/109381",109381)</f>
        <v>109381</v>
      </c>
      <c r="B916" t="s">
        <v>144</v>
      </c>
      <c r="C916" t="s">
        <v>3232</v>
      </c>
      <c r="D916" s="10">
        <v>35085</v>
      </c>
      <c r="E916" t="s">
        <v>33</v>
      </c>
      <c r="F916" t="s">
        <v>33</v>
      </c>
      <c r="G916">
        <v>80</v>
      </c>
      <c r="H916">
        <v>220</v>
      </c>
      <c r="I916">
        <v>2018</v>
      </c>
      <c r="J916" s="4" t="str">
        <f>HYPERLINK("http://legacy.baseballprospectus.com/fantasy/dc/index.php?tm=SDN","SDN")</f>
        <v>SDN</v>
      </c>
      <c r="K916" t="s">
        <v>100</v>
      </c>
      <c r="L916" t="s">
        <v>34</v>
      </c>
      <c r="M916">
        <v>22</v>
      </c>
      <c r="N916">
        <v>2</v>
      </c>
      <c r="O916">
        <v>3.2</v>
      </c>
      <c r="P916">
        <v>2.8</v>
      </c>
      <c r="Q916">
        <v>0</v>
      </c>
      <c r="R916">
        <v>0</v>
      </c>
      <c r="S916">
        <v>0</v>
      </c>
      <c r="T916">
        <v>7.5</v>
      </c>
      <c r="U916">
        <v>7.5</v>
      </c>
      <c r="V916" s="9">
        <v>42.333300000000001</v>
      </c>
      <c r="W916">
        <v>172</v>
      </c>
      <c r="X916">
        <v>40</v>
      </c>
      <c r="Y916">
        <v>13</v>
      </c>
      <c r="Z916">
        <v>13</v>
      </c>
      <c r="AA916" t="s">
        <v>1680</v>
      </c>
      <c r="AB916">
        <v>1</v>
      </c>
      <c r="AC916">
        <v>57</v>
      </c>
      <c r="AD916">
        <v>2.7</v>
      </c>
      <c r="AE916">
        <v>12.2</v>
      </c>
      <c r="AF916" s="5">
        <v>0.35201838612556402</v>
      </c>
      <c r="AG916">
        <v>0.314</v>
      </c>
      <c r="AH916">
        <v>1.26</v>
      </c>
      <c r="AI916">
        <v>5.38</v>
      </c>
      <c r="AJ916">
        <v>6.24</v>
      </c>
      <c r="AK916">
        <v>-2.7</v>
      </c>
      <c r="AL916">
        <v>-0.3</v>
      </c>
      <c r="AM916">
        <v>19</v>
      </c>
      <c r="AN916">
        <v>31</v>
      </c>
      <c r="AO916">
        <v>2</v>
      </c>
      <c r="AP916">
        <v>15</v>
      </c>
      <c r="AQ916" t="s">
        <v>3233</v>
      </c>
      <c r="AR916">
        <v>37</v>
      </c>
      <c r="AS916" t="s">
        <v>36</v>
      </c>
      <c r="AT916" t="s">
        <v>35</v>
      </c>
      <c r="AU916" s="4">
        <f>HYPERLINK("http://mlb.mlb.com/team/player.jsp?player_id=673258",673258)</f>
        <v>673258</v>
      </c>
      <c r="AV916">
        <v>1212</v>
      </c>
      <c r="AW916">
        <v>212</v>
      </c>
      <c r="AX916">
        <v>0</v>
      </c>
    </row>
    <row r="917" spans="1:50" x14ac:dyDescent="0.3">
      <c r="A917" s="4">
        <f>HYPERLINK("http://legacy.baseballprospectus.com/p/111095",111095)</f>
        <v>111095</v>
      </c>
      <c r="B917" t="s">
        <v>1752</v>
      </c>
      <c r="C917" t="s">
        <v>224</v>
      </c>
      <c r="D917" s="10">
        <v>35109</v>
      </c>
      <c r="E917" t="s">
        <v>9</v>
      </c>
      <c r="F917" t="s">
        <v>9</v>
      </c>
      <c r="G917">
        <v>76</v>
      </c>
      <c r="H917">
        <v>215</v>
      </c>
      <c r="I917">
        <v>2018</v>
      </c>
      <c r="J917" s="4" t="str">
        <f>HYPERLINK("http://legacy.baseballprospectus.com/fantasy/dc/index.php?tm=BAL","BAL")</f>
        <v>BAL</v>
      </c>
      <c r="K917" t="s">
        <v>95</v>
      </c>
      <c r="L917" t="s">
        <v>34</v>
      </c>
      <c r="M917">
        <v>22</v>
      </c>
      <c r="N917">
        <v>1.6</v>
      </c>
      <c r="O917">
        <v>2.9</v>
      </c>
      <c r="P917">
        <v>1.9</v>
      </c>
      <c r="Q917">
        <v>0</v>
      </c>
      <c r="R917">
        <v>0</v>
      </c>
      <c r="S917">
        <v>0</v>
      </c>
      <c r="T917">
        <v>7.3</v>
      </c>
      <c r="U917">
        <v>7.3</v>
      </c>
      <c r="V917" s="9">
        <v>32.666699999999999</v>
      </c>
      <c r="W917">
        <v>150</v>
      </c>
      <c r="X917">
        <v>37</v>
      </c>
      <c r="Y917">
        <v>8</v>
      </c>
      <c r="Z917">
        <v>17</v>
      </c>
      <c r="AA917" t="s">
        <v>1680</v>
      </c>
      <c r="AB917">
        <v>2</v>
      </c>
      <c r="AC917">
        <v>32</v>
      </c>
      <c r="AD917">
        <v>4.8</v>
      </c>
      <c r="AE917">
        <v>8.9</v>
      </c>
      <c r="AF917" s="5">
        <v>0.42311900854110701</v>
      </c>
      <c r="AG917">
        <v>0.314</v>
      </c>
      <c r="AH917">
        <v>1.66</v>
      </c>
      <c r="AI917">
        <v>6.42</v>
      </c>
      <c r="AJ917">
        <v>6.54</v>
      </c>
      <c r="AK917">
        <v>-2.8</v>
      </c>
      <c r="AL917">
        <v>-0.3</v>
      </c>
      <c r="AM917">
        <v>0</v>
      </c>
      <c r="AN917">
        <v>1</v>
      </c>
      <c r="AO917">
        <v>0</v>
      </c>
      <c r="AP917">
        <v>0</v>
      </c>
      <c r="AQ917" t="s">
        <v>3369</v>
      </c>
      <c r="AR917">
        <v>1</v>
      </c>
      <c r="AS917" t="s">
        <v>36</v>
      </c>
      <c r="AT917" t="s">
        <v>35</v>
      </c>
      <c r="AU917" s="4">
        <f>HYPERLINK("http://mlb.mlb.com/team/player.jsp?player_id=656235",656235)</f>
        <v>656235</v>
      </c>
      <c r="AV917">
        <v>0</v>
      </c>
      <c r="AW917">
        <v>0</v>
      </c>
      <c r="AX917">
        <v>0</v>
      </c>
    </row>
    <row r="918" spans="1:50" x14ac:dyDescent="0.3">
      <c r="A918" s="4">
        <f>HYPERLINK("http://legacy.baseballprospectus.com/p/111164",111164)</f>
        <v>111164</v>
      </c>
      <c r="B918" t="s">
        <v>3370</v>
      </c>
      <c r="C918" t="s">
        <v>141</v>
      </c>
      <c r="D918" s="10">
        <v>34974</v>
      </c>
      <c r="E918" t="s">
        <v>33</v>
      </c>
      <c r="F918" t="s">
        <v>33</v>
      </c>
      <c r="G918">
        <v>75</v>
      </c>
      <c r="H918">
        <v>197</v>
      </c>
      <c r="I918">
        <v>2018</v>
      </c>
      <c r="J918" s="4" t="str">
        <f>HYPERLINK("http://legacy.baseballprospectus.com/fantasy/dc/index.php?tm=CHN","CHN")</f>
        <v>CHN</v>
      </c>
      <c r="K918" t="s">
        <v>100</v>
      </c>
      <c r="L918" t="s">
        <v>34</v>
      </c>
      <c r="M918">
        <v>22</v>
      </c>
      <c r="N918">
        <v>2.1</v>
      </c>
      <c r="O918">
        <v>2.7</v>
      </c>
      <c r="P918">
        <v>2.7</v>
      </c>
      <c r="Q918">
        <v>0</v>
      </c>
      <c r="R918">
        <v>0</v>
      </c>
      <c r="S918">
        <v>0</v>
      </c>
      <c r="T918">
        <v>8.3000000000000007</v>
      </c>
      <c r="U918">
        <v>8.3000000000000007</v>
      </c>
      <c r="V918" s="9">
        <v>34.666699999999999</v>
      </c>
      <c r="W918">
        <v>150</v>
      </c>
      <c r="X918">
        <v>37</v>
      </c>
      <c r="Y918">
        <v>8</v>
      </c>
      <c r="Z918">
        <v>15</v>
      </c>
      <c r="AA918" t="s">
        <v>1680</v>
      </c>
      <c r="AB918">
        <v>2</v>
      </c>
      <c r="AC918">
        <v>35</v>
      </c>
      <c r="AD918">
        <v>3.9</v>
      </c>
      <c r="AE918">
        <v>9.1999999999999993</v>
      </c>
      <c r="AF918" s="5">
        <v>0.37322756648063599</v>
      </c>
      <c r="AG918">
        <v>0.32</v>
      </c>
      <c r="AH918">
        <v>1.5</v>
      </c>
      <c r="AI918">
        <v>5.77</v>
      </c>
      <c r="AJ918">
        <v>6.37</v>
      </c>
      <c r="AK918">
        <v>-2.7</v>
      </c>
      <c r="AL918">
        <v>-0.3</v>
      </c>
      <c r="AM918">
        <v>2</v>
      </c>
      <c r="AN918">
        <v>2</v>
      </c>
      <c r="AO918">
        <v>0</v>
      </c>
      <c r="AP918">
        <v>2</v>
      </c>
      <c r="AQ918" t="s">
        <v>3371</v>
      </c>
      <c r="AR918">
        <v>2</v>
      </c>
      <c r="AS918" t="s">
        <v>36</v>
      </c>
      <c r="AT918" t="s">
        <v>35</v>
      </c>
      <c r="AU918" s="4">
        <f>HYPERLINK("http://mlb.mlb.com/team/player.jsp?player_id=656638",656638)</f>
        <v>656638</v>
      </c>
      <c r="AV918">
        <v>1170</v>
      </c>
      <c r="AW918">
        <v>170</v>
      </c>
      <c r="AX918">
        <v>0</v>
      </c>
    </row>
    <row r="919" spans="1:50" x14ac:dyDescent="0.3">
      <c r="A919" s="4">
        <f>HYPERLINK("http://legacy.baseballprospectus.com/p/47476",47476)</f>
        <v>47476</v>
      </c>
      <c r="B919" t="s">
        <v>380</v>
      </c>
      <c r="C919" t="s">
        <v>218</v>
      </c>
      <c r="D919" s="10">
        <v>30829</v>
      </c>
      <c r="E919" t="s">
        <v>33</v>
      </c>
      <c r="F919" t="s">
        <v>33</v>
      </c>
      <c r="G919">
        <v>73</v>
      </c>
      <c r="H919">
        <v>170</v>
      </c>
      <c r="I919">
        <v>2018</v>
      </c>
      <c r="J919" s="4" t="str">
        <f>HYPERLINK("http://legacy.baseballprospectus.com/fantasy/dc/index.php?tm=CHA","CHA")</f>
        <v>CHA</v>
      </c>
      <c r="K919" t="s">
        <v>95</v>
      </c>
      <c r="L919" t="s">
        <v>34</v>
      </c>
      <c r="M919">
        <v>34</v>
      </c>
      <c r="N919">
        <v>6.8</v>
      </c>
      <c r="O919">
        <v>10.3</v>
      </c>
      <c r="P919">
        <v>8</v>
      </c>
      <c r="Q919">
        <v>0</v>
      </c>
      <c r="R919">
        <v>0</v>
      </c>
      <c r="S919">
        <v>0</v>
      </c>
      <c r="T919">
        <v>24</v>
      </c>
      <c r="U919">
        <v>24</v>
      </c>
      <c r="V919" s="9">
        <v>136.66669999999999</v>
      </c>
      <c r="W919">
        <v>607</v>
      </c>
      <c r="X919">
        <v>149</v>
      </c>
      <c r="Y919">
        <v>27</v>
      </c>
      <c r="Z919">
        <v>53</v>
      </c>
      <c r="AA919">
        <v>3</v>
      </c>
      <c r="AB919">
        <v>8</v>
      </c>
      <c r="AC919">
        <v>99</v>
      </c>
      <c r="AD919">
        <v>3.5</v>
      </c>
      <c r="AE919">
        <v>6.5</v>
      </c>
      <c r="AF919" s="5">
        <v>0.41</v>
      </c>
      <c r="AG919">
        <v>0.28999999999999998</v>
      </c>
      <c r="AH919">
        <v>1.47</v>
      </c>
      <c r="AI919">
        <v>5.42</v>
      </c>
      <c r="AJ919">
        <v>5.78</v>
      </c>
      <c r="AK919">
        <v>-3.5</v>
      </c>
      <c r="AL919">
        <v>-0.4</v>
      </c>
      <c r="AM919">
        <v>11</v>
      </c>
      <c r="AN919">
        <v>46</v>
      </c>
      <c r="AO919">
        <v>18</v>
      </c>
      <c r="AP919">
        <v>12</v>
      </c>
      <c r="AQ919" t="s">
        <v>2614</v>
      </c>
      <c r="AR919">
        <v>89</v>
      </c>
      <c r="AS919" t="s">
        <v>35</v>
      </c>
      <c r="AT919" t="s">
        <v>36</v>
      </c>
      <c r="AU919" s="4">
        <f>HYPERLINK("http://mlb.mlb.com/team/player.jsp?player_id=456068",456068)</f>
        <v>456068</v>
      </c>
      <c r="AV919">
        <v>26</v>
      </c>
      <c r="AW919">
        <v>1026</v>
      </c>
      <c r="AX919">
        <v>156</v>
      </c>
    </row>
    <row r="920" spans="1:50" x14ac:dyDescent="0.3">
      <c r="A920" s="4">
        <f>HYPERLINK("http://legacy.baseballprospectus.com/p/56533",56533)</f>
        <v>56533</v>
      </c>
      <c r="B920" t="s">
        <v>847</v>
      </c>
      <c r="C920" t="s">
        <v>741</v>
      </c>
      <c r="D920" s="10">
        <v>30798</v>
      </c>
      <c r="E920" t="s">
        <v>33</v>
      </c>
      <c r="F920" t="s">
        <v>33</v>
      </c>
      <c r="G920">
        <v>74</v>
      </c>
      <c r="H920">
        <v>230</v>
      </c>
      <c r="I920">
        <v>2018</v>
      </c>
      <c r="J920" s="4" t="str">
        <f>HYPERLINK("http://legacy.baseballprospectus.com/fantasy/dc/index.php?tm=WAS","WAS")</f>
        <v>WAS</v>
      </c>
      <c r="K920" t="s">
        <v>100</v>
      </c>
      <c r="L920" t="s">
        <v>34</v>
      </c>
      <c r="M920">
        <v>34</v>
      </c>
      <c r="N920">
        <v>2.7</v>
      </c>
      <c r="O920">
        <v>2.8</v>
      </c>
      <c r="P920">
        <v>0</v>
      </c>
      <c r="Q920">
        <v>0</v>
      </c>
      <c r="R920">
        <v>0</v>
      </c>
      <c r="S920">
        <v>1</v>
      </c>
      <c r="T920">
        <v>54</v>
      </c>
      <c r="U920">
        <v>0</v>
      </c>
      <c r="V920" s="9">
        <v>57.333300000000001</v>
      </c>
      <c r="W920">
        <v>257</v>
      </c>
      <c r="X920">
        <v>60</v>
      </c>
      <c r="Y920">
        <v>12</v>
      </c>
      <c r="Z920">
        <v>25</v>
      </c>
      <c r="AA920">
        <v>3</v>
      </c>
      <c r="AB920">
        <v>2</v>
      </c>
      <c r="AC920">
        <v>59</v>
      </c>
      <c r="AD920">
        <v>4</v>
      </c>
      <c r="AE920">
        <v>9.3000000000000007</v>
      </c>
      <c r="AF920" s="5">
        <v>0.38900000000000001</v>
      </c>
      <c r="AG920">
        <v>0.30099999999999999</v>
      </c>
      <c r="AH920">
        <v>1.49</v>
      </c>
      <c r="AI920">
        <v>5.57</v>
      </c>
      <c r="AJ920">
        <v>5.59</v>
      </c>
      <c r="AK920">
        <v>-3.5</v>
      </c>
      <c r="AL920">
        <v>-0.4</v>
      </c>
      <c r="AM920">
        <v>19</v>
      </c>
      <c r="AN920">
        <v>38</v>
      </c>
      <c r="AO920">
        <v>23</v>
      </c>
      <c r="AP920">
        <v>11</v>
      </c>
      <c r="AQ920" t="s">
        <v>3440</v>
      </c>
      <c r="AR920">
        <v>85</v>
      </c>
      <c r="AS920" t="s">
        <v>35</v>
      </c>
      <c r="AT920" t="s">
        <v>36</v>
      </c>
      <c r="AU920" s="4">
        <f>HYPERLINK("http://mlb.mlb.com/team/player.jsp?player_id=518875",518875)</f>
        <v>518875</v>
      </c>
      <c r="AV920">
        <v>1319</v>
      </c>
      <c r="AW920">
        <v>319</v>
      </c>
      <c r="AX920">
        <v>26</v>
      </c>
    </row>
    <row r="921" spans="1:50" x14ac:dyDescent="0.3">
      <c r="A921" s="4">
        <f>HYPERLINK("http://legacy.baseballprospectus.com/p/46483",46483)</f>
        <v>46483</v>
      </c>
      <c r="B921" t="s">
        <v>3159</v>
      </c>
      <c r="C921" t="s">
        <v>2230</v>
      </c>
      <c r="D921" s="10">
        <v>30812</v>
      </c>
      <c r="E921" t="s">
        <v>33</v>
      </c>
      <c r="F921" t="s">
        <v>33</v>
      </c>
      <c r="G921">
        <v>75</v>
      </c>
      <c r="H921">
        <v>220</v>
      </c>
      <c r="I921">
        <v>2018</v>
      </c>
      <c r="J921" s="4" t="str">
        <f>HYPERLINK("http://legacy.baseballprospectus.com/fantasy/dc/index.php?tm=DET","DET")</f>
        <v>DET</v>
      </c>
      <c r="K921" t="s">
        <v>95</v>
      </c>
      <c r="L921" t="s">
        <v>34</v>
      </c>
      <c r="M921">
        <v>34</v>
      </c>
      <c r="N921">
        <v>2.1</v>
      </c>
      <c r="O921">
        <v>0.6</v>
      </c>
      <c r="P921">
        <v>0</v>
      </c>
      <c r="Q921">
        <v>0</v>
      </c>
      <c r="R921">
        <v>0.5</v>
      </c>
      <c r="S921">
        <v>0</v>
      </c>
      <c r="T921">
        <v>45.7</v>
      </c>
      <c r="U921">
        <v>0</v>
      </c>
      <c r="V921" s="9">
        <v>48.333300000000001</v>
      </c>
      <c r="W921">
        <v>222</v>
      </c>
      <c r="X921">
        <v>60</v>
      </c>
      <c r="Y921">
        <v>11</v>
      </c>
      <c r="Z921">
        <v>18</v>
      </c>
      <c r="AA921" t="s">
        <v>1680</v>
      </c>
      <c r="AB921">
        <v>2</v>
      </c>
      <c r="AC921">
        <v>35</v>
      </c>
      <c r="AD921">
        <v>3.4</v>
      </c>
      <c r="AE921">
        <v>6.5</v>
      </c>
      <c r="AF921" s="5">
        <v>0.424812972545623</v>
      </c>
      <c r="AG921">
        <v>0.316</v>
      </c>
      <c r="AH921">
        <v>1.62</v>
      </c>
      <c r="AI921">
        <v>6.05</v>
      </c>
      <c r="AJ921">
        <v>6.13</v>
      </c>
      <c r="AK921">
        <v>-4.0999999999999996</v>
      </c>
      <c r="AL921">
        <v>-0.4</v>
      </c>
      <c r="AM921">
        <v>23</v>
      </c>
      <c r="AN921">
        <v>31</v>
      </c>
      <c r="AO921">
        <v>14</v>
      </c>
      <c r="AP921">
        <v>10</v>
      </c>
      <c r="AQ921" t="s">
        <v>3160</v>
      </c>
      <c r="AR921">
        <v>57</v>
      </c>
      <c r="AS921" t="s">
        <v>36</v>
      </c>
      <c r="AT921" t="s">
        <v>36</v>
      </c>
      <c r="AU921" s="4">
        <f>HYPERLINK("http://mlb.mlb.com/team/player.jsp?player_id=465629",465629)</f>
        <v>465629</v>
      </c>
      <c r="AV921">
        <v>0</v>
      </c>
      <c r="AW921">
        <v>0</v>
      </c>
      <c r="AX921">
        <v>6.3</v>
      </c>
    </row>
    <row r="922" spans="1:50" x14ac:dyDescent="0.3">
      <c r="A922" s="4">
        <f>HYPERLINK("http://legacy.baseballprospectus.com/p/50215",50215)</f>
        <v>50215</v>
      </c>
      <c r="B922" t="s">
        <v>1149</v>
      </c>
      <c r="C922" t="s">
        <v>177</v>
      </c>
      <c r="D922" s="10">
        <v>30610</v>
      </c>
      <c r="E922" t="s">
        <v>33</v>
      </c>
      <c r="F922" t="s">
        <v>33</v>
      </c>
      <c r="G922">
        <v>74</v>
      </c>
      <c r="H922">
        <v>210</v>
      </c>
      <c r="I922">
        <v>2018</v>
      </c>
      <c r="J922" s="4" t="str">
        <f>HYPERLINK("http://legacy.baseballprospectus.com/fantasy/dc/index.php?tm=PHI","PHI")</f>
        <v>PHI</v>
      </c>
      <c r="K922" t="s">
        <v>100</v>
      </c>
      <c r="L922" t="s">
        <v>34</v>
      </c>
      <c r="M922">
        <v>34</v>
      </c>
      <c r="N922">
        <v>1.5</v>
      </c>
      <c r="O922">
        <v>0.5</v>
      </c>
      <c r="P922">
        <v>0</v>
      </c>
      <c r="Q922">
        <v>0</v>
      </c>
      <c r="R922">
        <v>0.1</v>
      </c>
      <c r="S922">
        <v>0</v>
      </c>
      <c r="T922">
        <v>32.700000000000003</v>
      </c>
      <c r="U922">
        <v>0</v>
      </c>
      <c r="V922" s="9">
        <v>34.666699999999999</v>
      </c>
      <c r="W922">
        <v>150</v>
      </c>
      <c r="X922">
        <v>38</v>
      </c>
      <c r="Y922">
        <v>7</v>
      </c>
      <c r="Z922">
        <v>14</v>
      </c>
      <c r="AA922" t="s">
        <v>1680</v>
      </c>
      <c r="AB922">
        <v>1</v>
      </c>
      <c r="AC922">
        <v>29</v>
      </c>
      <c r="AD922">
        <v>3.7</v>
      </c>
      <c r="AE922">
        <v>7.5</v>
      </c>
      <c r="AF922" s="5">
        <v>0.40834227204322798</v>
      </c>
      <c r="AG922">
        <v>0.307</v>
      </c>
      <c r="AH922">
        <v>1.5</v>
      </c>
      <c r="AI922">
        <v>5.59</v>
      </c>
      <c r="AJ922">
        <v>6.22</v>
      </c>
      <c r="AK922">
        <v>-3.5</v>
      </c>
      <c r="AL922">
        <v>-0.4</v>
      </c>
      <c r="AM922">
        <v>23</v>
      </c>
      <c r="AN922">
        <v>37</v>
      </c>
      <c r="AO922">
        <v>25</v>
      </c>
      <c r="AP922">
        <v>14</v>
      </c>
      <c r="AQ922" t="s">
        <v>3374</v>
      </c>
      <c r="AR922">
        <v>75</v>
      </c>
      <c r="AS922" t="s">
        <v>36</v>
      </c>
      <c r="AT922" t="s">
        <v>36</v>
      </c>
      <c r="AU922" s="4">
        <f>HYPERLINK("http://mlb.mlb.com/team/player.jsp?player_id=502272",502272)</f>
        <v>502272</v>
      </c>
      <c r="AV922">
        <v>0</v>
      </c>
      <c r="AW922">
        <v>0</v>
      </c>
      <c r="AX922">
        <v>12</v>
      </c>
    </row>
    <row r="923" spans="1:50" x14ac:dyDescent="0.3">
      <c r="A923" s="4">
        <f>HYPERLINK("http://legacy.baseballprospectus.com/p/59663",59663)</f>
        <v>59663</v>
      </c>
      <c r="B923" t="s">
        <v>3263</v>
      </c>
      <c r="C923" t="s">
        <v>103</v>
      </c>
      <c r="D923" s="10">
        <v>33438</v>
      </c>
      <c r="E923" t="s">
        <v>33</v>
      </c>
      <c r="F923" t="s">
        <v>9</v>
      </c>
      <c r="G923">
        <v>75</v>
      </c>
      <c r="H923">
        <v>245</v>
      </c>
      <c r="I923">
        <v>2018</v>
      </c>
      <c r="J923" s="4" t="str">
        <f>HYPERLINK("http://legacy.baseballprospectus.com/fantasy/dc/index.php?tm=BAL","BAL")</f>
        <v>BAL</v>
      </c>
      <c r="K923" t="s">
        <v>95</v>
      </c>
      <c r="L923" t="s">
        <v>34</v>
      </c>
      <c r="M923">
        <v>26</v>
      </c>
      <c r="N923">
        <v>4.2</v>
      </c>
      <c r="O923">
        <v>6.3</v>
      </c>
      <c r="P923">
        <v>4.4000000000000004</v>
      </c>
      <c r="Q923">
        <v>0</v>
      </c>
      <c r="R923">
        <v>0.1</v>
      </c>
      <c r="S923">
        <v>0</v>
      </c>
      <c r="T923">
        <v>23.8</v>
      </c>
      <c r="U923">
        <v>14.3</v>
      </c>
      <c r="V923" s="9">
        <v>87.666700000000006</v>
      </c>
      <c r="W923">
        <v>391</v>
      </c>
      <c r="X923">
        <v>94</v>
      </c>
      <c r="Y923">
        <v>17</v>
      </c>
      <c r="Z923">
        <v>37</v>
      </c>
      <c r="AA923" t="s">
        <v>1680</v>
      </c>
      <c r="AB923">
        <v>5</v>
      </c>
      <c r="AC923">
        <v>64</v>
      </c>
      <c r="AD923">
        <v>3.8</v>
      </c>
      <c r="AE923">
        <v>6.6</v>
      </c>
      <c r="AF923" s="5">
        <v>0.45415803790092402</v>
      </c>
      <c r="AG923">
        <v>0.28599999999999998</v>
      </c>
      <c r="AH923">
        <v>1.49</v>
      </c>
      <c r="AI923">
        <v>5.83</v>
      </c>
      <c r="AJ923">
        <v>6.05</v>
      </c>
      <c r="AK923">
        <v>-3.9</v>
      </c>
      <c r="AL923">
        <v>-0.4</v>
      </c>
      <c r="AM923">
        <v>29</v>
      </c>
      <c r="AN923">
        <v>46</v>
      </c>
      <c r="AO923">
        <v>15</v>
      </c>
      <c r="AP923">
        <v>33</v>
      </c>
      <c r="AQ923" t="s">
        <v>3264</v>
      </c>
      <c r="AR923">
        <v>67</v>
      </c>
      <c r="AS923" t="s">
        <v>36</v>
      </c>
      <c r="AT923" t="s">
        <v>36</v>
      </c>
      <c r="AU923" s="4">
        <f>HYPERLINK("http://mlb.mlb.com/team/player.jsp?player_id=571787",571787)</f>
        <v>571787</v>
      </c>
      <c r="AV923">
        <v>0</v>
      </c>
      <c r="AW923">
        <v>0</v>
      </c>
      <c r="AX923">
        <v>57.7</v>
      </c>
    </row>
    <row r="924" spans="1:50" x14ac:dyDescent="0.3">
      <c r="A924" s="4">
        <f>HYPERLINK("http://legacy.baseballprospectus.com/p/65945",65945)</f>
        <v>65945</v>
      </c>
      <c r="B924" t="s">
        <v>2038</v>
      </c>
      <c r="C924" t="s">
        <v>159</v>
      </c>
      <c r="D924" s="10">
        <v>32094</v>
      </c>
      <c r="E924" t="s">
        <v>33</v>
      </c>
      <c r="F924" t="s">
        <v>33</v>
      </c>
      <c r="G924">
        <v>77</v>
      </c>
      <c r="H924">
        <v>225</v>
      </c>
      <c r="I924">
        <v>2018</v>
      </c>
      <c r="J924" s="4" t="str">
        <f>HYPERLINK("http://legacy.baseballprospectus.com/fantasy/dc/index.php?tm=CIN","CIN")</f>
        <v>CIN</v>
      </c>
      <c r="K924" t="s">
        <v>100</v>
      </c>
      <c r="L924" t="s">
        <v>34</v>
      </c>
      <c r="M924">
        <v>30</v>
      </c>
      <c r="N924">
        <v>5.9</v>
      </c>
      <c r="O924">
        <v>6.5</v>
      </c>
      <c r="P924">
        <v>6.1</v>
      </c>
      <c r="Q924">
        <v>0</v>
      </c>
      <c r="R924">
        <v>0.1</v>
      </c>
      <c r="S924">
        <v>0</v>
      </c>
      <c r="T924">
        <v>31.6</v>
      </c>
      <c r="U924">
        <v>16.600000000000001</v>
      </c>
      <c r="V924" s="9">
        <v>106.33329999999999</v>
      </c>
      <c r="W924">
        <v>450</v>
      </c>
      <c r="X924">
        <v>108</v>
      </c>
      <c r="Y924">
        <v>21</v>
      </c>
      <c r="Z924">
        <v>43</v>
      </c>
      <c r="AA924" t="s">
        <v>1680</v>
      </c>
      <c r="AB924">
        <v>6</v>
      </c>
      <c r="AC924">
        <v>91</v>
      </c>
      <c r="AD924">
        <v>3.7</v>
      </c>
      <c r="AE924">
        <v>7.7</v>
      </c>
      <c r="AF924" s="5">
        <v>0.41430607438087402</v>
      </c>
      <c r="AG924">
        <v>0.29899999999999999</v>
      </c>
      <c r="AH924">
        <v>1.42</v>
      </c>
      <c r="AI924">
        <v>5.45</v>
      </c>
      <c r="AJ924">
        <v>5.87</v>
      </c>
      <c r="AK924">
        <v>-4</v>
      </c>
      <c r="AL924">
        <v>-0.4</v>
      </c>
      <c r="AM924">
        <v>13</v>
      </c>
      <c r="AN924">
        <v>18</v>
      </c>
      <c r="AO924">
        <v>20</v>
      </c>
      <c r="AP924">
        <v>21</v>
      </c>
      <c r="AQ924" t="s">
        <v>3379</v>
      </c>
      <c r="AR924">
        <v>43</v>
      </c>
      <c r="AS924" t="s">
        <v>36</v>
      </c>
      <c r="AT924" t="s">
        <v>36</v>
      </c>
      <c r="AU924" s="4">
        <f>HYPERLINK("http://mlb.mlb.com/team/player.jsp?player_id=534947",534947)</f>
        <v>534947</v>
      </c>
      <c r="AV924">
        <v>0</v>
      </c>
      <c r="AW924">
        <v>0</v>
      </c>
      <c r="AX924">
        <v>122.3</v>
      </c>
    </row>
    <row r="925" spans="1:50" x14ac:dyDescent="0.3">
      <c r="A925" s="4">
        <f>HYPERLINK("http://legacy.baseballprospectus.com/p/70416",70416)</f>
        <v>70416</v>
      </c>
      <c r="B925" t="s">
        <v>488</v>
      </c>
      <c r="C925" t="s">
        <v>180</v>
      </c>
      <c r="D925" s="10">
        <v>34081</v>
      </c>
      <c r="E925" t="s">
        <v>33</v>
      </c>
      <c r="F925" t="s">
        <v>33</v>
      </c>
      <c r="G925">
        <v>72</v>
      </c>
      <c r="H925">
        <v>175</v>
      </c>
      <c r="I925">
        <v>2018</v>
      </c>
      <c r="J925" s="4" t="str">
        <f>HYPERLINK("http://legacy.baseballprospectus.com/fantasy/dc/index.php?tm=KCA","KCA")</f>
        <v>KCA</v>
      </c>
      <c r="K925" t="s">
        <v>95</v>
      </c>
      <c r="L925" t="s">
        <v>34</v>
      </c>
      <c r="M925">
        <v>25</v>
      </c>
      <c r="N925">
        <v>1</v>
      </c>
      <c r="O925">
        <v>1.5</v>
      </c>
      <c r="P925">
        <v>0</v>
      </c>
      <c r="Q925">
        <v>0</v>
      </c>
      <c r="R925">
        <v>0</v>
      </c>
      <c r="S925">
        <v>1</v>
      </c>
      <c r="T925">
        <v>24</v>
      </c>
      <c r="U925">
        <v>0</v>
      </c>
      <c r="V925" s="9">
        <v>26</v>
      </c>
      <c r="W925">
        <v>118</v>
      </c>
      <c r="X925">
        <v>29</v>
      </c>
      <c r="Y925">
        <v>7</v>
      </c>
      <c r="Z925">
        <v>11</v>
      </c>
      <c r="AA925">
        <v>1</v>
      </c>
      <c r="AB925">
        <v>1</v>
      </c>
      <c r="AC925">
        <v>25</v>
      </c>
      <c r="AD925">
        <v>3.8</v>
      </c>
      <c r="AE925">
        <v>8.6</v>
      </c>
      <c r="AF925" s="5">
        <v>0.44</v>
      </c>
      <c r="AG925">
        <v>0.30099999999999999</v>
      </c>
      <c r="AH925">
        <v>1.57</v>
      </c>
      <c r="AI925">
        <v>6.66</v>
      </c>
      <c r="AJ925">
        <v>6.57</v>
      </c>
      <c r="AK925">
        <v>-3.5</v>
      </c>
      <c r="AL925">
        <v>-0.4</v>
      </c>
      <c r="AM925">
        <v>9</v>
      </c>
      <c r="AN925">
        <v>12</v>
      </c>
      <c r="AO925">
        <v>4</v>
      </c>
      <c r="AP925">
        <v>11</v>
      </c>
      <c r="AQ925" t="s">
        <v>3336</v>
      </c>
      <c r="AR925">
        <v>19</v>
      </c>
      <c r="AS925" t="s">
        <v>35</v>
      </c>
      <c r="AT925" t="s">
        <v>35</v>
      </c>
      <c r="AU925" s="4">
        <f>HYPERLINK("http://mlb.mlb.com/team/player.jsp?player_id=600921",600921)</f>
        <v>600921</v>
      </c>
      <c r="AV925">
        <v>122</v>
      </c>
      <c r="AW925">
        <v>1122</v>
      </c>
      <c r="AX925">
        <v>3.7</v>
      </c>
    </row>
    <row r="926" spans="1:50" x14ac:dyDescent="0.3">
      <c r="A926" s="4">
        <f>HYPERLINK("http://legacy.baseballprospectus.com/p/68319",68319)</f>
        <v>68319</v>
      </c>
      <c r="B926" t="s">
        <v>588</v>
      </c>
      <c r="C926" t="s">
        <v>108</v>
      </c>
      <c r="D926" s="10">
        <v>32721</v>
      </c>
      <c r="E926" t="s">
        <v>9</v>
      </c>
      <c r="F926" t="s">
        <v>9</v>
      </c>
      <c r="G926">
        <v>75</v>
      </c>
      <c r="H926">
        <v>225</v>
      </c>
      <c r="I926">
        <v>2018</v>
      </c>
      <c r="J926" s="4" t="str">
        <f>HYPERLINK("http://legacy.baseballprospectus.com/fantasy/dc/index.php?tm=MIL","MIL")</f>
        <v>MIL</v>
      </c>
      <c r="K926" t="s">
        <v>100</v>
      </c>
      <c r="L926" t="s">
        <v>34</v>
      </c>
      <c r="M926">
        <v>28</v>
      </c>
      <c r="N926">
        <v>2.2999999999999998</v>
      </c>
      <c r="O926">
        <v>0.8</v>
      </c>
      <c r="P926">
        <v>0</v>
      </c>
      <c r="Q926">
        <v>0</v>
      </c>
      <c r="R926">
        <v>1.9</v>
      </c>
      <c r="S926">
        <v>0</v>
      </c>
      <c r="T926">
        <v>48.9</v>
      </c>
      <c r="U926">
        <v>0</v>
      </c>
      <c r="V926" s="9">
        <v>51.666699999999999</v>
      </c>
      <c r="W926">
        <v>218</v>
      </c>
      <c r="X926">
        <v>53</v>
      </c>
      <c r="Y926">
        <v>9</v>
      </c>
      <c r="Z926">
        <v>20</v>
      </c>
      <c r="AA926" t="s">
        <v>1680</v>
      </c>
      <c r="AB926">
        <v>2</v>
      </c>
      <c r="AC926">
        <v>43</v>
      </c>
      <c r="AD926">
        <v>3.5</v>
      </c>
      <c r="AE926">
        <v>7.4</v>
      </c>
      <c r="AF926" s="5">
        <v>0.45480281114578203</v>
      </c>
      <c r="AG926">
        <v>0.30099999999999999</v>
      </c>
      <c r="AH926">
        <v>1.4</v>
      </c>
      <c r="AI926">
        <v>5.05</v>
      </c>
      <c r="AJ926">
        <v>5.67</v>
      </c>
      <c r="AK926">
        <v>-3.6</v>
      </c>
      <c r="AL926">
        <v>-0.4</v>
      </c>
      <c r="AM926">
        <v>3</v>
      </c>
      <c r="AN926">
        <v>5</v>
      </c>
      <c r="AO926">
        <v>2</v>
      </c>
      <c r="AP926">
        <v>4</v>
      </c>
      <c r="AQ926" t="s">
        <v>3269</v>
      </c>
      <c r="AR926">
        <v>7</v>
      </c>
      <c r="AS926" t="s">
        <v>36</v>
      </c>
      <c r="AT926" t="s">
        <v>35</v>
      </c>
      <c r="AU926" s="4">
        <f>HYPERLINK("http://mlb.mlb.com/team/player.jsp?player_id=598286",598286)</f>
        <v>598286</v>
      </c>
      <c r="AV926">
        <v>0</v>
      </c>
      <c r="AW926">
        <v>0</v>
      </c>
      <c r="AX926">
        <v>0</v>
      </c>
    </row>
    <row r="927" spans="1:50" x14ac:dyDescent="0.3">
      <c r="A927" s="4">
        <f>HYPERLINK("http://legacy.baseballprospectus.com/p/70321",70321)</f>
        <v>70321</v>
      </c>
      <c r="B927" t="s">
        <v>2920</v>
      </c>
      <c r="C927" t="s">
        <v>258</v>
      </c>
      <c r="D927" s="10">
        <v>33022</v>
      </c>
      <c r="E927" t="s">
        <v>9</v>
      </c>
      <c r="F927" t="s">
        <v>33</v>
      </c>
      <c r="G927">
        <v>73</v>
      </c>
      <c r="H927">
        <v>199</v>
      </c>
      <c r="I927">
        <v>2018</v>
      </c>
      <c r="J927" s="4" t="str">
        <f>HYPERLINK("http://legacy.baseballprospectus.com/fantasy/dc/index.php?tm=NYN","NYN")</f>
        <v>NYN</v>
      </c>
      <c r="K927" t="s">
        <v>100</v>
      </c>
      <c r="L927" t="s">
        <v>34</v>
      </c>
      <c r="M927">
        <v>28</v>
      </c>
      <c r="N927">
        <v>5.3</v>
      </c>
      <c r="O927">
        <v>7.1</v>
      </c>
      <c r="P927">
        <v>6.6</v>
      </c>
      <c r="Q927">
        <v>0</v>
      </c>
      <c r="R927">
        <v>0</v>
      </c>
      <c r="S927">
        <v>0</v>
      </c>
      <c r="T927">
        <v>17.600000000000001</v>
      </c>
      <c r="U927">
        <v>17.600000000000001</v>
      </c>
      <c r="V927" s="9">
        <v>100</v>
      </c>
      <c r="W927">
        <v>433</v>
      </c>
      <c r="X927">
        <v>113</v>
      </c>
      <c r="Y927">
        <v>19</v>
      </c>
      <c r="Z927">
        <v>37</v>
      </c>
      <c r="AA927" t="s">
        <v>1680</v>
      </c>
      <c r="AB927">
        <v>4</v>
      </c>
      <c r="AC927">
        <v>78</v>
      </c>
      <c r="AD927">
        <v>3.4</v>
      </c>
      <c r="AE927">
        <v>7</v>
      </c>
      <c r="AF927" s="5">
        <v>0.44547992944717402</v>
      </c>
      <c r="AG927">
        <v>0.31900000000000001</v>
      </c>
      <c r="AH927">
        <v>1.5</v>
      </c>
      <c r="AI927">
        <v>5.4</v>
      </c>
      <c r="AJ927">
        <v>6</v>
      </c>
      <c r="AK927">
        <v>-3.9</v>
      </c>
      <c r="AL927">
        <v>-0.4</v>
      </c>
      <c r="AM927">
        <v>13</v>
      </c>
      <c r="AN927">
        <v>21</v>
      </c>
      <c r="AO927">
        <v>7</v>
      </c>
      <c r="AP927">
        <v>17</v>
      </c>
      <c r="AQ927" t="s">
        <v>2921</v>
      </c>
      <c r="AR927">
        <v>29</v>
      </c>
      <c r="AS927" t="s">
        <v>36</v>
      </c>
      <c r="AT927" t="s">
        <v>35</v>
      </c>
      <c r="AU927" s="4">
        <f>HYPERLINK("http://mlb.mlb.com/team/player.jsp?player_id=543652",543652)</f>
        <v>543652</v>
      </c>
      <c r="AV927">
        <v>1765</v>
      </c>
      <c r="AW927">
        <v>765</v>
      </c>
      <c r="AX927">
        <v>22</v>
      </c>
    </row>
    <row r="928" spans="1:50" x14ac:dyDescent="0.3">
      <c r="A928" s="4">
        <f>HYPERLINK("http://legacy.baseballprospectus.com/p/100686",100686)</f>
        <v>100686</v>
      </c>
      <c r="B928" t="s">
        <v>444</v>
      </c>
      <c r="C928" t="s">
        <v>327</v>
      </c>
      <c r="D928" s="10">
        <v>34793</v>
      </c>
      <c r="E928" t="s">
        <v>33</v>
      </c>
      <c r="F928" t="s">
        <v>33</v>
      </c>
      <c r="G928">
        <v>72</v>
      </c>
      <c r="H928">
        <v>183</v>
      </c>
      <c r="I928">
        <v>2018</v>
      </c>
      <c r="J928" s="4" t="str">
        <f>HYPERLINK("http://legacy.baseballprospectus.com/fantasy/dc/index.php?tm=DET","DET")</f>
        <v>DET</v>
      </c>
      <c r="K928" t="s">
        <v>95</v>
      </c>
      <c r="L928" t="s">
        <v>34</v>
      </c>
      <c r="M928">
        <v>23</v>
      </c>
      <c r="N928">
        <v>1.5</v>
      </c>
      <c r="O928">
        <v>0.4</v>
      </c>
      <c r="P928">
        <v>0</v>
      </c>
      <c r="Q928">
        <v>0</v>
      </c>
      <c r="R928">
        <v>1.1000000000000001</v>
      </c>
      <c r="S928">
        <v>0</v>
      </c>
      <c r="T928">
        <v>32.200000000000003</v>
      </c>
      <c r="U928">
        <v>0</v>
      </c>
      <c r="V928" s="9">
        <v>34</v>
      </c>
      <c r="W928">
        <v>157</v>
      </c>
      <c r="X928">
        <v>39</v>
      </c>
      <c r="Y928">
        <v>8</v>
      </c>
      <c r="Z928">
        <v>17</v>
      </c>
      <c r="AA928" t="s">
        <v>1680</v>
      </c>
      <c r="AB928">
        <v>1</v>
      </c>
      <c r="AC928">
        <v>36</v>
      </c>
      <c r="AD928">
        <v>4.4000000000000004</v>
      </c>
      <c r="AE928">
        <v>9.5</v>
      </c>
      <c r="AF928" s="5">
        <v>0.42996010184288003</v>
      </c>
      <c r="AG928">
        <v>0.32800000000000001</v>
      </c>
      <c r="AH928">
        <v>1.65</v>
      </c>
      <c r="AI928">
        <v>6.01</v>
      </c>
      <c r="AJ928">
        <v>6.09</v>
      </c>
      <c r="AK928">
        <v>-3.5</v>
      </c>
      <c r="AL928">
        <v>-0.4</v>
      </c>
      <c r="AM928">
        <v>3</v>
      </c>
      <c r="AN928">
        <v>4</v>
      </c>
      <c r="AO928">
        <v>0</v>
      </c>
      <c r="AP928">
        <v>2</v>
      </c>
      <c r="AQ928" t="s">
        <v>3284</v>
      </c>
      <c r="AR928">
        <v>4</v>
      </c>
      <c r="AS928" t="s">
        <v>36</v>
      </c>
      <c r="AT928" t="s">
        <v>35</v>
      </c>
      <c r="AU928" s="4">
        <f>HYPERLINK("http://mlb.mlb.com/team/player.jsp?player_id=621592",621592)</f>
        <v>621592</v>
      </c>
      <c r="AV928">
        <v>0</v>
      </c>
      <c r="AW928">
        <v>0</v>
      </c>
      <c r="AX928">
        <v>0</v>
      </c>
    </row>
    <row r="929" spans="1:50" x14ac:dyDescent="0.3">
      <c r="A929" s="4">
        <f>HYPERLINK("http://legacy.baseballprospectus.com/p/103034",103034)</f>
        <v>103034</v>
      </c>
      <c r="B929" t="s">
        <v>380</v>
      </c>
      <c r="C929" t="s">
        <v>2955</v>
      </c>
      <c r="D929" s="10">
        <v>34730</v>
      </c>
      <c r="E929" t="s">
        <v>33</v>
      </c>
      <c r="F929" t="s">
        <v>33</v>
      </c>
      <c r="G929">
        <v>75</v>
      </c>
      <c r="H929">
        <v>190</v>
      </c>
      <c r="I929">
        <v>2018</v>
      </c>
      <c r="J929" s="4" t="str">
        <f>HYPERLINK("http://legacy.baseballprospectus.com/fantasy/dc/index.php?tm=SLN","SLN")</f>
        <v>SLN</v>
      </c>
      <c r="K929" t="s">
        <v>100</v>
      </c>
      <c r="L929" t="s">
        <v>34</v>
      </c>
      <c r="M929">
        <v>23</v>
      </c>
      <c r="N929">
        <v>4.3</v>
      </c>
      <c r="O929">
        <v>5.2</v>
      </c>
      <c r="P929">
        <v>5.3</v>
      </c>
      <c r="Q929">
        <v>0</v>
      </c>
      <c r="R929">
        <v>0</v>
      </c>
      <c r="S929">
        <v>0</v>
      </c>
      <c r="T929">
        <v>14.8</v>
      </c>
      <c r="U929">
        <v>14.8</v>
      </c>
      <c r="V929" s="9">
        <v>72.333299999999994</v>
      </c>
      <c r="W929">
        <v>313</v>
      </c>
      <c r="X929">
        <v>78</v>
      </c>
      <c r="Y929">
        <v>15</v>
      </c>
      <c r="Z929">
        <v>33</v>
      </c>
      <c r="AA929" t="s">
        <v>1680</v>
      </c>
      <c r="AB929">
        <v>2</v>
      </c>
      <c r="AC929">
        <v>68</v>
      </c>
      <c r="AD929">
        <v>4.0999999999999996</v>
      </c>
      <c r="AE929">
        <v>8.5</v>
      </c>
      <c r="AF929" s="5">
        <v>0.46070188283920199</v>
      </c>
      <c r="AG929">
        <v>0.32200000000000001</v>
      </c>
      <c r="AH929">
        <v>1.53</v>
      </c>
      <c r="AI929">
        <v>5.49</v>
      </c>
      <c r="AJ929">
        <v>6.11</v>
      </c>
      <c r="AK929">
        <v>-3.7</v>
      </c>
      <c r="AL929">
        <v>-0.4</v>
      </c>
      <c r="AM929">
        <v>3</v>
      </c>
      <c r="AN929">
        <v>5</v>
      </c>
      <c r="AO929">
        <v>4</v>
      </c>
      <c r="AP929">
        <v>6</v>
      </c>
      <c r="AQ929" t="s">
        <v>2956</v>
      </c>
      <c r="AR929">
        <v>10</v>
      </c>
      <c r="AS929" t="s">
        <v>36</v>
      </c>
      <c r="AT929" t="s">
        <v>35</v>
      </c>
      <c r="AU929" s="4">
        <f>HYPERLINK("http://mlb.mlb.com/team/player.jsp?player_id=642524",642524)</f>
        <v>642524</v>
      </c>
      <c r="AV929">
        <v>0</v>
      </c>
      <c r="AW929">
        <v>0</v>
      </c>
      <c r="AX929">
        <v>0</v>
      </c>
    </row>
    <row r="930" spans="1:50" x14ac:dyDescent="0.3">
      <c r="A930" s="4">
        <f>HYPERLINK("http://legacy.baseballprospectus.com/p/103038",103038)</f>
        <v>103038</v>
      </c>
      <c r="B930" t="s">
        <v>3113</v>
      </c>
      <c r="C930" t="s">
        <v>355</v>
      </c>
      <c r="D930" s="10">
        <v>34640</v>
      </c>
      <c r="E930" t="s">
        <v>33</v>
      </c>
      <c r="F930" t="s">
        <v>33</v>
      </c>
      <c r="G930">
        <v>71</v>
      </c>
      <c r="H930">
        <v>165</v>
      </c>
      <c r="I930">
        <v>2018</v>
      </c>
      <c r="J930" s="4" t="str">
        <f>HYPERLINK("http://legacy.baseballprospectus.com/fantasy/dc/index.php?tm=NYA","NYA")</f>
        <v>NYA</v>
      </c>
      <c r="K930" t="s">
        <v>95</v>
      </c>
      <c r="L930" t="s">
        <v>34</v>
      </c>
      <c r="M930">
        <v>23</v>
      </c>
      <c r="N930">
        <v>1.9</v>
      </c>
      <c r="O930">
        <v>3.2</v>
      </c>
      <c r="P930">
        <v>2.2000000000000002</v>
      </c>
      <c r="Q930">
        <v>0</v>
      </c>
      <c r="R930">
        <v>0</v>
      </c>
      <c r="S930">
        <v>0</v>
      </c>
      <c r="T930">
        <v>9.1</v>
      </c>
      <c r="U930">
        <v>9.1</v>
      </c>
      <c r="V930" s="9">
        <v>33.666699999999999</v>
      </c>
      <c r="W930">
        <v>150</v>
      </c>
      <c r="X930">
        <v>38</v>
      </c>
      <c r="Y930">
        <v>10</v>
      </c>
      <c r="Z930">
        <v>13</v>
      </c>
      <c r="AA930" t="s">
        <v>1680</v>
      </c>
      <c r="AB930">
        <v>1</v>
      </c>
      <c r="AC930">
        <v>32</v>
      </c>
      <c r="AD930">
        <v>3.6</v>
      </c>
      <c r="AE930">
        <v>8.6999999999999993</v>
      </c>
      <c r="AF930" s="5">
        <v>0.425367921590805</v>
      </c>
      <c r="AG930">
        <v>0.29699999999999999</v>
      </c>
      <c r="AH930">
        <v>1.52</v>
      </c>
      <c r="AI930">
        <v>6.41</v>
      </c>
      <c r="AJ930">
        <v>6.76</v>
      </c>
      <c r="AK930">
        <v>-3.7</v>
      </c>
      <c r="AL930">
        <v>-0.4</v>
      </c>
      <c r="AM930">
        <v>4</v>
      </c>
      <c r="AN930">
        <v>5</v>
      </c>
      <c r="AO930">
        <v>4</v>
      </c>
      <c r="AP930">
        <v>7</v>
      </c>
      <c r="AQ930" t="s">
        <v>3114</v>
      </c>
      <c r="AR930">
        <v>9</v>
      </c>
      <c r="AS930" t="s">
        <v>36</v>
      </c>
      <c r="AT930" t="s">
        <v>35</v>
      </c>
      <c r="AU930" s="4">
        <f>HYPERLINK("http://mlb.mlb.com/team/player.jsp?player_id=642528",642528)</f>
        <v>642528</v>
      </c>
      <c r="AV930">
        <v>0</v>
      </c>
      <c r="AW930">
        <v>0</v>
      </c>
      <c r="AX930">
        <v>0</v>
      </c>
    </row>
    <row r="931" spans="1:50" x14ac:dyDescent="0.3">
      <c r="A931" s="4">
        <f>HYPERLINK("http://legacy.baseballprospectus.com/p/104420",104420)</f>
        <v>104420</v>
      </c>
      <c r="B931" t="s">
        <v>620</v>
      </c>
      <c r="C931" t="s">
        <v>381</v>
      </c>
      <c r="D931" s="10">
        <v>33527</v>
      </c>
      <c r="E931" t="s">
        <v>33</v>
      </c>
      <c r="F931" t="s">
        <v>33</v>
      </c>
      <c r="G931">
        <v>74</v>
      </c>
      <c r="H931">
        <v>180</v>
      </c>
      <c r="I931">
        <v>2018</v>
      </c>
      <c r="J931" s="4" t="str">
        <f>HYPERLINK("http://legacy.baseballprospectus.com/fantasy/dc/index.php?tm=PIT","PIT")</f>
        <v>PIT</v>
      </c>
      <c r="K931" t="s">
        <v>100</v>
      </c>
      <c r="L931" t="s">
        <v>34</v>
      </c>
      <c r="M931">
        <v>26</v>
      </c>
      <c r="N931">
        <v>2.1</v>
      </c>
      <c r="O931">
        <v>2.5</v>
      </c>
      <c r="P931">
        <v>0</v>
      </c>
      <c r="Q931">
        <v>0</v>
      </c>
      <c r="R931">
        <v>0</v>
      </c>
      <c r="S931">
        <v>1</v>
      </c>
      <c r="T931">
        <v>46</v>
      </c>
      <c r="U931">
        <v>0</v>
      </c>
      <c r="V931" s="9">
        <v>48.666699999999999</v>
      </c>
      <c r="W931">
        <v>215</v>
      </c>
      <c r="X931">
        <v>53</v>
      </c>
      <c r="Y931">
        <v>10</v>
      </c>
      <c r="Z931">
        <v>18</v>
      </c>
      <c r="AA931">
        <v>1</v>
      </c>
      <c r="AB931">
        <v>2</v>
      </c>
      <c r="AC931">
        <v>43</v>
      </c>
      <c r="AD931">
        <v>3.4</v>
      </c>
      <c r="AE931">
        <v>8</v>
      </c>
      <c r="AF931" s="5">
        <v>0.45600000000000002</v>
      </c>
      <c r="AG931">
        <v>0.30399999999999999</v>
      </c>
      <c r="AH931">
        <v>1.49</v>
      </c>
      <c r="AI931">
        <v>5.74</v>
      </c>
      <c r="AJ931">
        <v>5.76</v>
      </c>
      <c r="AK931">
        <v>-3.8</v>
      </c>
      <c r="AL931">
        <v>-0.4</v>
      </c>
      <c r="AM931">
        <v>22</v>
      </c>
      <c r="AN931">
        <v>28</v>
      </c>
      <c r="AO931">
        <v>13</v>
      </c>
      <c r="AP931">
        <v>19</v>
      </c>
      <c r="AQ931" t="s">
        <v>3101</v>
      </c>
      <c r="AR931">
        <v>49</v>
      </c>
      <c r="AS931" t="s">
        <v>35</v>
      </c>
      <c r="AT931" t="s">
        <v>35</v>
      </c>
      <c r="AU931" s="4">
        <f>HYPERLINK("http://mlb.mlb.com/team/player.jsp?player_id=650828",650828)</f>
        <v>650828</v>
      </c>
      <c r="AV931">
        <v>1329</v>
      </c>
      <c r="AW931">
        <v>329</v>
      </c>
      <c r="AX931">
        <v>18</v>
      </c>
    </row>
    <row r="932" spans="1:50" x14ac:dyDescent="0.3">
      <c r="A932" s="4">
        <f>HYPERLINK("http://legacy.baseballprospectus.com/p/104651",104651)</f>
        <v>104651</v>
      </c>
      <c r="B932" t="s">
        <v>93</v>
      </c>
      <c r="C932" t="s">
        <v>586</v>
      </c>
      <c r="D932" s="10">
        <v>34968</v>
      </c>
      <c r="E932" t="s">
        <v>33</v>
      </c>
      <c r="F932" t="s">
        <v>33</v>
      </c>
      <c r="G932">
        <v>74</v>
      </c>
      <c r="H932">
        <v>175</v>
      </c>
      <c r="I932">
        <v>2018</v>
      </c>
      <c r="J932" s="4" t="str">
        <f>HYPERLINK("http://legacy.baseballprospectus.com/fantasy/dc/index.php?tm=NYA","NYA")</f>
        <v>NYA</v>
      </c>
      <c r="K932" t="s">
        <v>95</v>
      </c>
      <c r="L932" t="s">
        <v>34</v>
      </c>
      <c r="M932">
        <v>22</v>
      </c>
      <c r="N932">
        <v>2.8</v>
      </c>
      <c r="O932">
        <v>3.4</v>
      </c>
      <c r="P932">
        <v>2.9</v>
      </c>
      <c r="Q932">
        <v>0</v>
      </c>
      <c r="R932">
        <v>0.3</v>
      </c>
      <c r="S932">
        <v>0</v>
      </c>
      <c r="T932">
        <v>18.600000000000001</v>
      </c>
      <c r="U932">
        <v>9.1999999999999993</v>
      </c>
      <c r="V932" s="9">
        <v>50.333300000000001</v>
      </c>
      <c r="W932">
        <v>226</v>
      </c>
      <c r="X932">
        <v>50</v>
      </c>
      <c r="Y932">
        <v>12</v>
      </c>
      <c r="Z932">
        <v>26</v>
      </c>
      <c r="AA932" t="s">
        <v>1680</v>
      </c>
      <c r="AB932">
        <v>3</v>
      </c>
      <c r="AC932">
        <v>55</v>
      </c>
      <c r="AD932">
        <v>4.5999999999999996</v>
      </c>
      <c r="AE932">
        <v>9.8000000000000007</v>
      </c>
      <c r="AF932" s="5">
        <v>0.440987348556518</v>
      </c>
      <c r="AG932">
        <v>0.29099999999999998</v>
      </c>
      <c r="AH932">
        <v>1.5</v>
      </c>
      <c r="AI932">
        <v>5.82</v>
      </c>
      <c r="AJ932">
        <v>6.12</v>
      </c>
      <c r="AK932">
        <v>-4.0999999999999996</v>
      </c>
      <c r="AL932">
        <v>-0.4</v>
      </c>
      <c r="AM932">
        <v>4</v>
      </c>
      <c r="AN932">
        <v>5</v>
      </c>
      <c r="AO932">
        <v>4</v>
      </c>
      <c r="AP932">
        <v>6</v>
      </c>
      <c r="AQ932" t="s">
        <v>3220</v>
      </c>
      <c r="AR932">
        <v>8</v>
      </c>
      <c r="AS932" t="s">
        <v>36</v>
      </c>
      <c r="AT932" t="s">
        <v>35</v>
      </c>
      <c r="AU932" s="4">
        <f>HYPERLINK("http://mlb.mlb.com/team/player.jsp?player_id=656061",656061)</f>
        <v>656061</v>
      </c>
      <c r="AV932">
        <v>190</v>
      </c>
      <c r="AW932">
        <v>1190</v>
      </c>
      <c r="AX932">
        <v>0</v>
      </c>
    </row>
    <row r="933" spans="1:50" x14ac:dyDescent="0.3">
      <c r="A933" s="4">
        <f>HYPERLINK("http://legacy.baseballprospectus.com/p/105714",105714)</f>
        <v>105714</v>
      </c>
      <c r="B933" t="s">
        <v>2151</v>
      </c>
      <c r="C933" t="s">
        <v>1664</v>
      </c>
      <c r="D933" s="10">
        <v>35346</v>
      </c>
      <c r="E933" t="s">
        <v>33</v>
      </c>
      <c r="F933" t="s">
        <v>33</v>
      </c>
      <c r="G933">
        <v>75</v>
      </c>
      <c r="H933">
        <v>175</v>
      </c>
      <c r="I933">
        <v>2018</v>
      </c>
      <c r="J933" s="4" t="str">
        <f>HYPERLINK("http://legacy.baseballprospectus.com/fantasy/dc/index.php?tm=OAK","OAK")</f>
        <v>OAK</v>
      </c>
      <c r="K933" t="s">
        <v>95</v>
      </c>
      <c r="L933" t="s">
        <v>34</v>
      </c>
      <c r="M933">
        <v>21</v>
      </c>
      <c r="N933">
        <v>1.7</v>
      </c>
      <c r="O933">
        <v>2.5</v>
      </c>
      <c r="P933">
        <v>2.1</v>
      </c>
      <c r="Q933">
        <v>0</v>
      </c>
      <c r="R933">
        <v>0.2</v>
      </c>
      <c r="S933">
        <v>0</v>
      </c>
      <c r="T933">
        <v>13.9</v>
      </c>
      <c r="U933">
        <v>7.2</v>
      </c>
      <c r="V933" s="9">
        <v>32</v>
      </c>
      <c r="W933">
        <v>150</v>
      </c>
      <c r="X933">
        <v>32</v>
      </c>
      <c r="Y933">
        <v>6</v>
      </c>
      <c r="Z933">
        <v>22</v>
      </c>
      <c r="AA933" t="s">
        <v>1680</v>
      </c>
      <c r="AB933">
        <v>2</v>
      </c>
      <c r="AC933">
        <v>35</v>
      </c>
      <c r="AD933">
        <v>6.3</v>
      </c>
      <c r="AE933">
        <v>9.9</v>
      </c>
      <c r="AF933" s="5">
        <v>0.42828288674354498</v>
      </c>
      <c r="AG933">
        <v>0.30499999999999999</v>
      </c>
      <c r="AH933">
        <v>1.69</v>
      </c>
      <c r="AI933">
        <v>6.03</v>
      </c>
      <c r="AJ933">
        <v>6.32</v>
      </c>
      <c r="AK933">
        <v>-3.4</v>
      </c>
      <c r="AL933">
        <v>-0.4</v>
      </c>
      <c r="AM933">
        <v>3</v>
      </c>
      <c r="AN933">
        <v>3</v>
      </c>
      <c r="AO933">
        <v>0</v>
      </c>
      <c r="AP933">
        <v>0</v>
      </c>
      <c r="AQ933" t="s">
        <v>3495</v>
      </c>
      <c r="AR933">
        <v>3</v>
      </c>
      <c r="AS933" t="s">
        <v>36</v>
      </c>
      <c r="AT933" t="s">
        <v>35</v>
      </c>
      <c r="AU933" s="4">
        <f>HYPERLINK("http://mlb.mlb.com/team/player.jsp?player_id=663793",663793)</f>
        <v>663793</v>
      </c>
      <c r="AV933">
        <v>0</v>
      </c>
      <c r="AW933">
        <v>0</v>
      </c>
      <c r="AX933">
        <v>0</v>
      </c>
    </row>
    <row r="934" spans="1:50" x14ac:dyDescent="0.3">
      <c r="A934" s="4">
        <f>HYPERLINK("http://legacy.baseballprospectus.com/p/105950",105950)</f>
        <v>105950</v>
      </c>
      <c r="B934" t="s">
        <v>2126</v>
      </c>
      <c r="C934" t="s">
        <v>372</v>
      </c>
      <c r="D934" s="10">
        <v>35248</v>
      </c>
      <c r="E934" t="s">
        <v>33</v>
      </c>
      <c r="F934" t="s">
        <v>9</v>
      </c>
      <c r="G934">
        <v>75</v>
      </c>
      <c r="H934">
        <v>215</v>
      </c>
      <c r="I934">
        <v>2018</v>
      </c>
      <c r="J934" s="4" t="str">
        <f>HYPERLINK("http://legacy.baseballprospectus.com/fantasy/dc/index.php?tm=LAN","LAN")</f>
        <v>LAN</v>
      </c>
      <c r="K934" t="s">
        <v>100</v>
      </c>
      <c r="L934" t="s">
        <v>34</v>
      </c>
      <c r="M934">
        <v>21</v>
      </c>
      <c r="N934">
        <v>6</v>
      </c>
      <c r="O934">
        <v>6.8</v>
      </c>
      <c r="P934">
        <v>8.1999999999999993</v>
      </c>
      <c r="Q934">
        <v>0</v>
      </c>
      <c r="R934">
        <v>0</v>
      </c>
      <c r="S934">
        <v>0</v>
      </c>
      <c r="T934">
        <v>20.9</v>
      </c>
      <c r="U934">
        <v>20.9</v>
      </c>
      <c r="V934" s="9">
        <v>97.333299999999994</v>
      </c>
      <c r="W934">
        <v>414</v>
      </c>
      <c r="X934">
        <v>92</v>
      </c>
      <c r="Y934">
        <v>20</v>
      </c>
      <c r="Z934">
        <v>49</v>
      </c>
      <c r="AA934" t="s">
        <v>1680</v>
      </c>
      <c r="AB934">
        <v>3</v>
      </c>
      <c r="AC934">
        <v>106</v>
      </c>
      <c r="AD934">
        <v>4.5</v>
      </c>
      <c r="AE934">
        <v>9.8000000000000007</v>
      </c>
      <c r="AF934" s="5">
        <v>0.47663399577140803</v>
      </c>
      <c r="AG934">
        <v>0.30499999999999999</v>
      </c>
      <c r="AH934">
        <v>1.44</v>
      </c>
      <c r="AI934">
        <v>5.2</v>
      </c>
      <c r="AJ934">
        <v>6.02</v>
      </c>
      <c r="AK934">
        <v>-4</v>
      </c>
      <c r="AL934">
        <v>-0.4</v>
      </c>
      <c r="AM934">
        <v>6</v>
      </c>
      <c r="AN934">
        <v>9</v>
      </c>
      <c r="AO934">
        <v>4</v>
      </c>
      <c r="AP934">
        <v>14</v>
      </c>
      <c r="AQ934" t="s">
        <v>3296</v>
      </c>
      <c r="AR934">
        <v>14</v>
      </c>
      <c r="AS934" t="s">
        <v>36</v>
      </c>
      <c r="AT934" t="s">
        <v>35</v>
      </c>
      <c r="AU934" s="4">
        <f>HYPERLINK("http://mlb.mlb.com/team/player.jsp?player_id=657571",657571)</f>
        <v>657571</v>
      </c>
      <c r="AV934">
        <v>0</v>
      </c>
      <c r="AW934">
        <v>0</v>
      </c>
      <c r="AX934">
        <v>0</v>
      </c>
    </row>
    <row r="935" spans="1:50" x14ac:dyDescent="0.3">
      <c r="A935" s="4">
        <f>HYPERLINK("http://legacy.baseballprospectus.com/p/107170",107170)</f>
        <v>107170</v>
      </c>
      <c r="B935" t="s">
        <v>2068</v>
      </c>
      <c r="C935" t="s">
        <v>2069</v>
      </c>
      <c r="D935" s="10">
        <v>35655</v>
      </c>
      <c r="E935" t="s">
        <v>9</v>
      </c>
      <c r="F935" t="s">
        <v>9</v>
      </c>
      <c r="G935">
        <v>73</v>
      </c>
      <c r="H935">
        <v>190</v>
      </c>
      <c r="I935">
        <v>2018</v>
      </c>
      <c r="J935" s="4" t="str">
        <f>HYPERLINK("http://legacy.baseballprospectus.com/fantasy/dc/index.php?tm=ATL","ATL")</f>
        <v>ATL</v>
      </c>
      <c r="K935" t="s">
        <v>100</v>
      </c>
      <c r="L935" t="s">
        <v>34</v>
      </c>
      <c r="M935">
        <v>20</v>
      </c>
      <c r="N935">
        <v>6.1</v>
      </c>
      <c r="O935">
        <v>7.9</v>
      </c>
      <c r="P935">
        <v>8.1999999999999993</v>
      </c>
      <c r="Q935">
        <v>0</v>
      </c>
      <c r="R935">
        <v>0</v>
      </c>
      <c r="S935">
        <v>0</v>
      </c>
      <c r="T935">
        <v>21</v>
      </c>
      <c r="U935">
        <v>21</v>
      </c>
      <c r="V935" s="9">
        <v>110.66670000000001</v>
      </c>
      <c r="W935">
        <v>472</v>
      </c>
      <c r="X935">
        <v>113</v>
      </c>
      <c r="Y935">
        <v>26</v>
      </c>
      <c r="Z935">
        <v>47</v>
      </c>
      <c r="AA935" t="s">
        <v>1680</v>
      </c>
      <c r="AB935">
        <v>2</v>
      </c>
      <c r="AC935">
        <v>131</v>
      </c>
      <c r="AD935">
        <v>3.8</v>
      </c>
      <c r="AE935">
        <v>10.7</v>
      </c>
      <c r="AF935" s="5">
        <v>0.41996008157730103</v>
      </c>
      <c r="AG935">
        <v>0.32500000000000001</v>
      </c>
      <c r="AH935">
        <v>1.44</v>
      </c>
      <c r="AI935">
        <v>5.16</v>
      </c>
      <c r="AJ935">
        <v>5.96</v>
      </c>
      <c r="AK935">
        <v>-3.9</v>
      </c>
      <c r="AL935">
        <v>-0.4</v>
      </c>
      <c r="AM935">
        <v>4</v>
      </c>
      <c r="AN935">
        <v>8</v>
      </c>
      <c r="AO935">
        <v>2</v>
      </c>
      <c r="AP935">
        <v>5</v>
      </c>
      <c r="AQ935" t="s">
        <v>2390</v>
      </c>
      <c r="AR935">
        <v>10</v>
      </c>
      <c r="AS935" t="s">
        <v>36</v>
      </c>
      <c r="AT935" t="s">
        <v>35</v>
      </c>
      <c r="AU935" s="4">
        <f>HYPERLINK("http://mlb.mlb.com/team/player.jsp?player_id=663465",663465)</f>
        <v>663465</v>
      </c>
      <c r="AV935">
        <v>1155</v>
      </c>
      <c r="AW935">
        <v>155</v>
      </c>
      <c r="AX935">
        <v>0</v>
      </c>
    </row>
    <row r="936" spans="1:50" x14ac:dyDescent="0.3">
      <c r="A936" s="4">
        <f>HYPERLINK("http://legacy.baseballprospectus.com/p/108425",108425)</f>
        <v>108425</v>
      </c>
      <c r="B936" t="s">
        <v>2135</v>
      </c>
      <c r="C936" t="s">
        <v>319</v>
      </c>
      <c r="D936" s="10">
        <v>34846</v>
      </c>
      <c r="E936" t="s">
        <v>33</v>
      </c>
      <c r="F936" t="s">
        <v>33</v>
      </c>
      <c r="G936">
        <v>76</v>
      </c>
      <c r="H936">
        <v>200</v>
      </c>
      <c r="I936">
        <v>2018</v>
      </c>
      <c r="J936" s="4" t="str">
        <f>HYPERLINK("http://legacy.baseballprospectus.com/fantasy/dc/index.php?tm=CHA","CHA")</f>
        <v>CHA</v>
      </c>
      <c r="K936" t="s">
        <v>95</v>
      </c>
      <c r="L936" t="s">
        <v>34</v>
      </c>
      <c r="M936">
        <v>23</v>
      </c>
      <c r="N936">
        <v>5</v>
      </c>
      <c r="O936">
        <v>8.4</v>
      </c>
      <c r="P936">
        <v>6.2</v>
      </c>
      <c r="Q936">
        <v>0</v>
      </c>
      <c r="R936">
        <v>0</v>
      </c>
      <c r="S936">
        <v>0</v>
      </c>
      <c r="T936">
        <v>20</v>
      </c>
      <c r="U936">
        <v>20</v>
      </c>
      <c r="V936" s="9">
        <v>102.33329999999999</v>
      </c>
      <c r="W936">
        <v>455</v>
      </c>
      <c r="X936">
        <v>111</v>
      </c>
      <c r="Y936">
        <v>23</v>
      </c>
      <c r="Z936">
        <v>43</v>
      </c>
      <c r="AA936" t="s">
        <v>1680</v>
      </c>
      <c r="AB936">
        <v>4</v>
      </c>
      <c r="AC936">
        <v>91</v>
      </c>
      <c r="AD936">
        <v>3.8</v>
      </c>
      <c r="AE936">
        <v>8</v>
      </c>
      <c r="AF936" s="5">
        <v>0.454122424125671</v>
      </c>
      <c r="AG936">
        <v>0.29799999999999999</v>
      </c>
      <c r="AH936">
        <v>1.51</v>
      </c>
      <c r="AI936">
        <v>5.85</v>
      </c>
      <c r="AJ936">
        <v>6.07</v>
      </c>
      <c r="AK936">
        <v>-3.9</v>
      </c>
      <c r="AL936">
        <v>-0.4</v>
      </c>
      <c r="AM936">
        <v>4</v>
      </c>
      <c r="AN936">
        <v>5</v>
      </c>
      <c r="AO936">
        <v>4</v>
      </c>
      <c r="AP936">
        <v>8</v>
      </c>
      <c r="AQ936" t="s">
        <v>3131</v>
      </c>
      <c r="AR936">
        <v>9</v>
      </c>
      <c r="AS936" t="s">
        <v>36</v>
      </c>
      <c r="AT936" t="s">
        <v>35</v>
      </c>
      <c r="AU936" s="4">
        <f>HYPERLINK("http://mlb.mlb.com/team/player.jsp?player_id=643494",643494)</f>
        <v>643494</v>
      </c>
      <c r="AV936">
        <v>708</v>
      </c>
      <c r="AW936">
        <v>1708</v>
      </c>
      <c r="AX936">
        <v>0</v>
      </c>
    </row>
    <row r="937" spans="1:50" x14ac:dyDescent="0.3">
      <c r="A937" s="4">
        <f>HYPERLINK("http://legacy.baseballprospectus.com/p/108614",108614)</f>
        <v>108614</v>
      </c>
      <c r="B937" t="s">
        <v>2977</v>
      </c>
      <c r="C937" t="s">
        <v>136</v>
      </c>
      <c r="D937" s="10">
        <v>34818</v>
      </c>
      <c r="E937" t="s">
        <v>9</v>
      </c>
      <c r="F937" t="s">
        <v>9</v>
      </c>
      <c r="G937">
        <v>75</v>
      </c>
      <c r="H937">
        <v>180</v>
      </c>
      <c r="I937">
        <v>2018</v>
      </c>
      <c r="J937" s="4" t="str">
        <f>HYPERLINK("http://legacy.baseballprospectus.com/fantasy/dc/index.php?tm=DET","DET")</f>
        <v>DET</v>
      </c>
      <c r="K937" t="s">
        <v>95</v>
      </c>
      <c r="L937" t="s">
        <v>34</v>
      </c>
      <c r="M937">
        <v>23</v>
      </c>
      <c r="N937">
        <v>4.7</v>
      </c>
      <c r="O937">
        <v>7.4</v>
      </c>
      <c r="P937">
        <v>5.4</v>
      </c>
      <c r="Q937">
        <v>0</v>
      </c>
      <c r="R937">
        <v>0</v>
      </c>
      <c r="S937">
        <v>0</v>
      </c>
      <c r="T937">
        <v>18.3</v>
      </c>
      <c r="U937">
        <v>18.3</v>
      </c>
      <c r="V937" s="9">
        <v>90.666700000000006</v>
      </c>
      <c r="W937">
        <v>408</v>
      </c>
      <c r="X937">
        <v>109</v>
      </c>
      <c r="Y937">
        <v>23</v>
      </c>
      <c r="Z937">
        <v>31</v>
      </c>
      <c r="AA937" t="s">
        <v>1680</v>
      </c>
      <c r="AB937">
        <v>4</v>
      </c>
      <c r="AC937">
        <v>79</v>
      </c>
      <c r="AD937">
        <v>3.1</v>
      </c>
      <c r="AE937">
        <v>7.9</v>
      </c>
      <c r="AF937" s="5">
        <v>0.37886625528335499</v>
      </c>
      <c r="AG937">
        <v>0.317</v>
      </c>
      <c r="AH937">
        <v>1.54</v>
      </c>
      <c r="AI937">
        <v>6.03</v>
      </c>
      <c r="AJ937">
        <v>6.11</v>
      </c>
      <c r="AK937">
        <v>-3.8</v>
      </c>
      <c r="AL937">
        <v>-0.4</v>
      </c>
      <c r="AM937">
        <v>13</v>
      </c>
      <c r="AN937">
        <v>19</v>
      </c>
      <c r="AO937">
        <v>9</v>
      </c>
      <c r="AP937">
        <v>27</v>
      </c>
      <c r="AQ937" t="s">
        <v>2978</v>
      </c>
      <c r="AR937">
        <v>36</v>
      </c>
      <c r="AS937" t="s">
        <v>36</v>
      </c>
      <c r="AT937" t="s">
        <v>35</v>
      </c>
      <c r="AU937" s="4">
        <f>HYPERLINK("http://mlb.mlb.com/team/player.jsp?player_id=664971",664971)</f>
        <v>664971</v>
      </c>
      <c r="AV937">
        <v>0</v>
      </c>
      <c r="AW937">
        <v>0</v>
      </c>
      <c r="AX937">
        <v>0</v>
      </c>
    </row>
    <row r="938" spans="1:50" x14ac:dyDescent="0.3">
      <c r="A938" s="4">
        <f>HYPERLINK("http://legacy.baseballprospectus.com/p/108966",108966)</f>
        <v>108966</v>
      </c>
      <c r="B938" t="s">
        <v>2098</v>
      </c>
      <c r="C938" t="s">
        <v>104</v>
      </c>
      <c r="D938" s="10">
        <v>35823</v>
      </c>
      <c r="E938" t="s">
        <v>33</v>
      </c>
      <c r="F938" t="s">
        <v>33</v>
      </c>
      <c r="G938">
        <v>78</v>
      </c>
      <c r="H938">
        <v>190</v>
      </c>
      <c r="I938">
        <v>2018</v>
      </c>
      <c r="J938" s="4" t="str">
        <f>HYPERLINK("http://legacy.baseballprospectus.com/fantasy/dc/index.php?tm=DET","DET")</f>
        <v>DET</v>
      </c>
      <c r="K938" t="s">
        <v>95</v>
      </c>
      <c r="L938" t="s">
        <v>34</v>
      </c>
      <c r="M938">
        <v>20</v>
      </c>
      <c r="N938">
        <v>1.8</v>
      </c>
      <c r="O938">
        <v>3.9</v>
      </c>
      <c r="P938">
        <v>2.2999999999999998</v>
      </c>
      <c r="Q938">
        <v>0</v>
      </c>
      <c r="R938">
        <v>0</v>
      </c>
      <c r="S938">
        <v>0</v>
      </c>
      <c r="T938">
        <v>10.199999999999999</v>
      </c>
      <c r="U938">
        <v>10.199999999999999</v>
      </c>
      <c r="V938" s="9">
        <v>37.333300000000001</v>
      </c>
      <c r="W938">
        <v>174</v>
      </c>
      <c r="X938">
        <v>44</v>
      </c>
      <c r="Y938">
        <v>11</v>
      </c>
      <c r="Z938">
        <v>19</v>
      </c>
      <c r="AA938" t="s">
        <v>1680</v>
      </c>
      <c r="AB938">
        <v>1</v>
      </c>
      <c r="AC938">
        <v>44</v>
      </c>
      <c r="AD938">
        <v>4.5999999999999996</v>
      </c>
      <c r="AE938">
        <v>10.5</v>
      </c>
      <c r="AF938" s="5">
        <v>0.36817869544029203</v>
      </c>
      <c r="AG938">
        <v>0.33100000000000002</v>
      </c>
      <c r="AH938">
        <v>1.69</v>
      </c>
      <c r="AI938">
        <v>6.66</v>
      </c>
      <c r="AJ938">
        <v>6.76</v>
      </c>
      <c r="AK938">
        <v>-4.0999999999999996</v>
      </c>
      <c r="AL938">
        <v>-0.4</v>
      </c>
      <c r="AM938">
        <v>4</v>
      </c>
      <c r="AN938">
        <v>4</v>
      </c>
      <c r="AO938">
        <v>0</v>
      </c>
      <c r="AP938">
        <v>1</v>
      </c>
      <c r="AQ938" t="s">
        <v>3405</v>
      </c>
      <c r="AR938">
        <v>5</v>
      </c>
      <c r="AS938" t="s">
        <v>36</v>
      </c>
      <c r="AT938" t="s">
        <v>35</v>
      </c>
      <c r="AU938" s="4">
        <f>HYPERLINK("http://mlb.mlb.com/team/player.jsp?player_id=666159",666159)</f>
        <v>666159</v>
      </c>
      <c r="AV938">
        <v>168</v>
      </c>
      <c r="AW938">
        <v>1168</v>
      </c>
      <c r="AX938">
        <v>0</v>
      </c>
    </row>
    <row r="939" spans="1:50" x14ac:dyDescent="0.3">
      <c r="A939" s="4">
        <f>HYPERLINK("http://legacy.baseballprospectus.com/p/109135",109135)</f>
        <v>109135</v>
      </c>
      <c r="B939" t="s">
        <v>3230</v>
      </c>
      <c r="C939" t="s">
        <v>337</v>
      </c>
      <c r="D939" s="10">
        <v>35703</v>
      </c>
      <c r="E939" t="s">
        <v>9</v>
      </c>
      <c r="F939" t="s">
        <v>9</v>
      </c>
      <c r="G939">
        <v>73</v>
      </c>
      <c r="H939">
        <v>205</v>
      </c>
      <c r="I939">
        <v>2018</v>
      </c>
      <c r="J939" s="4" t="str">
        <f>HYPERLINK("http://legacy.baseballprospectus.com/fantasy/dc/index.php?tm=OAK","OAK")</f>
        <v>OAK</v>
      </c>
      <c r="K939" t="s">
        <v>95</v>
      </c>
      <c r="L939" t="s">
        <v>34</v>
      </c>
      <c r="M939">
        <v>20</v>
      </c>
      <c r="N939">
        <v>1.7</v>
      </c>
      <c r="O939">
        <v>3.2</v>
      </c>
      <c r="P939">
        <v>1.9</v>
      </c>
      <c r="Q939">
        <v>0</v>
      </c>
      <c r="R939">
        <v>0</v>
      </c>
      <c r="S939">
        <v>0</v>
      </c>
      <c r="T939">
        <v>8.1</v>
      </c>
      <c r="U939">
        <v>8.1</v>
      </c>
      <c r="V939" s="9">
        <v>33.333300000000001</v>
      </c>
      <c r="W939">
        <v>150</v>
      </c>
      <c r="X939">
        <v>38</v>
      </c>
      <c r="Y939">
        <v>10</v>
      </c>
      <c r="Z939">
        <v>13</v>
      </c>
      <c r="AA939" t="s">
        <v>1680</v>
      </c>
      <c r="AB939">
        <v>1</v>
      </c>
      <c r="AC939">
        <v>33</v>
      </c>
      <c r="AD939">
        <v>3.6</v>
      </c>
      <c r="AE939">
        <v>8.9</v>
      </c>
      <c r="AF939" s="5">
        <v>0.43160814046859702</v>
      </c>
      <c r="AG939">
        <v>0.309</v>
      </c>
      <c r="AH939">
        <v>1.55</v>
      </c>
      <c r="AI939">
        <v>6.54</v>
      </c>
      <c r="AJ939">
        <v>6.86</v>
      </c>
      <c r="AK939">
        <v>-4</v>
      </c>
      <c r="AL939">
        <v>-0.4</v>
      </c>
      <c r="AM939">
        <v>3</v>
      </c>
      <c r="AN939">
        <v>3</v>
      </c>
      <c r="AO939">
        <v>0</v>
      </c>
      <c r="AP939">
        <v>1</v>
      </c>
      <c r="AQ939" t="s">
        <v>3231</v>
      </c>
      <c r="AR939">
        <v>4</v>
      </c>
      <c r="AS939" t="s">
        <v>36</v>
      </c>
      <c r="AT939" t="s">
        <v>35</v>
      </c>
      <c r="AU939" s="4">
        <f>HYPERLINK("http://mlb.mlb.com/team/player.jsp?player_id=666200",666200)</f>
        <v>666200</v>
      </c>
      <c r="AV939">
        <v>199</v>
      </c>
      <c r="AW939">
        <v>1199</v>
      </c>
      <c r="AX939">
        <v>0</v>
      </c>
    </row>
    <row r="940" spans="1:50" x14ac:dyDescent="0.3">
      <c r="A940" s="4">
        <f>HYPERLINK("http://legacy.baseballprospectus.com/p/111022",111022)</f>
        <v>111022</v>
      </c>
      <c r="B940" t="s">
        <v>3367</v>
      </c>
      <c r="C940" t="s">
        <v>308</v>
      </c>
      <c r="D940" s="10">
        <v>34895</v>
      </c>
      <c r="E940" t="s">
        <v>33</v>
      </c>
      <c r="F940" t="s">
        <v>33</v>
      </c>
      <c r="G940">
        <v>74</v>
      </c>
      <c r="H940">
        <v>175</v>
      </c>
      <c r="I940">
        <v>2018</v>
      </c>
      <c r="J940" s="4" t="str">
        <f>HYPERLINK("http://legacy.baseballprospectus.com/fantasy/dc/index.php?tm=NYN","NYN")</f>
        <v>NYN</v>
      </c>
      <c r="K940" t="s">
        <v>100</v>
      </c>
      <c r="L940" t="s">
        <v>34</v>
      </c>
      <c r="M940">
        <v>22</v>
      </c>
      <c r="N940">
        <v>1.6</v>
      </c>
      <c r="O940">
        <v>0.5</v>
      </c>
      <c r="P940">
        <v>0</v>
      </c>
      <c r="Q940">
        <v>0</v>
      </c>
      <c r="R940">
        <v>1.3</v>
      </c>
      <c r="S940">
        <v>0</v>
      </c>
      <c r="T940">
        <v>33.4</v>
      </c>
      <c r="U940">
        <v>0</v>
      </c>
      <c r="V940" s="9">
        <v>35.333300000000001</v>
      </c>
      <c r="W940">
        <v>150</v>
      </c>
      <c r="X940">
        <v>37</v>
      </c>
      <c r="Y940">
        <v>9</v>
      </c>
      <c r="Z940">
        <v>14</v>
      </c>
      <c r="AA940" t="s">
        <v>1680</v>
      </c>
      <c r="AB940">
        <v>1</v>
      </c>
      <c r="AC940">
        <v>43</v>
      </c>
      <c r="AD940">
        <v>3.5</v>
      </c>
      <c r="AE940">
        <v>10.9</v>
      </c>
      <c r="AF940" s="5">
        <v>0.44461292028427102</v>
      </c>
      <c r="AG940">
        <v>0.33300000000000002</v>
      </c>
      <c r="AH940">
        <v>1.43</v>
      </c>
      <c r="AI940">
        <v>5.37</v>
      </c>
      <c r="AJ940">
        <v>5.97</v>
      </c>
      <c r="AK940">
        <v>-3.4</v>
      </c>
      <c r="AL940">
        <v>-0.4</v>
      </c>
      <c r="AM940">
        <v>1</v>
      </c>
      <c r="AN940">
        <v>1</v>
      </c>
      <c r="AO940">
        <v>0</v>
      </c>
      <c r="AP940">
        <v>1</v>
      </c>
      <c r="AQ940" t="s">
        <v>3368</v>
      </c>
      <c r="AR940">
        <v>1</v>
      </c>
      <c r="AS940" t="s">
        <v>36</v>
      </c>
      <c r="AT940" t="s">
        <v>35</v>
      </c>
      <c r="AU940" s="4">
        <f>HYPERLINK("http://mlb.mlb.com/team/player.jsp?player_id=676644",676644)</f>
        <v>676644</v>
      </c>
      <c r="AV940">
        <v>0</v>
      </c>
      <c r="AW940">
        <v>0</v>
      </c>
      <c r="AX940">
        <v>0</v>
      </c>
    </row>
    <row r="941" spans="1:50" x14ac:dyDescent="0.3">
      <c r="A941" s="4">
        <f>HYPERLINK("http://legacy.baseballprospectus.com/p/45558",45558)</f>
        <v>45558</v>
      </c>
      <c r="B941" t="s">
        <v>871</v>
      </c>
      <c r="C941" t="s">
        <v>113</v>
      </c>
      <c r="D941" s="10">
        <v>30504</v>
      </c>
      <c r="E941" t="s">
        <v>33</v>
      </c>
      <c r="F941" t="s">
        <v>33</v>
      </c>
      <c r="G941">
        <v>79</v>
      </c>
      <c r="H941">
        <v>235</v>
      </c>
      <c r="I941">
        <v>2018</v>
      </c>
      <c r="J941" s="4" t="str">
        <f>HYPERLINK("http://legacy.baseballprospectus.com/fantasy/dc/index.php?tm=ATL","ATL")</f>
        <v>ATL</v>
      </c>
      <c r="K941" t="s">
        <v>100</v>
      </c>
      <c r="L941" t="s">
        <v>34</v>
      </c>
      <c r="M941">
        <v>34</v>
      </c>
      <c r="N941">
        <v>5</v>
      </c>
      <c r="O941">
        <v>7.8</v>
      </c>
      <c r="P941">
        <v>7</v>
      </c>
      <c r="Q941">
        <v>0</v>
      </c>
      <c r="R941">
        <v>0</v>
      </c>
      <c r="S941">
        <v>0</v>
      </c>
      <c r="T941">
        <v>19</v>
      </c>
      <c r="U941">
        <v>19</v>
      </c>
      <c r="V941" s="9">
        <v>100.66670000000001</v>
      </c>
      <c r="W941">
        <v>448</v>
      </c>
      <c r="X941">
        <v>108</v>
      </c>
      <c r="Y941">
        <v>21</v>
      </c>
      <c r="Z941">
        <v>40</v>
      </c>
      <c r="AA941">
        <v>2</v>
      </c>
      <c r="AB941">
        <v>5</v>
      </c>
      <c r="AC941">
        <v>95</v>
      </c>
      <c r="AD941">
        <v>3.6</v>
      </c>
      <c r="AE941">
        <v>8.5</v>
      </c>
      <c r="AF941" s="5">
        <v>0.42199999999999999</v>
      </c>
      <c r="AG941">
        <v>0.30199999999999999</v>
      </c>
      <c r="AH941">
        <v>1.49</v>
      </c>
      <c r="AI941">
        <v>5.14</v>
      </c>
      <c r="AJ941">
        <v>5.71</v>
      </c>
      <c r="AK941">
        <v>-4.7</v>
      </c>
      <c r="AL941">
        <v>-0.5</v>
      </c>
      <c r="AM941">
        <v>13</v>
      </c>
      <c r="AN941">
        <v>47</v>
      </c>
      <c r="AO941">
        <v>18</v>
      </c>
      <c r="AP941">
        <v>12</v>
      </c>
      <c r="AQ941" t="s">
        <v>2413</v>
      </c>
      <c r="AR941">
        <v>85</v>
      </c>
      <c r="AS941" t="s">
        <v>35</v>
      </c>
      <c r="AT941" t="s">
        <v>36</v>
      </c>
      <c r="AU941" s="4">
        <f>HYPERLINK("http://mlb.mlb.com/team/player.jsp?player_id=435221",435221)</f>
        <v>435221</v>
      </c>
      <c r="AV941">
        <v>1057</v>
      </c>
      <c r="AW941">
        <v>57</v>
      </c>
      <c r="AX941">
        <v>92.7</v>
      </c>
    </row>
    <row r="942" spans="1:50" x14ac:dyDescent="0.3">
      <c r="A942" s="4">
        <f>HYPERLINK("http://legacy.baseballprospectus.com/p/52572",52572)</f>
        <v>52572</v>
      </c>
      <c r="B942" t="s">
        <v>456</v>
      </c>
      <c r="C942" t="s">
        <v>297</v>
      </c>
      <c r="D942" s="10">
        <v>31035</v>
      </c>
      <c r="E942" t="s">
        <v>33</v>
      </c>
      <c r="F942" t="s">
        <v>33</v>
      </c>
      <c r="G942">
        <v>72</v>
      </c>
      <c r="H942">
        <v>200</v>
      </c>
      <c r="I942">
        <v>2018</v>
      </c>
      <c r="J942" s="4" t="str">
        <f>HYPERLINK("http://legacy.baseballprospectus.com/fantasy/dc/index.php?tm=KCA","KCA")</f>
        <v>KCA</v>
      </c>
      <c r="K942" t="s">
        <v>95</v>
      </c>
      <c r="L942" t="s">
        <v>34</v>
      </c>
      <c r="M942">
        <v>33</v>
      </c>
      <c r="N942">
        <v>7.8</v>
      </c>
      <c r="O942">
        <v>13.7</v>
      </c>
      <c r="P942">
        <v>10</v>
      </c>
      <c r="Q942">
        <v>0</v>
      </c>
      <c r="R942">
        <v>0</v>
      </c>
      <c r="S942">
        <v>0</v>
      </c>
      <c r="T942">
        <v>29</v>
      </c>
      <c r="U942">
        <v>29</v>
      </c>
      <c r="V942" s="9">
        <v>174</v>
      </c>
      <c r="W942">
        <v>773</v>
      </c>
      <c r="X942">
        <v>185</v>
      </c>
      <c r="Y942">
        <v>35</v>
      </c>
      <c r="Z942">
        <v>70</v>
      </c>
      <c r="AA942">
        <v>3</v>
      </c>
      <c r="AB942">
        <v>8</v>
      </c>
      <c r="AC942">
        <v>147</v>
      </c>
      <c r="AD942">
        <v>3.6</v>
      </c>
      <c r="AE942">
        <v>7.6</v>
      </c>
      <c r="AF942" s="5">
        <v>0.38500000000000001</v>
      </c>
      <c r="AG942">
        <v>0.29299999999999998</v>
      </c>
      <c r="AH942">
        <v>1.46</v>
      </c>
      <c r="AI942">
        <v>5.44</v>
      </c>
      <c r="AJ942">
        <v>5.76</v>
      </c>
      <c r="AK942">
        <v>-4.2</v>
      </c>
      <c r="AL942">
        <v>-0.5</v>
      </c>
      <c r="AM942">
        <v>23</v>
      </c>
      <c r="AN942">
        <v>48</v>
      </c>
      <c r="AO942">
        <v>14</v>
      </c>
      <c r="AP942">
        <v>8</v>
      </c>
      <c r="AQ942" t="s">
        <v>2988</v>
      </c>
      <c r="AR942">
        <v>88</v>
      </c>
      <c r="AS942" t="s">
        <v>35</v>
      </c>
      <c r="AT942" t="s">
        <v>36</v>
      </c>
      <c r="AU942" s="4">
        <f>HYPERLINK("http://mlb.mlb.com/team/player.jsp?player_id=453178",453178)</f>
        <v>453178</v>
      </c>
      <c r="AV942">
        <v>28</v>
      </c>
      <c r="AW942">
        <v>1028</v>
      </c>
      <c r="AX942">
        <v>154</v>
      </c>
    </row>
    <row r="943" spans="1:50" x14ac:dyDescent="0.3">
      <c r="A943" s="4">
        <f>HYPERLINK("http://legacy.baseballprospectus.com/p/31476",31476)</f>
        <v>31476</v>
      </c>
      <c r="B943" t="s">
        <v>219</v>
      </c>
      <c r="C943" t="s">
        <v>104</v>
      </c>
      <c r="D943" s="10">
        <v>30956</v>
      </c>
      <c r="E943" t="s">
        <v>33</v>
      </c>
      <c r="F943" t="s">
        <v>33</v>
      </c>
      <c r="G943">
        <v>75</v>
      </c>
      <c r="H943">
        <v>230</v>
      </c>
      <c r="I943">
        <v>2018</v>
      </c>
      <c r="J943" s="4" t="str">
        <f>HYPERLINK("http://legacy.baseballprospectus.com/fantasy/dc/index.php?tm=SFN","SFN")</f>
        <v>SFN</v>
      </c>
      <c r="K943" t="s">
        <v>100</v>
      </c>
      <c r="L943" t="s">
        <v>34</v>
      </c>
      <c r="M943">
        <v>33</v>
      </c>
      <c r="N943">
        <v>5.7</v>
      </c>
      <c r="O943">
        <v>7.2</v>
      </c>
      <c r="P943">
        <v>8.1999999999999993</v>
      </c>
      <c r="Q943">
        <v>0</v>
      </c>
      <c r="R943">
        <v>0</v>
      </c>
      <c r="S943">
        <v>0</v>
      </c>
      <c r="T943">
        <v>19.600000000000001</v>
      </c>
      <c r="U943">
        <v>19.600000000000001</v>
      </c>
      <c r="V943" s="9">
        <v>102.66670000000001</v>
      </c>
      <c r="W943">
        <v>443</v>
      </c>
      <c r="X943">
        <v>111</v>
      </c>
      <c r="Y943">
        <v>16</v>
      </c>
      <c r="Z943">
        <v>40</v>
      </c>
      <c r="AA943" t="s">
        <v>1680</v>
      </c>
      <c r="AB943">
        <v>4</v>
      </c>
      <c r="AC943">
        <v>79</v>
      </c>
      <c r="AD943">
        <v>3.5</v>
      </c>
      <c r="AE943">
        <v>6.9</v>
      </c>
      <c r="AF943" s="5">
        <v>0.42268565297126698</v>
      </c>
      <c r="AG943">
        <v>0.313</v>
      </c>
      <c r="AH943">
        <v>1.47</v>
      </c>
      <c r="AI943">
        <v>4.9800000000000004</v>
      </c>
      <c r="AJ943">
        <v>6.06</v>
      </c>
      <c r="AK943">
        <v>-4.7</v>
      </c>
      <c r="AL943">
        <v>-0.5</v>
      </c>
      <c r="AM943">
        <v>18</v>
      </c>
      <c r="AN943">
        <v>36</v>
      </c>
      <c r="AO943">
        <v>19</v>
      </c>
      <c r="AP943">
        <v>15</v>
      </c>
      <c r="AQ943" t="s">
        <v>3022</v>
      </c>
      <c r="AR943">
        <v>76</v>
      </c>
      <c r="AS943" t="s">
        <v>36</v>
      </c>
      <c r="AT943" t="s">
        <v>36</v>
      </c>
      <c r="AU943" s="4">
        <f>HYPERLINK("http://mlb.mlb.com/team/player.jsp?player_id=430912",430912)</f>
        <v>430912</v>
      </c>
      <c r="AV943">
        <v>0</v>
      </c>
      <c r="AW943">
        <v>0</v>
      </c>
      <c r="AX943">
        <v>124.3</v>
      </c>
    </row>
    <row r="944" spans="1:50" x14ac:dyDescent="0.3">
      <c r="A944" s="4">
        <f>HYPERLINK("http://legacy.baseballprospectus.com/p/50616",50616)</f>
        <v>50616</v>
      </c>
      <c r="B944" t="s">
        <v>237</v>
      </c>
      <c r="C944" t="s">
        <v>2228</v>
      </c>
      <c r="D944" s="10">
        <v>32558</v>
      </c>
      <c r="E944" t="s">
        <v>33</v>
      </c>
      <c r="F944" t="s">
        <v>33</v>
      </c>
      <c r="G944">
        <v>73</v>
      </c>
      <c r="H944">
        <v>235</v>
      </c>
      <c r="I944">
        <v>2018</v>
      </c>
      <c r="J944" s="4" t="str">
        <f>HYPERLINK("http://legacy.baseballprospectus.com/fantasy/dc/index.php?tm=LAN","LAN")</f>
        <v>LAN</v>
      </c>
      <c r="K944" t="s">
        <v>100</v>
      </c>
      <c r="L944" t="s">
        <v>34</v>
      </c>
      <c r="M944">
        <v>29</v>
      </c>
      <c r="N944">
        <v>4.0999999999999996</v>
      </c>
      <c r="O944">
        <v>3.5</v>
      </c>
      <c r="P944">
        <v>3.8</v>
      </c>
      <c r="Q944">
        <v>0</v>
      </c>
      <c r="R944">
        <v>0.6</v>
      </c>
      <c r="S944">
        <v>0</v>
      </c>
      <c r="T944">
        <v>37.299999999999997</v>
      </c>
      <c r="U944">
        <v>9.4</v>
      </c>
      <c r="V944" s="9">
        <v>74.666700000000006</v>
      </c>
      <c r="W944">
        <v>318</v>
      </c>
      <c r="X944">
        <v>75</v>
      </c>
      <c r="Y944">
        <v>14</v>
      </c>
      <c r="Z944">
        <v>30</v>
      </c>
      <c r="AA944" t="s">
        <v>1680</v>
      </c>
      <c r="AB944">
        <v>3</v>
      </c>
      <c r="AC944">
        <v>71</v>
      </c>
      <c r="AD944">
        <v>3.7</v>
      </c>
      <c r="AE944">
        <v>8.5</v>
      </c>
      <c r="AF944" s="5">
        <v>0.43235409259796098</v>
      </c>
      <c r="AG944">
        <v>0.30399999999999999</v>
      </c>
      <c r="AH944">
        <v>1.41</v>
      </c>
      <c r="AI944">
        <v>5.1100000000000003</v>
      </c>
      <c r="AJ944">
        <v>5.9</v>
      </c>
      <c r="AK944">
        <v>-4.5999999999999996</v>
      </c>
      <c r="AL944">
        <v>-0.5</v>
      </c>
      <c r="AM944">
        <v>1</v>
      </c>
      <c r="AN944">
        <v>2</v>
      </c>
      <c r="AO944">
        <v>4</v>
      </c>
      <c r="AP944">
        <v>7</v>
      </c>
      <c r="AQ944" t="s">
        <v>3411</v>
      </c>
      <c r="AR944">
        <v>8</v>
      </c>
      <c r="AS944" t="s">
        <v>36</v>
      </c>
      <c r="AT944" t="s">
        <v>35</v>
      </c>
      <c r="AU944" s="4">
        <f>HYPERLINK("http://mlb.mlb.com/team/player.jsp?player_id=503566",503566)</f>
        <v>503566</v>
      </c>
      <c r="AV944">
        <v>0</v>
      </c>
      <c r="AW944">
        <v>0</v>
      </c>
      <c r="AX944">
        <v>1.3</v>
      </c>
    </row>
    <row r="945" spans="1:50" x14ac:dyDescent="0.3">
      <c r="A945" s="4">
        <f>HYPERLINK("http://legacy.baseballprospectus.com/p/51989",51989)</f>
        <v>51989</v>
      </c>
      <c r="B945" t="s">
        <v>706</v>
      </c>
      <c r="C945" t="s">
        <v>204</v>
      </c>
      <c r="D945" s="10">
        <v>30833</v>
      </c>
      <c r="E945" t="s">
        <v>33</v>
      </c>
      <c r="F945" t="s">
        <v>33</v>
      </c>
      <c r="G945">
        <v>75</v>
      </c>
      <c r="H945">
        <v>240</v>
      </c>
      <c r="I945">
        <v>2018</v>
      </c>
      <c r="J945" s="4" t="str">
        <f>HYPERLINK("http://legacy.baseballprospectus.com/fantasy/dc/index.php?tm=ANA","ANA")</f>
        <v>ANA</v>
      </c>
      <c r="K945" t="s">
        <v>95</v>
      </c>
      <c r="L945" t="s">
        <v>34</v>
      </c>
      <c r="M945">
        <v>34</v>
      </c>
      <c r="N945">
        <v>1.4</v>
      </c>
      <c r="O945">
        <v>0.4</v>
      </c>
      <c r="P945">
        <v>0</v>
      </c>
      <c r="Q945">
        <v>0</v>
      </c>
      <c r="R945">
        <v>1.3</v>
      </c>
      <c r="S945">
        <v>0</v>
      </c>
      <c r="T945">
        <v>31.4</v>
      </c>
      <c r="U945">
        <v>0</v>
      </c>
      <c r="V945" s="9">
        <v>33.333300000000001</v>
      </c>
      <c r="W945">
        <v>150</v>
      </c>
      <c r="X945">
        <v>36</v>
      </c>
      <c r="Y945">
        <v>8</v>
      </c>
      <c r="Z945">
        <v>16</v>
      </c>
      <c r="AA945" t="s">
        <v>1680</v>
      </c>
      <c r="AB945">
        <v>1</v>
      </c>
      <c r="AC945">
        <v>26</v>
      </c>
      <c r="AD945">
        <v>4.2</v>
      </c>
      <c r="AE945">
        <v>7.1</v>
      </c>
      <c r="AF945" s="5">
        <v>0.43268734216690002</v>
      </c>
      <c r="AG945">
        <v>0.28499999999999998</v>
      </c>
      <c r="AH945">
        <v>1.56</v>
      </c>
      <c r="AI945">
        <v>6.41</v>
      </c>
      <c r="AJ945">
        <v>6.71</v>
      </c>
      <c r="AK945">
        <v>-5</v>
      </c>
      <c r="AL945">
        <v>-0.5</v>
      </c>
      <c r="AM945">
        <v>20</v>
      </c>
      <c r="AN945">
        <v>31</v>
      </c>
      <c r="AO945">
        <v>14</v>
      </c>
      <c r="AP945">
        <v>12</v>
      </c>
      <c r="AQ945" t="s">
        <v>3259</v>
      </c>
      <c r="AR945">
        <v>60</v>
      </c>
      <c r="AS945" t="s">
        <v>36</v>
      </c>
      <c r="AT945" t="s">
        <v>36</v>
      </c>
      <c r="AU945" s="4">
        <f>HYPERLINK("http://mlb.mlb.com/team/player.jsp?player_id=457732",457732)</f>
        <v>457732</v>
      </c>
      <c r="AV945">
        <v>0</v>
      </c>
      <c r="AW945">
        <v>0</v>
      </c>
      <c r="AX945">
        <v>4</v>
      </c>
    </row>
    <row r="946" spans="1:50" x14ac:dyDescent="0.3">
      <c r="A946" s="4">
        <f>HYPERLINK("http://legacy.baseballprospectus.com/p/56759",56759)</f>
        <v>56759</v>
      </c>
      <c r="B946" t="s">
        <v>942</v>
      </c>
      <c r="C946" t="s">
        <v>245</v>
      </c>
      <c r="D946" s="10">
        <v>31247</v>
      </c>
      <c r="E946" t="s">
        <v>33</v>
      </c>
      <c r="F946" t="s">
        <v>33</v>
      </c>
      <c r="G946">
        <v>75</v>
      </c>
      <c r="H946">
        <v>190</v>
      </c>
      <c r="I946">
        <v>2018</v>
      </c>
      <c r="J946" s="4" t="str">
        <f>HYPERLINK("http://legacy.baseballprospectus.com/fantasy/dc/index.php?tm=TBA","TBA")</f>
        <v>TBA</v>
      </c>
      <c r="K946" t="s">
        <v>95</v>
      </c>
      <c r="L946" t="s">
        <v>34</v>
      </c>
      <c r="M946">
        <v>32</v>
      </c>
      <c r="N946">
        <v>1.4</v>
      </c>
      <c r="O946">
        <v>0.4</v>
      </c>
      <c r="P946">
        <v>0</v>
      </c>
      <c r="Q946">
        <v>0</v>
      </c>
      <c r="R946">
        <v>0.4</v>
      </c>
      <c r="S946">
        <v>0</v>
      </c>
      <c r="T946">
        <v>31.8</v>
      </c>
      <c r="U946">
        <v>0</v>
      </c>
      <c r="V946" s="9">
        <v>33.666699999999999</v>
      </c>
      <c r="W946">
        <v>150</v>
      </c>
      <c r="X946">
        <v>35</v>
      </c>
      <c r="Y946">
        <v>8</v>
      </c>
      <c r="Z946">
        <v>15</v>
      </c>
      <c r="AA946" t="s">
        <v>1680</v>
      </c>
      <c r="AB946">
        <v>1</v>
      </c>
      <c r="AC946">
        <v>31</v>
      </c>
      <c r="AD946">
        <v>3.9</v>
      </c>
      <c r="AE946">
        <v>8.4</v>
      </c>
      <c r="AF946" s="5">
        <v>0.41843375563621499</v>
      </c>
      <c r="AG946">
        <v>0.28499999999999998</v>
      </c>
      <c r="AH946">
        <v>1.48</v>
      </c>
      <c r="AI946">
        <v>6</v>
      </c>
      <c r="AJ946">
        <v>6.42</v>
      </c>
      <c r="AK946">
        <v>-4.2</v>
      </c>
      <c r="AL946">
        <v>-0.5</v>
      </c>
      <c r="AM946">
        <v>16</v>
      </c>
      <c r="AN946">
        <v>31</v>
      </c>
      <c r="AO946">
        <v>26</v>
      </c>
      <c r="AP946">
        <v>14</v>
      </c>
      <c r="AQ946" t="s">
        <v>3164</v>
      </c>
      <c r="AR946">
        <v>67</v>
      </c>
      <c r="AS946" t="s">
        <v>36</v>
      </c>
      <c r="AT946" t="s">
        <v>36</v>
      </c>
      <c r="AU946" s="4">
        <f>HYPERLINK("http://mlb.mlb.com/team/player.jsp?player_id=519267",519267)</f>
        <v>519267</v>
      </c>
      <c r="AV946">
        <v>0</v>
      </c>
      <c r="AW946">
        <v>0</v>
      </c>
      <c r="AX946">
        <v>7.3</v>
      </c>
    </row>
    <row r="947" spans="1:50" x14ac:dyDescent="0.3">
      <c r="A947" s="4">
        <f>HYPERLINK("http://legacy.baseballprospectus.com/p/99971",99971)</f>
        <v>99971</v>
      </c>
      <c r="B947" t="s">
        <v>493</v>
      </c>
      <c r="C947" t="s">
        <v>182</v>
      </c>
      <c r="D947" s="10">
        <v>33256</v>
      </c>
      <c r="E947" t="s">
        <v>33</v>
      </c>
      <c r="F947" t="s">
        <v>33</v>
      </c>
      <c r="G947">
        <v>79</v>
      </c>
      <c r="H947">
        <v>230</v>
      </c>
      <c r="I947">
        <v>2018</v>
      </c>
      <c r="J947" s="4" t="str">
        <f>HYPERLINK("http://legacy.baseballprospectus.com/fantasy/dc/index.php?tm=BOS","BOS")</f>
        <v>BOS</v>
      </c>
      <c r="K947" t="s">
        <v>95</v>
      </c>
      <c r="L947" t="s">
        <v>34</v>
      </c>
      <c r="M947">
        <v>27</v>
      </c>
      <c r="N947">
        <v>2.2000000000000002</v>
      </c>
      <c r="O947">
        <v>0.7</v>
      </c>
      <c r="P947">
        <v>0</v>
      </c>
      <c r="Q947">
        <v>0</v>
      </c>
      <c r="R947">
        <v>1</v>
      </c>
      <c r="S947">
        <v>0</v>
      </c>
      <c r="T947">
        <v>46.2</v>
      </c>
      <c r="U947">
        <v>0</v>
      </c>
      <c r="V947" s="9">
        <v>49</v>
      </c>
      <c r="W947">
        <v>221</v>
      </c>
      <c r="X947">
        <v>54</v>
      </c>
      <c r="Y947">
        <v>9</v>
      </c>
      <c r="Z947">
        <v>22</v>
      </c>
      <c r="AA947" t="s">
        <v>1680</v>
      </c>
      <c r="AB947">
        <v>3</v>
      </c>
      <c r="AC947">
        <v>48</v>
      </c>
      <c r="AD947">
        <v>4.0999999999999996</v>
      </c>
      <c r="AE947">
        <v>8.9</v>
      </c>
      <c r="AF947" s="5">
        <v>0.40899187326431202</v>
      </c>
      <c r="AG947">
        <v>0.32300000000000001</v>
      </c>
      <c r="AH947">
        <v>1.56</v>
      </c>
      <c r="AI947">
        <v>5.29</v>
      </c>
      <c r="AJ947">
        <v>5.79</v>
      </c>
      <c r="AK947">
        <v>-4.4000000000000004</v>
      </c>
      <c r="AL947">
        <v>-0.5</v>
      </c>
      <c r="AM947">
        <v>4</v>
      </c>
      <c r="AN947">
        <v>6</v>
      </c>
      <c r="AO947">
        <v>6</v>
      </c>
      <c r="AP947">
        <v>10</v>
      </c>
      <c r="AQ947" t="s">
        <v>3339</v>
      </c>
      <c r="AR947">
        <v>15</v>
      </c>
      <c r="AS947" t="s">
        <v>36</v>
      </c>
      <c r="AT947" t="s">
        <v>35</v>
      </c>
      <c r="AU947" s="4">
        <f>HYPERLINK("http://mlb.mlb.com/team/player.jsp?player_id=573016",573016)</f>
        <v>573016</v>
      </c>
      <c r="AV947">
        <v>0</v>
      </c>
      <c r="AW947">
        <v>0</v>
      </c>
      <c r="AX947">
        <v>2.2999999999999998</v>
      </c>
    </row>
    <row r="948" spans="1:50" x14ac:dyDescent="0.3">
      <c r="A948" s="4">
        <f>HYPERLINK("http://legacy.baseballprospectus.com/p/102675",102675)</f>
        <v>102675</v>
      </c>
      <c r="B948" t="s">
        <v>2154</v>
      </c>
      <c r="C948" t="s">
        <v>2155</v>
      </c>
      <c r="D948" s="10">
        <v>34224</v>
      </c>
      <c r="E948" t="s">
        <v>33</v>
      </c>
      <c r="F948" t="s">
        <v>33</v>
      </c>
      <c r="G948">
        <v>74</v>
      </c>
      <c r="H948">
        <v>185</v>
      </c>
      <c r="I948">
        <v>2018</v>
      </c>
      <c r="J948" s="4" t="str">
        <f>HYPERLINK("http://legacy.baseballprospectus.com/fantasy/dc/index.php?tm=ANA","ANA")</f>
        <v>ANA</v>
      </c>
      <c r="K948" t="s">
        <v>95</v>
      </c>
      <c r="L948" t="s">
        <v>34</v>
      </c>
      <c r="M948">
        <v>24</v>
      </c>
      <c r="N948">
        <v>2.7</v>
      </c>
      <c r="O948">
        <v>3.3</v>
      </c>
      <c r="P948">
        <v>0</v>
      </c>
      <c r="Q948">
        <v>0</v>
      </c>
      <c r="R948">
        <v>0</v>
      </c>
      <c r="S948">
        <v>2</v>
      </c>
      <c r="T948">
        <v>60</v>
      </c>
      <c r="U948">
        <v>0</v>
      </c>
      <c r="V948" s="9">
        <v>63.333300000000001</v>
      </c>
      <c r="W948">
        <v>279</v>
      </c>
      <c r="X948">
        <v>66</v>
      </c>
      <c r="Y948">
        <v>15</v>
      </c>
      <c r="Z948">
        <v>27</v>
      </c>
      <c r="AA948">
        <v>2</v>
      </c>
      <c r="AB948">
        <v>2</v>
      </c>
      <c r="AC948">
        <v>64</v>
      </c>
      <c r="AD948">
        <v>3.8</v>
      </c>
      <c r="AE948">
        <v>9.1</v>
      </c>
      <c r="AF948" s="5">
        <v>0.38600000000000001</v>
      </c>
      <c r="AG948">
        <v>0.29599999999999999</v>
      </c>
      <c r="AH948">
        <v>1.47</v>
      </c>
      <c r="AI948">
        <v>5.9</v>
      </c>
      <c r="AJ948">
        <v>5.93</v>
      </c>
      <c r="AK948">
        <v>-4.4000000000000004</v>
      </c>
      <c r="AL948">
        <v>-0.5</v>
      </c>
      <c r="AM948">
        <v>21</v>
      </c>
      <c r="AN948">
        <v>29</v>
      </c>
      <c r="AO948">
        <v>4</v>
      </c>
      <c r="AP948">
        <v>21</v>
      </c>
      <c r="AQ948" t="s">
        <v>3092</v>
      </c>
      <c r="AR948">
        <v>42</v>
      </c>
      <c r="AS948" t="s">
        <v>35</v>
      </c>
      <c r="AT948" t="s">
        <v>36</v>
      </c>
      <c r="AU948" s="4">
        <f>HYPERLINK("http://mlb.mlb.com/team/player.jsp?player_id=641871",641871)</f>
        <v>641871</v>
      </c>
      <c r="AV948">
        <v>265</v>
      </c>
      <c r="AW948">
        <v>1265</v>
      </c>
      <c r="AX948">
        <v>58.3</v>
      </c>
    </row>
    <row r="949" spans="1:50" x14ac:dyDescent="0.3">
      <c r="A949" s="4">
        <f>HYPERLINK("http://legacy.baseballprospectus.com/p/100817",100817)</f>
        <v>100817</v>
      </c>
      <c r="B949" t="s">
        <v>2139</v>
      </c>
      <c r="C949" t="s">
        <v>337</v>
      </c>
      <c r="D949" s="10">
        <v>34765</v>
      </c>
      <c r="E949" t="s">
        <v>33</v>
      </c>
      <c r="F949" t="s">
        <v>33</v>
      </c>
      <c r="G949">
        <v>74</v>
      </c>
      <c r="H949">
        <v>175</v>
      </c>
      <c r="I949">
        <v>2018</v>
      </c>
      <c r="J949" s="4" t="str">
        <f>HYPERLINK("http://legacy.baseballprospectus.com/fantasy/dc/index.php?tm=BAL","BAL")</f>
        <v>BAL</v>
      </c>
      <c r="K949" t="s">
        <v>95</v>
      </c>
      <c r="L949" t="s">
        <v>34</v>
      </c>
      <c r="M949">
        <v>23</v>
      </c>
      <c r="N949">
        <v>1.2</v>
      </c>
      <c r="O949">
        <v>0.3</v>
      </c>
      <c r="P949">
        <v>0</v>
      </c>
      <c r="Q949">
        <v>0</v>
      </c>
      <c r="R949">
        <v>0</v>
      </c>
      <c r="S949">
        <v>0</v>
      </c>
      <c r="T949">
        <v>26.3</v>
      </c>
      <c r="U949">
        <v>0</v>
      </c>
      <c r="V949" s="9">
        <v>27.666699999999999</v>
      </c>
      <c r="W949">
        <v>125</v>
      </c>
      <c r="X949">
        <v>27</v>
      </c>
      <c r="Y949">
        <v>7</v>
      </c>
      <c r="Z949">
        <v>15</v>
      </c>
      <c r="AA949" t="s">
        <v>1680</v>
      </c>
      <c r="AB949">
        <v>1</v>
      </c>
      <c r="AC949">
        <v>33</v>
      </c>
      <c r="AD949">
        <v>4.9000000000000004</v>
      </c>
      <c r="AE949">
        <v>10.8</v>
      </c>
      <c r="AF949" s="5">
        <v>0.36598873138427701</v>
      </c>
      <c r="AG949">
        <v>0.29299999999999998</v>
      </c>
      <c r="AH949">
        <v>1.52</v>
      </c>
      <c r="AI949">
        <v>6.19</v>
      </c>
      <c r="AJ949">
        <v>6.31</v>
      </c>
      <c r="AK949">
        <v>-4.8</v>
      </c>
      <c r="AL949">
        <v>-0.5</v>
      </c>
      <c r="AM949">
        <v>7</v>
      </c>
      <c r="AN949">
        <v>8</v>
      </c>
      <c r="AO949">
        <v>3</v>
      </c>
      <c r="AP949">
        <v>7</v>
      </c>
      <c r="AQ949" t="s">
        <v>3337</v>
      </c>
      <c r="AR949">
        <v>11</v>
      </c>
      <c r="AS949" t="s">
        <v>36</v>
      </c>
      <c r="AT949" t="s">
        <v>35</v>
      </c>
      <c r="AU949" s="4">
        <f>HYPERLINK("http://mlb.mlb.com/team/player.jsp?player_id=622338",622338)</f>
        <v>622338</v>
      </c>
      <c r="AV949">
        <v>0</v>
      </c>
      <c r="AW949">
        <v>0</v>
      </c>
      <c r="AX949">
        <v>0</v>
      </c>
    </row>
    <row r="950" spans="1:50" x14ac:dyDescent="0.3">
      <c r="A950" s="4">
        <f>HYPERLINK("http://legacy.baseballprospectus.com/p/103105",103105)</f>
        <v>103105</v>
      </c>
      <c r="B950" t="s">
        <v>2101</v>
      </c>
      <c r="C950" t="s">
        <v>661</v>
      </c>
      <c r="D950" s="10">
        <v>34762</v>
      </c>
      <c r="E950" t="s">
        <v>33</v>
      </c>
      <c r="F950" t="s">
        <v>33</v>
      </c>
      <c r="G950">
        <v>76</v>
      </c>
      <c r="H950">
        <v>200</v>
      </c>
      <c r="I950">
        <v>2018</v>
      </c>
      <c r="J950" s="4" t="str">
        <f>HYPERLINK("http://legacy.baseballprospectus.com/fantasy/dc/index.php?tm=CHN","CHN")</f>
        <v>CHN</v>
      </c>
      <c r="K950" t="s">
        <v>100</v>
      </c>
      <c r="L950" t="s">
        <v>34</v>
      </c>
      <c r="M950">
        <v>23</v>
      </c>
      <c r="N950">
        <v>2.6</v>
      </c>
      <c r="O950">
        <v>3.3</v>
      </c>
      <c r="P950">
        <v>2.6</v>
      </c>
      <c r="Q950">
        <v>0</v>
      </c>
      <c r="R950">
        <v>0</v>
      </c>
      <c r="S950">
        <v>0</v>
      </c>
      <c r="T950">
        <v>8.9</v>
      </c>
      <c r="U950">
        <v>8.9</v>
      </c>
      <c r="V950" s="9">
        <v>44.666699999999999</v>
      </c>
      <c r="W950">
        <v>194</v>
      </c>
      <c r="X950">
        <v>48</v>
      </c>
      <c r="Y950">
        <v>12</v>
      </c>
      <c r="Z950">
        <v>17</v>
      </c>
      <c r="AA950" t="s">
        <v>1680</v>
      </c>
      <c r="AB950">
        <v>4</v>
      </c>
      <c r="AC950">
        <v>45</v>
      </c>
      <c r="AD950">
        <v>3.5</v>
      </c>
      <c r="AE950">
        <v>9</v>
      </c>
      <c r="AF950" s="5">
        <v>0.385536909103393</v>
      </c>
      <c r="AG950">
        <v>0.314</v>
      </c>
      <c r="AH950">
        <v>1.47</v>
      </c>
      <c r="AI950">
        <v>6.02</v>
      </c>
      <c r="AJ950">
        <v>6.64</v>
      </c>
      <c r="AK950">
        <v>-4.7</v>
      </c>
      <c r="AL950">
        <v>-0.5</v>
      </c>
      <c r="AM950">
        <v>5</v>
      </c>
      <c r="AN950">
        <v>5</v>
      </c>
      <c r="AO950">
        <v>2</v>
      </c>
      <c r="AP950">
        <v>9</v>
      </c>
      <c r="AQ950" t="s">
        <v>3116</v>
      </c>
      <c r="AR950">
        <v>9</v>
      </c>
      <c r="AS950" t="s">
        <v>36</v>
      </c>
      <c r="AT950" t="s">
        <v>35</v>
      </c>
      <c r="AU950" s="4">
        <f>HYPERLINK("http://mlb.mlb.com/team/player.jsp?player_id=642601",642601)</f>
        <v>642601</v>
      </c>
      <c r="AV950">
        <v>1166</v>
      </c>
      <c r="AW950">
        <v>166</v>
      </c>
      <c r="AX950">
        <v>0</v>
      </c>
    </row>
    <row r="951" spans="1:50" x14ac:dyDescent="0.3">
      <c r="A951" s="4">
        <f>HYPERLINK("http://legacy.baseballprospectus.com/p/103111",103111)</f>
        <v>103111</v>
      </c>
      <c r="B951" t="s">
        <v>2682</v>
      </c>
      <c r="C951" t="s">
        <v>1385</v>
      </c>
      <c r="D951" s="10">
        <v>34696</v>
      </c>
      <c r="E951" t="s">
        <v>33</v>
      </c>
      <c r="F951" t="s">
        <v>33</v>
      </c>
      <c r="G951">
        <v>75</v>
      </c>
      <c r="H951">
        <v>216</v>
      </c>
      <c r="I951">
        <v>2018</v>
      </c>
      <c r="J951" s="4" t="str">
        <f>HYPERLINK("http://legacy.baseballprospectus.com/fantasy/dc/index.php?tm=PIT","PIT")</f>
        <v>PIT</v>
      </c>
      <c r="K951" t="s">
        <v>100</v>
      </c>
      <c r="L951" t="s">
        <v>34</v>
      </c>
      <c r="M951">
        <v>23</v>
      </c>
      <c r="N951">
        <v>4.4000000000000004</v>
      </c>
      <c r="O951">
        <v>5.7</v>
      </c>
      <c r="P951">
        <v>5.2</v>
      </c>
      <c r="Q951">
        <v>0</v>
      </c>
      <c r="R951">
        <v>0</v>
      </c>
      <c r="S951">
        <v>0</v>
      </c>
      <c r="T951">
        <v>14.6</v>
      </c>
      <c r="U951">
        <v>14.6</v>
      </c>
      <c r="V951" s="9">
        <v>79.333299999999994</v>
      </c>
      <c r="W951">
        <v>338</v>
      </c>
      <c r="X951">
        <v>93</v>
      </c>
      <c r="Y951">
        <v>18</v>
      </c>
      <c r="Z951">
        <v>21</v>
      </c>
      <c r="AA951" t="s">
        <v>1680</v>
      </c>
      <c r="AB951">
        <v>3</v>
      </c>
      <c r="AC951">
        <v>61</v>
      </c>
      <c r="AD951">
        <v>2.4</v>
      </c>
      <c r="AE951">
        <v>6.9</v>
      </c>
      <c r="AF951" s="5">
        <v>0.47371625900268499</v>
      </c>
      <c r="AG951">
        <v>0.32100000000000001</v>
      </c>
      <c r="AH951">
        <v>1.44</v>
      </c>
      <c r="AI951">
        <v>5.54</v>
      </c>
      <c r="AJ951">
        <v>6.2</v>
      </c>
      <c r="AK951">
        <v>-4.8</v>
      </c>
      <c r="AL951">
        <v>-0.5</v>
      </c>
      <c r="AM951">
        <v>1</v>
      </c>
      <c r="AN951">
        <v>2</v>
      </c>
      <c r="AO951">
        <v>0</v>
      </c>
      <c r="AP951">
        <v>1</v>
      </c>
      <c r="AQ951" t="s">
        <v>2683</v>
      </c>
      <c r="AR951">
        <v>2</v>
      </c>
      <c r="AS951" t="s">
        <v>36</v>
      </c>
      <c r="AT951" t="s">
        <v>35</v>
      </c>
      <c r="AU951" s="4">
        <f>HYPERLINK("http://mlb.mlb.com/team/player.jsp?player_id=642607",642607)</f>
        <v>642607</v>
      </c>
      <c r="AV951">
        <v>0</v>
      </c>
      <c r="AW951">
        <v>0</v>
      </c>
      <c r="AX951">
        <v>0</v>
      </c>
    </row>
    <row r="952" spans="1:50" x14ac:dyDescent="0.3">
      <c r="A952" s="4">
        <f>HYPERLINK("http://legacy.baseballprospectus.com/p/104735",104735)</f>
        <v>104735</v>
      </c>
      <c r="B952" t="s">
        <v>1676</v>
      </c>
      <c r="C952" t="s">
        <v>146</v>
      </c>
      <c r="D952" s="10">
        <v>33650</v>
      </c>
      <c r="E952" t="s">
        <v>33</v>
      </c>
      <c r="F952" t="s">
        <v>33</v>
      </c>
      <c r="G952">
        <v>72</v>
      </c>
      <c r="H952">
        <v>200</v>
      </c>
      <c r="I952">
        <v>2018</v>
      </c>
      <c r="J952" s="4" t="str">
        <f>HYPERLINK("http://legacy.baseballprospectus.com/fantasy/dc/index.php?tm=MIA","MIA")</f>
        <v>MIA</v>
      </c>
      <c r="K952" t="s">
        <v>100</v>
      </c>
      <c r="L952" t="s">
        <v>34</v>
      </c>
      <c r="M952">
        <v>26</v>
      </c>
      <c r="N952">
        <v>3.1</v>
      </c>
      <c r="O952">
        <v>4.2</v>
      </c>
      <c r="P952">
        <v>4.2</v>
      </c>
      <c r="Q952">
        <v>0</v>
      </c>
      <c r="R952">
        <v>0.2</v>
      </c>
      <c r="S952">
        <v>0</v>
      </c>
      <c r="T952">
        <v>17.8</v>
      </c>
      <c r="U952">
        <v>11.4</v>
      </c>
      <c r="V952" s="9">
        <v>58.666699999999999</v>
      </c>
      <c r="W952">
        <v>256</v>
      </c>
      <c r="X952">
        <v>63</v>
      </c>
      <c r="Y952">
        <v>12</v>
      </c>
      <c r="Z952">
        <v>26</v>
      </c>
      <c r="AA952" t="s">
        <v>1680</v>
      </c>
      <c r="AB952">
        <v>3</v>
      </c>
      <c r="AC952">
        <v>53</v>
      </c>
      <c r="AD952">
        <v>3.9</v>
      </c>
      <c r="AE952">
        <v>8.1</v>
      </c>
      <c r="AF952" s="5">
        <v>0.42865616083145103</v>
      </c>
      <c r="AG952">
        <v>0.318</v>
      </c>
      <c r="AH952">
        <v>1.51</v>
      </c>
      <c r="AI952">
        <v>5.41</v>
      </c>
      <c r="AJ952">
        <v>6.12</v>
      </c>
      <c r="AK952">
        <v>-4.3</v>
      </c>
      <c r="AL952">
        <v>-0.5</v>
      </c>
      <c r="AM952">
        <v>3</v>
      </c>
      <c r="AN952">
        <v>5</v>
      </c>
      <c r="AO952">
        <v>2</v>
      </c>
      <c r="AP952">
        <v>6</v>
      </c>
      <c r="AQ952" t="s">
        <v>3222</v>
      </c>
      <c r="AR952">
        <v>8</v>
      </c>
      <c r="AS952" t="s">
        <v>36</v>
      </c>
      <c r="AT952" t="s">
        <v>35</v>
      </c>
      <c r="AU952" s="4">
        <f>HYPERLINK("http://mlb.mlb.com/team/player.jsp?player_id=656257",656257)</f>
        <v>656257</v>
      </c>
      <c r="AV952">
        <v>0</v>
      </c>
      <c r="AW952">
        <v>0</v>
      </c>
      <c r="AX952">
        <v>0</v>
      </c>
    </row>
    <row r="953" spans="1:50" x14ac:dyDescent="0.3">
      <c r="A953" s="4">
        <f>HYPERLINK("http://legacy.baseballprospectus.com/p/104847",104847)</f>
        <v>104847</v>
      </c>
      <c r="B953" t="s">
        <v>1511</v>
      </c>
      <c r="C953" t="s">
        <v>1512</v>
      </c>
      <c r="D953" s="10">
        <v>35210</v>
      </c>
      <c r="E953" t="s">
        <v>9</v>
      </c>
      <c r="F953" t="s">
        <v>9</v>
      </c>
      <c r="G953">
        <v>74</v>
      </c>
      <c r="H953">
        <v>180</v>
      </c>
      <c r="I953">
        <v>2018</v>
      </c>
      <c r="J953" s="4" t="str">
        <f>HYPERLINK("http://legacy.baseballprospectus.com/fantasy/dc/index.php?tm=MIL","MIL")</f>
        <v>MIL</v>
      </c>
      <c r="K953" t="s">
        <v>100</v>
      </c>
      <c r="L953" t="s">
        <v>34</v>
      </c>
      <c r="M953">
        <v>22</v>
      </c>
      <c r="N953">
        <v>5.9</v>
      </c>
      <c r="O953">
        <v>6.7</v>
      </c>
      <c r="P953">
        <v>7.7</v>
      </c>
      <c r="Q953">
        <v>0</v>
      </c>
      <c r="R953">
        <v>0.8</v>
      </c>
      <c r="S953">
        <v>0</v>
      </c>
      <c r="T953">
        <v>40.299999999999997</v>
      </c>
      <c r="U953">
        <v>19.3</v>
      </c>
      <c r="V953" s="9">
        <v>105.66670000000001</v>
      </c>
      <c r="W953">
        <v>463</v>
      </c>
      <c r="X953">
        <v>107</v>
      </c>
      <c r="Y953">
        <v>18</v>
      </c>
      <c r="Z953">
        <v>54</v>
      </c>
      <c r="AA953" t="s">
        <v>1680</v>
      </c>
      <c r="AB953">
        <v>7</v>
      </c>
      <c r="AC953">
        <v>108</v>
      </c>
      <c r="AD953">
        <v>4.5999999999999996</v>
      </c>
      <c r="AE953">
        <v>9.1999999999999993</v>
      </c>
      <c r="AF953" s="5">
        <v>0.48321840167045499</v>
      </c>
      <c r="AG953">
        <v>0.32300000000000001</v>
      </c>
      <c r="AH953">
        <v>1.53</v>
      </c>
      <c r="AI953">
        <v>5.12</v>
      </c>
      <c r="AJ953">
        <v>5.76</v>
      </c>
      <c r="AK953">
        <v>-4.2</v>
      </c>
      <c r="AL953">
        <v>-0.5</v>
      </c>
      <c r="AM953">
        <v>6</v>
      </c>
      <c r="AN953">
        <v>7</v>
      </c>
      <c r="AO953">
        <v>0</v>
      </c>
      <c r="AP953">
        <v>7</v>
      </c>
      <c r="AQ953" t="s">
        <v>3351</v>
      </c>
      <c r="AR953">
        <v>11</v>
      </c>
      <c r="AS953" t="s">
        <v>36</v>
      </c>
      <c r="AT953" t="s">
        <v>35</v>
      </c>
      <c r="AU953" s="4">
        <f>HYPERLINK("http://mlb.mlb.com/team/player.jsp?player_id=656727",656727)</f>
        <v>656727</v>
      </c>
      <c r="AV953">
        <v>1769</v>
      </c>
      <c r="AW953">
        <v>769</v>
      </c>
      <c r="AX953">
        <v>0</v>
      </c>
    </row>
    <row r="954" spans="1:50" x14ac:dyDescent="0.3">
      <c r="A954" s="4">
        <f>HYPERLINK("http://legacy.baseballprospectus.com/p/106074",106074)</f>
        <v>106074</v>
      </c>
      <c r="B954" t="s">
        <v>1894</v>
      </c>
      <c r="C954" t="s">
        <v>3399</v>
      </c>
      <c r="D954" s="10">
        <v>36033</v>
      </c>
      <c r="E954" t="s">
        <v>33</v>
      </c>
      <c r="F954" t="s">
        <v>33</v>
      </c>
      <c r="G954">
        <v>73</v>
      </c>
      <c r="H954">
        <v>180</v>
      </c>
      <c r="I954">
        <v>2018</v>
      </c>
      <c r="J954" s="4" t="str">
        <f>HYPERLINK("http://legacy.baseballprospectus.com/fantasy/dc/index.php?tm=MIN","MIN")</f>
        <v>MIN</v>
      </c>
      <c r="K954" t="s">
        <v>95</v>
      </c>
      <c r="L954" t="s">
        <v>34</v>
      </c>
      <c r="M954">
        <v>19</v>
      </c>
      <c r="N954">
        <v>1.6</v>
      </c>
      <c r="O954">
        <v>2.2999999999999998</v>
      </c>
      <c r="P954">
        <v>1.4</v>
      </c>
      <c r="Q954">
        <v>0</v>
      </c>
      <c r="R954">
        <v>0.3</v>
      </c>
      <c r="S954">
        <v>0</v>
      </c>
      <c r="T954">
        <v>14.2</v>
      </c>
      <c r="U954">
        <v>5.9</v>
      </c>
      <c r="V954" s="9">
        <v>32</v>
      </c>
      <c r="W954">
        <v>150</v>
      </c>
      <c r="X954">
        <v>37</v>
      </c>
      <c r="Y954">
        <v>8</v>
      </c>
      <c r="Z954">
        <v>18</v>
      </c>
      <c r="AA954" t="s">
        <v>1680</v>
      </c>
      <c r="AB954">
        <v>2</v>
      </c>
      <c r="AC954">
        <v>32</v>
      </c>
      <c r="AD954">
        <v>5</v>
      </c>
      <c r="AE954">
        <v>8.9</v>
      </c>
      <c r="AF954" s="5">
        <v>0.47513321042060802</v>
      </c>
      <c r="AG954">
        <v>0.317</v>
      </c>
      <c r="AH954">
        <v>1.7</v>
      </c>
      <c r="AI954">
        <v>6.45</v>
      </c>
      <c r="AJ954">
        <v>6.6</v>
      </c>
      <c r="AK954">
        <v>-5</v>
      </c>
      <c r="AL954">
        <v>-0.5</v>
      </c>
      <c r="AM954">
        <v>0</v>
      </c>
      <c r="AN954">
        <v>0</v>
      </c>
      <c r="AO954">
        <v>0</v>
      </c>
      <c r="AP954">
        <v>0</v>
      </c>
      <c r="AQ954" t="s">
        <v>3400</v>
      </c>
      <c r="AR954">
        <v>0</v>
      </c>
      <c r="AS954" t="s">
        <v>36</v>
      </c>
      <c r="AT954" t="s">
        <v>35</v>
      </c>
      <c r="AU954" s="4">
        <f>HYPERLINK("http://mlb.mlb.com/team/player.jsp?player_id=660813",660813)</f>
        <v>660813</v>
      </c>
      <c r="AV954">
        <v>0</v>
      </c>
      <c r="AW954">
        <v>0</v>
      </c>
      <c r="AX954">
        <v>0</v>
      </c>
    </row>
    <row r="955" spans="1:50" x14ac:dyDescent="0.3">
      <c r="A955" s="4">
        <f>HYPERLINK("http://legacy.baseballprospectus.com/p/106984",106984)</f>
        <v>106984</v>
      </c>
      <c r="B955" t="s">
        <v>2034</v>
      </c>
      <c r="C955" t="s">
        <v>538</v>
      </c>
      <c r="D955" s="10">
        <v>35228</v>
      </c>
      <c r="E955" t="s">
        <v>33</v>
      </c>
      <c r="F955" t="s">
        <v>9</v>
      </c>
      <c r="G955">
        <v>74</v>
      </c>
      <c r="H955">
        <v>181</v>
      </c>
      <c r="I955">
        <v>2018</v>
      </c>
      <c r="J955" s="4" t="str">
        <f>HYPERLINK("http://legacy.baseballprospectus.com/fantasy/dc/index.php?tm=NYN","NYN")</f>
        <v>NYN</v>
      </c>
      <c r="K955" t="s">
        <v>100</v>
      </c>
      <c r="L955" t="s">
        <v>34</v>
      </c>
      <c r="M955">
        <v>22</v>
      </c>
      <c r="N955">
        <v>1.6</v>
      </c>
      <c r="O955">
        <v>2.7</v>
      </c>
      <c r="P955">
        <v>1.8</v>
      </c>
      <c r="Q955">
        <v>0</v>
      </c>
      <c r="R955">
        <v>0</v>
      </c>
      <c r="S955">
        <v>0</v>
      </c>
      <c r="T955">
        <v>6.4</v>
      </c>
      <c r="U955">
        <v>6.4</v>
      </c>
      <c r="V955" s="9">
        <v>33.666699999999999</v>
      </c>
      <c r="W955">
        <v>150</v>
      </c>
      <c r="X955">
        <v>37</v>
      </c>
      <c r="Y955">
        <v>9</v>
      </c>
      <c r="Z955">
        <v>17</v>
      </c>
      <c r="AA955" t="s">
        <v>1680</v>
      </c>
      <c r="AB955">
        <v>2</v>
      </c>
      <c r="AC955">
        <v>37</v>
      </c>
      <c r="AD955">
        <v>4.5</v>
      </c>
      <c r="AE955">
        <v>9.9</v>
      </c>
      <c r="AF955" s="5">
        <v>0.42497292160987798</v>
      </c>
      <c r="AG955">
        <v>0.33</v>
      </c>
      <c r="AH955">
        <v>1.6</v>
      </c>
      <c r="AI955">
        <v>6.13</v>
      </c>
      <c r="AJ955">
        <v>6.84</v>
      </c>
      <c r="AK955">
        <v>-4.3</v>
      </c>
      <c r="AL955">
        <v>-0.5</v>
      </c>
      <c r="AM955">
        <v>5</v>
      </c>
      <c r="AN955">
        <v>7</v>
      </c>
      <c r="AO955">
        <v>5</v>
      </c>
      <c r="AP955">
        <v>9</v>
      </c>
      <c r="AQ955" t="s">
        <v>3299</v>
      </c>
      <c r="AR955">
        <v>12</v>
      </c>
      <c r="AS955" t="s">
        <v>36</v>
      </c>
      <c r="AT955" t="s">
        <v>35</v>
      </c>
      <c r="AU955" s="4">
        <f>HYPERLINK("http://mlb.mlb.com/team/player.jsp?player_id=663378",663378)</f>
        <v>663378</v>
      </c>
      <c r="AV955">
        <v>1184</v>
      </c>
      <c r="AW955">
        <v>184</v>
      </c>
      <c r="AX955">
        <v>0</v>
      </c>
    </row>
    <row r="956" spans="1:50" x14ac:dyDescent="0.3">
      <c r="A956" s="4">
        <f>HYPERLINK("http://legacy.baseballprospectus.com/p/106989",106989)</f>
        <v>106989</v>
      </c>
      <c r="B956" t="s">
        <v>1654</v>
      </c>
      <c r="C956" t="s">
        <v>807</v>
      </c>
      <c r="D956" s="10">
        <v>34455</v>
      </c>
      <c r="E956" t="s">
        <v>33</v>
      </c>
      <c r="F956" t="s">
        <v>33</v>
      </c>
      <c r="G956">
        <v>74</v>
      </c>
      <c r="H956">
        <v>195</v>
      </c>
      <c r="I956">
        <v>2018</v>
      </c>
      <c r="J956" s="4" t="str">
        <f>HYPERLINK("http://legacy.baseballprospectus.com/fantasy/dc/index.php?tm=NYA","NYA")</f>
        <v>NYA</v>
      </c>
      <c r="K956" t="s">
        <v>95</v>
      </c>
      <c r="L956" t="s">
        <v>34</v>
      </c>
      <c r="M956">
        <v>24</v>
      </c>
      <c r="N956">
        <v>3.7</v>
      </c>
      <c r="O956">
        <v>4.9000000000000004</v>
      </c>
      <c r="P956">
        <v>4</v>
      </c>
      <c r="Q956">
        <v>0</v>
      </c>
      <c r="R956">
        <v>0.2</v>
      </c>
      <c r="S956">
        <v>0</v>
      </c>
      <c r="T956">
        <v>19.7</v>
      </c>
      <c r="U956">
        <v>13.3</v>
      </c>
      <c r="V956" s="9">
        <v>67.333299999999994</v>
      </c>
      <c r="W956">
        <v>300</v>
      </c>
      <c r="X956">
        <v>73</v>
      </c>
      <c r="Y956">
        <v>16</v>
      </c>
      <c r="Z956">
        <v>28</v>
      </c>
      <c r="AA956" t="s">
        <v>1680</v>
      </c>
      <c r="AB956">
        <v>4</v>
      </c>
      <c r="AC956">
        <v>61</v>
      </c>
      <c r="AD956">
        <v>3.7</v>
      </c>
      <c r="AE956">
        <v>8.1</v>
      </c>
      <c r="AF956" s="5">
        <v>0.470463186502456</v>
      </c>
      <c r="AG956">
        <v>0.29499999999999998</v>
      </c>
      <c r="AH956">
        <v>1.49</v>
      </c>
      <c r="AI956">
        <v>5.95</v>
      </c>
      <c r="AJ956">
        <v>6.25</v>
      </c>
      <c r="AK956">
        <v>-4.5</v>
      </c>
      <c r="AL956">
        <v>-0.5</v>
      </c>
      <c r="AM956">
        <v>5</v>
      </c>
      <c r="AN956">
        <v>5</v>
      </c>
      <c r="AO956">
        <v>2</v>
      </c>
      <c r="AP956">
        <v>5</v>
      </c>
      <c r="AQ956" t="s">
        <v>4950</v>
      </c>
      <c r="AR956">
        <v>7</v>
      </c>
      <c r="AS956" t="s">
        <v>36</v>
      </c>
      <c r="AT956" t="s">
        <v>35</v>
      </c>
      <c r="AU956" s="4">
        <f>HYPERLINK("http://mlb.mlb.com/team/player.jsp?player_id=622253",622253)</f>
        <v>622253</v>
      </c>
      <c r="AV956">
        <v>188</v>
      </c>
      <c r="AW956">
        <v>1188</v>
      </c>
      <c r="AX956">
        <v>0</v>
      </c>
    </row>
    <row r="957" spans="1:50" x14ac:dyDescent="0.3">
      <c r="A957" s="4">
        <f>HYPERLINK("http://legacy.baseballprospectus.com/p/108490",108490)</f>
        <v>108490</v>
      </c>
      <c r="B957" t="s">
        <v>607</v>
      </c>
      <c r="C957" t="s">
        <v>234</v>
      </c>
      <c r="D957" s="10">
        <v>35996</v>
      </c>
      <c r="E957" t="s">
        <v>33</v>
      </c>
      <c r="F957" t="s">
        <v>33</v>
      </c>
      <c r="G957">
        <v>74</v>
      </c>
      <c r="H957">
        <v>185</v>
      </c>
      <c r="I957">
        <v>2018</v>
      </c>
      <c r="J957" s="4" t="str">
        <f>HYPERLINK("http://legacy.baseballprospectus.com/fantasy/dc/index.php?tm=ANA","ANA")</f>
        <v>ANA</v>
      </c>
      <c r="K957" t="s">
        <v>95</v>
      </c>
      <c r="L957" t="s">
        <v>34</v>
      </c>
      <c r="M957">
        <v>19</v>
      </c>
      <c r="N957">
        <v>2</v>
      </c>
      <c r="O957">
        <v>4.3</v>
      </c>
      <c r="P957">
        <v>2.7</v>
      </c>
      <c r="Q957">
        <v>0</v>
      </c>
      <c r="R957">
        <v>0</v>
      </c>
      <c r="S957">
        <v>0</v>
      </c>
      <c r="T957">
        <v>11.1</v>
      </c>
      <c r="U957">
        <v>11.1</v>
      </c>
      <c r="V957" s="9">
        <v>41.666699999999999</v>
      </c>
      <c r="W957">
        <v>189</v>
      </c>
      <c r="X957">
        <v>45</v>
      </c>
      <c r="Y957">
        <v>11</v>
      </c>
      <c r="Z957">
        <v>21</v>
      </c>
      <c r="AA957" t="s">
        <v>1680</v>
      </c>
      <c r="AB957">
        <v>2</v>
      </c>
      <c r="AC957">
        <v>42</v>
      </c>
      <c r="AD957">
        <v>4.5</v>
      </c>
      <c r="AE957">
        <v>9.1999999999999993</v>
      </c>
      <c r="AF957" s="5">
        <v>0.49013152718544001</v>
      </c>
      <c r="AG957">
        <v>0.30399999999999999</v>
      </c>
      <c r="AH957">
        <v>1.59</v>
      </c>
      <c r="AI957">
        <v>6.49</v>
      </c>
      <c r="AJ957">
        <v>6.79</v>
      </c>
      <c r="AK957">
        <v>-4.7</v>
      </c>
      <c r="AL957">
        <v>-0.5</v>
      </c>
      <c r="AM957">
        <v>0</v>
      </c>
      <c r="AN957">
        <v>0</v>
      </c>
      <c r="AO957">
        <v>0</v>
      </c>
      <c r="AP957">
        <v>0</v>
      </c>
      <c r="AQ957" t="s">
        <v>3306</v>
      </c>
      <c r="AR957">
        <v>0</v>
      </c>
      <c r="AS957" t="s">
        <v>36</v>
      </c>
      <c r="AT957" t="s">
        <v>35</v>
      </c>
      <c r="AU957" s="4">
        <f>HYPERLINK("http://mlb.mlb.com/team/player.jsp?player_id=669735",669735)</f>
        <v>669735</v>
      </c>
      <c r="AV957">
        <v>155</v>
      </c>
      <c r="AW957">
        <v>1155</v>
      </c>
      <c r="AX957">
        <v>0</v>
      </c>
    </row>
    <row r="958" spans="1:50" x14ac:dyDescent="0.3">
      <c r="A958" s="4">
        <f>HYPERLINK("http://legacy.baseballprospectus.com/p/109166",109166)</f>
        <v>109166</v>
      </c>
      <c r="B958" t="s">
        <v>3419</v>
      </c>
      <c r="C958" t="s">
        <v>631</v>
      </c>
      <c r="D958" s="10">
        <v>35349</v>
      </c>
      <c r="E958" t="s">
        <v>33</v>
      </c>
      <c r="F958" t="s">
        <v>33</v>
      </c>
      <c r="G958">
        <v>72</v>
      </c>
      <c r="H958">
        <v>196</v>
      </c>
      <c r="I958">
        <v>2018</v>
      </c>
      <c r="J958" s="4" t="str">
        <f>HYPERLINK("http://legacy.baseballprospectus.com/fantasy/dc/index.php?tm=HOU","HOU")</f>
        <v>HOU</v>
      </c>
      <c r="K958" t="s">
        <v>95</v>
      </c>
      <c r="L958" t="s">
        <v>34</v>
      </c>
      <c r="M958">
        <v>21</v>
      </c>
      <c r="N958">
        <v>1.6</v>
      </c>
      <c r="O958">
        <v>2</v>
      </c>
      <c r="P958">
        <v>1.1000000000000001</v>
      </c>
      <c r="Q958">
        <v>0</v>
      </c>
      <c r="R958">
        <v>0.3</v>
      </c>
      <c r="S958">
        <v>0</v>
      </c>
      <c r="T958">
        <v>14.1</v>
      </c>
      <c r="U958">
        <v>4.9000000000000004</v>
      </c>
      <c r="V958" s="9">
        <v>32.333300000000001</v>
      </c>
      <c r="W958">
        <v>150</v>
      </c>
      <c r="X958">
        <v>38</v>
      </c>
      <c r="Y958">
        <v>8</v>
      </c>
      <c r="Z958">
        <v>18</v>
      </c>
      <c r="AA958" t="s">
        <v>1680</v>
      </c>
      <c r="AB958">
        <v>0</v>
      </c>
      <c r="AC958">
        <v>29</v>
      </c>
      <c r="AD958">
        <v>5</v>
      </c>
      <c r="AE958">
        <v>8</v>
      </c>
      <c r="AF958" s="5">
        <v>0.43914535641670199</v>
      </c>
      <c r="AG958">
        <v>0.314</v>
      </c>
      <c r="AH958">
        <v>1.73</v>
      </c>
      <c r="AI958">
        <v>6.52</v>
      </c>
      <c r="AJ958">
        <v>6.97</v>
      </c>
      <c r="AK958">
        <v>-5</v>
      </c>
      <c r="AL958">
        <v>-0.5</v>
      </c>
      <c r="AM958">
        <v>0</v>
      </c>
      <c r="AN958">
        <v>0</v>
      </c>
      <c r="AO958">
        <v>0</v>
      </c>
      <c r="AP958">
        <v>0</v>
      </c>
      <c r="AQ958" t="s">
        <v>3420</v>
      </c>
      <c r="AR958">
        <v>0</v>
      </c>
      <c r="AS958" t="s">
        <v>36</v>
      </c>
      <c r="AT958" t="s">
        <v>35</v>
      </c>
      <c r="AU958" s="4">
        <f>HYPERLINK("http://mlb.mlb.com/team/player.jsp?player_id=656266",656266)</f>
        <v>656266</v>
      </c>
      <c r="AV958">
        <v>216</v>
      </c>
      <c r="AW958">
        <v>1216</v>
      </c>
      <c r="AX958">
        <v>0</v>
      </c>
    </row>
    <row r="959" spans="1:50" x14ac:dyDescent="0.3">
      <c r="A959" s="4">
        <f>HYPERLINK("http://legacy.baseballprospectus.com/p/109255",109255)</f>
        <v>109255</v>
      </c>
      <c r="B959" t="s">
        <v>612</v>
      </c>
      <c r="C959" t="s">
        <v>3309</v>
      </c>
      <c r="D959" s="10">
        <v>34408</v>
      </c>
      <c r="E959" t="s">
        <v>33</v>
      </c>
      <c r="F959" t="s">
        <v>33</v>
      </c>
      <c r="G959">
        <v>72</v>
      </c>
      <c r="H959">
        <v>185</v>
      </c>
      <c r="I959">
        <v>2018</v>
      </c>
      <c r="J959" s="4" t="str">
        <f>HYPERLINK("http://legacy.baseballprospectus.com/fantasy/dc/index.php?tm=OAK","OAK")</f>
        <v>OAK</v>
      </c>
      <c r="K959" t="s">
        <v>95</v>
      </c>
      <c r="L959" t="s">
        <v>34</v>
      </c>
      <c r="M959">
        <v>24</v>
      </c>
      <c r="N959">
        <v>1.9</v>
      </c>
      <c r="O959">
        <v>3.4</v>
      </c>
      <c r="P959">
        <v>2</v>
      </c>
      <c r="Q959">
        <v>0</v>
      </c>
      <c r="R959">
        <v>0</v>
      </c>
      <c r="S959">
        <v>0</v>
      </c>
      <c r="T959">
        <v>8.3000000000000007</v>
      </c>
      <c r="U959">
        <v>8.3000000000000007</v>
      </c>
      <c r="V959" s="9">
        <v>37.666699999999999</v>
      </c>
      <c r="W959">
        <v>173</v>
      </c>
      <c r="X959">
        <v>46</v>
      </c>
      <c r="Y959">
        <v>10</v>
      </c>
      <c r="Z959">
        <v>16</v>
      </c>
      <c r="AA959" t="s">
        <v>1680</v>
      </c>
      <c r="AB959">
        <v>1</v>
      </c>
      <c r="AC959">
        <v>28</v>
      </c>
      <c r="AD959">
        <v>3.7</v>
      </c>
      <c r="AE959">
        <v>6.6</v>
      </c>
      <c r="AF959" s="5">
        <v>0.48100650310516302</v>
      </c>
      <c r="AG959">
        <v>0.308</v>
      </c>
      <c r="AH959">
        <v>1.64</v>
      </c>
      <c r="AI959">
        <v>6.49</v>
      </c>
      <c r="AJ959">
        <v>6.81</v>
      </c>
      <c r="AK959">
        <v>-4.3</v>
      </c>
      <c r="AL959">
        <v>-0.5</v>
      </c>
      <c r="AM959">
        <v>0</v>
      </c>
      <c r="AN959">
        <v>0</v>
      </c>
      <c r="AO959">
        <v>1</v>
      </c>
      <c r="AP959">
        <v>2</v>
      </c>
      <c r="AQ959" t="s">
        <v>3310</v>
      </c>
      <c r="AR959">
        <v>2</v>
      </c>
      <c r="AS959" t="s">
        <v>36</v>
      </c>
      <c r="AT959" t="s">
        <v>35</v>
      </c>
      <c r="AU959" s="4">
        <f>HYPERLINK("http://mlb.mlb.com/team/player.jsp?player_id=650204",650204)</f>
        <v>650204</v>
      </c>
      <c r="AV959">
        <v>0</v>
      </c>
      <c r="AW959">
        <v>0</v>
      </c>
      <c r="AX959">
        <v>0</v>
      </c>
    </row>
    <row r="960" spans="1:50" x14ac:dyDescent="0.3">
      <c r="A960" s="4">
        <f>HYPERLINK("http://legacy.baseballprospectus.com/p/109416",109416)</f>
        <v>109416</v>
      </c>
      <c r="B960" t="s">
        <v>1610</v>
      </c>
      <c r="C960" t="s">
        <v>181</v>
      </c>
      <c r="D960" s="10">
        <v>34952</v>
      </c>
      <c r="E960" t="s">
        <v>33</v>
      </c>
      <c r="F960" t="s">
        <v>33</v>
      </c>
      <c r="G960">
        <v>76</v>
      </c>
      <c r="H960">
        <v>225</v>
      </c>
      <c r="I960">
        <v>2018</v>
      </c>
      <c r="J960" s="4" t="str">
        <f>HYPERLINK("http://legacy.baseballprospectus.com/fantasy/dc/index.php?tm=BAL","BAL")</f>
        <v>BAL</v>
      </c>
      <c r="K960" t="s">
        <v>95</v>
      </c>
      <c r="L960" t="s">
        <v>34</v>
      </c>
      <c r="M960">
        <v>22</v>
      </c>
      <c r="N960">
        <v>1.5</v>
      </c>
      <c r="O960">
        <v>3.1</v>
      </c>
      <c r="P960">
        <v>1.6</v>
      </c>
      <c r="Q960">
        <v>0</v>
      </c>
      <c r="R960">
        <v>0</v>
      </c>
      <c r="S960">
        <v>0</v>
      </c>
      <c r="T960">
        <v>7.3</v>
      </c>
      <c r="U960">
        <v>7.3</v>
      </c>
      <c r="V960" s="9">
        <v>32.333300000000001</v>
      </c>
      <c r="W960">
        <v>150</v>
      </c>
      <c r="X960">
        <v>38</v>
      </c>
      <c r="Y960">
        <v>9</v>
      </c>
      <c r="Z960">
        <v>17</v>
      </c>
      <c r="AA960" t="s">
        <v>1680</v>
      </c>
      <c r="AB960">
        <v>0</v>
      </c>
      <c r="AC960">
        <v>31</v>
      </c>
      <c r="AD960">
        <v>4.8</v>
      </c>
      <c r="AE960">
        <v>8.6</v>
      </c>
      <c r="AF960" s="5">
        <v>0.40138745307922302</v>
      </c>
      <c r="AG960">
        <v>0.313</v>
      </c>
      <c r="AH960">
        <v>1.71</v>
      </c>
      <c r="AI960">
        <v>6.83</v>
      </c>
      <c r="AJ960">
        <v>6.98</v>
      </c>
      <c r="AK960">
        <v>-4.3</v>
      </c>
      <c r="AL960">
        <v>-0.5</v>
      </c>
      <c r="AM960">
        <v>0</v>
      </c>
      <c r="AN960">
        <v>0</v>
      </c>
      <c r="AO960">
        <v>0</v>
      </c>
      <c r="AP960">
        <v>0</v>
      </c>
      <c r="AQ960" t="s">
        <v>3406</v>
      </c>
      <c r="AR960">
        <v>0</v>
      </c>
      <c r="AS960" t="s">
        <v>36</v>
      </c>
      <c r="AT960" t="s">
        <v>35</v>
      </c>
      <c r="AU960" s="4">
        <f>HYPERLINK("http://mlb.mlb.com/team/player.jsp?player_id=657508",657508)</f>
        <v>657508</v>
      </c>
      <c r="AV960">
        <v>0</v>
      </c>
      <c r="AW960">
        <v>0</v>
      </c>
      <c r="AX960">
        <v>0</v>
      </c>
    </row>
    <row r="961" spans="1:50" x14ac:dyDescent="0.3">
      <c r="A961" s="4">
        <f>HYPERLINK("http://legacy.baseballprospectus.com/p/111265",111265)</f>
        <v>111265</v>
      </c>
      <c r="B961" t="s">
        <v>3372</v>
      </c>
      <c r="C961" t="s">
        <v>104</v>
      </c>
      <c r="D961" s="10">
        <v>35990</v>
      </c>
      <c r="E961" t="s">
        <v>33</v>
      </c>
      <c r="F961" t="s">
        <v>33</v>
      </c>
      <c r="G961">
        <v>74</v>
      </c>
      <c r="H961">
        <v>160</v>
      </c>
      <c r="I961">
        <v>2018</v>
      </c>
      <c r="J961" s="4" t="str">
        <f>HYPERLINK("http://legacy.baseballprospectus.com/fantasy/dc/index.php?tm=ARI","ARI")</f>
        <v>ARI</v>
      </c>
      <c r="K961" t="s">
        <v>100</v>
      </c>
      <c r="L961" t="s">
        <v>34</v>
      </c>
      <c r="M961">
        <v>19</v>
      </c>
      <c r="N961">
        <v>1.8</v>
      </c>
      <c r="O961">
        <v>2.9</v>
      </c>
      <c r="P961">
        <v>2.6</v>
      </c>
      <c r="Q961">
        <v>0</v>
      </c>
      <c r="R961">
        <v>0</v>
      </c>
      <c r="S961">
        <v>0</v>
      </c>
      <c r="T961">
        <v>8</v>
      </c>
      <c r="U961">
        <v>8</v>
      </c>
      <c r="V961" s="9">
        <v>34.333300000000001</v>
      </c>
      <c r="W961">
        <v>150</v>
      </c>
      <c r="X961">
        <v>39</v>
      </c>
      <c r="Y961">
        <v>9</v>
      </c>
      <c r="Z961">
        <v>16</v>
      </c>
      <c r="AA961" t="s">
        <v>1680</v>
      </c>
      <c r="AB961">
        <v>0</v>
      </c>
      <c r="AC961">
        <v>35</v>
      </c>
      <c r="AD961">
        <v>4.0999999999999996</v>
      </c>
      <c r="AE961">
        <v>9.1</v>
      </c>
      <c r="AF961" s="5">
        <v>0.49461320042610102</v>
      </c>
      <c r="AG961">
        <v>0.33</v>
      </c>
      <c r="AH961">
        <v>1.58</v>
      </c>
      <c r="AI961">
        <v>5.8</v>
      </c>
      <c r="AJ961">
        <v>6.86</v>
      </c>
      <c r="AK961">
        <v>-4.4000000000000004</v>
      </c>
      <c r="AL961">
        <v>-0.5</v>
      </c>
      <c r="AM961">
        <v>0</v>
      </c>
      <c r="AN961">
        <v>0</v>
      </c>
      <c r="AO961">
        <v>0</v>
      </c>
      <c r="AP961">
        <v>0</v>
      </c>
      <c r="AQ961" t="s">
        <v>3373</v>
      </c>
      <c r="AR961">
        <v>0</v>
      </c>
      <c r="AS961" t="s">
        <v>36</v>
      </c>
      <c r="AT961" t="s">
        <v>35</v>
      </c>
      <c r="AU961" s="4">
        <f>HYPERLINK("http://mlb.mlb.com/team/player.jsp?player_id=675652",675652)</f>
        <v>675652</v>
      </c>
      <c r="AV961">
        <v>0</v>
      </c>
      <c r="AW961">
        <v>0</v>
      </c>
      <c r="AX961">
        <v>0</v>
      </c>
    </row>
    <row r="962" spans="1:50" x14ac:dyDescent="0.3">
      <c r="A962" s="4">
        <f>HYPERLINK("http://legacy.baseballprospectus.com/p/42750",42750)</f>
        <v>42750</v>
      </c>
      <c r="B962" t="s">
        <v>945</v>
      </c>
      <c r="C962" t="s">
        <v>149</v>
      </c>
      <c r="D962" s="10">
        <v>29940</v>
      </c>
      <c r="E962" t="s">
        <v>33</v>
      </c>
      <c r="F962" t="s">
        <v>33</v>
      </c>
      <c r="G962">
        <v>75</v>
      </c>
      <c r="H962">
        <v>215</v>
      </c>
      <c r="I962">
        <v>2018</v>
      </c>
      <c r="J962" s="4" t="str">
        <f>HYPERLINK("http://legacy.baseballprospectus.com/fantasy/dc/index.php?tm=CHA","CHA")</f>
        <v>CHA</v>
      </c>
      <c r="K962" t="s">
        <v>95</v>
      </c>
      <c r="L962" t="s">
        <v>34</v>
      </c>
      <c r="M962">
        <v>36</v>
      </c>
      <c r="N962">
        <v>9.3000000000000007</v>
      </c>
      <c r="O962">
        <v>13.6</v>
      </c>
      <c r="P962">
        <v>10</v>
      </c>
      <c r="Q962">
        <v>0</v>
      </c>
      <c r="R962">
        <v>0</v>
      </c>
      <c r="S962">
        <v>0</v>
      </c>
      <c r="T962">
        <v>30</v>
      </c>
      <c r="U962">
        <v>30</v>
      </c>
      <c r="V962" s="9">
        <v>189</v>
      </c>
      <c r="W962">
        <v>848</v>
      </c>
      <c r="X962">
        <v>201</v>
      </c>
      <c r="Y962">
        <v>38</v>
      </c>
      <c r="Z962">
        <v>86</v>
      </c>
      <c r="AA962">
        <v>4</v>
      </c>
      <c r="AB962">
        <v>10</v>
      </c>
      <c r="AC962">
        <v>159</v>
      </c>
      <c r="AD962">
        <v>4.0999999999999996</v>
      </c>
      <c r="AE962">
        <v>7.6</v>
      </c>
      <c r="AF962" s="5">
        <v>0.42599999999999999</v>
      </c>
      <c r="AG962">
        <v>0.29299999999999998</v>
      </c>
      <c r="AH962">
        <v>1.52</v>
      </c>
      <c r="AI962">
        <v>5.45</v>
      </c>
      <c r="AJ962">
        <v>5.82</v>
      </c>
      <c r="AK962">
        <v>-5.7</v>
      </c>
      <c r="AL962">
        <v>-0.6</v>
      </c>
      <c r="AM962">
        <v>18</v>
      </c>
      <c r="AN962">
        <v>43</v>
      </c>
      <c r="AO962">
        <v>16</v>
      </c>
      <c r="AP962">
        <v>15</v>
      </c>
      <c r="AQ962" t="s">
        <v>3426</v>
      </c>
      <c r="AR962">
        <v>75</v>
      </c>
      <c r="AS962" t="s">
        <v>35</v>
      </c>
      <c r="AT962" t="s">
        <v>36</v>
      </c>
      <c r="AU962" s="4">
        <f>HYPERLINK("http://mlb.mlb.com/team/player.jsp?player_id=448306",448306)</f>
        <v>448306</v>
      </c>
      <c r="AV962">
        <v>51</v>
      </c>
      <c r="AW962">
        <v>1051</v>
      </c>
      <c r="AX962">
        <v>117</v>
      </c>
    </row>
    <row r="963" spans="1:50" x14ac:dyDescent="0.3">
      <c r="A963" s="4">
        <f>HYPERLINK("http://legacy.baseballprospectus.com/p/58459",58459)</f>
        <v>58459</v>
      </c>
      <c r="B963" t="s">
        <v>883</v>
      </c>
      <c r="C963" t="s">
        <v>332</v>
      </c>
      <c r="D963" s="10">
        <v>31824</v>
      </c>
      <c r="E963" t="s">
        <v>9</v>
      </c>
      <c r="F963" t="s">
        <v>9</v>
      </c>
      <c r="G963">
        <v>72</v>
      </c>
      <c r="H963">
        <v>220</v>
      </c>
      <c r="I963">
        <v>2018</v>
      </c>
      <c r="J963" s="4" t="str">
        <f>HYPERLINK("http://legacy.baseballprospectus.com/fantasy/dc/index.php?tm=WAS","WAS")</f>
        <v>WAS</v>
      </c>
      <c r="K963" t="s">
        <v>100</v>
      </c>
      <c r="L963" t="s">
        <v>34</v>
      </c>
      <c r="M963">
        <v>31</v>
      </c>
      <c r="N963">
        <v>3.4</v>
      </c>
      <c r="O963">
        <v>5</v>
      </c>
      <c r="P963">
        <v>4</v>
      </c>
      <c r="Q963">
        <v>0</v>
      </c>
      <c r="R963">
        <v>0</v>
      </c>
      <c r="S963">
        <v>0</v>
      </c>
      <c r="T963">
        <v>12.1</v>
      </c>
      <c r="U963">
        <v>12.1</v>
      </c>
      <c r="V963" s="9">
        <v>66.666700000000006</v>
      </c>
      <c r="W963">
        <v>290</v>
      </c>
      <c r="X963">
        <v>75</v>
      </c>
      <c r="Y963">
        <v>16</v>
      </c>
      <c r="Z963">
        <v>25</v>
      </c>
      <c r="AA963" t="s">
        <v>1680</v>
      </c>
      <c r="AB963">
        <v>2</v>
      </c>
      <c r="AC963">
        <v>55</v>
      </c>
      <c r="AD963">
        <v>3.3</v>
      </c>
      <c r="AE963">
        <v>7.5</v>
      </c>
      <c r="AF963" s="5">
        <v>0.41318193078040999</v>
      </c>
      <c r="AG963">
        <v>0.31</v>
      </c>
      <c r="AH963">
        <v>1.5</v>
      </c>
      <c r="AI963">
        <v>5.8</v>
      </c>
      <c r="AJ963">
        <v>6.45</v>
      </c>
      <c r="AK963">
        <v>-5.7</v>
      </c>
      <c r="AL963">
        <v>-0.6</v>
      </c>
      <c r="AM963">
        <v>14</v>
      </c>
      <c r="AN963">
        <v>43</v>
      </c>
      <c r="AO963">
        <v>12</v>
      </c>
      <c r="AP963">
        <v>18</v>
      </c>
      <c r="AQ963" t="s">
        <v>3428</v>
      </c>
      <c r="AR963">
        <v>74</v>
      </c>
      <c r="AS963" t="s">
        <v>36</v>
      </c>
      <c r="AT963" t="s">
        <v>36</v>
      </c>
      <c r="AU963" s="4">
        <f>HYPERLINK("http://mlb.mlb.com/team/player.jsp?player_id=543548",543548)</f>
        <v>543548</v>
      </c>
      <c r="AV963">
        <v>0</v>
      </c>
      <c r="AW963">
        <v>0</v>
      </c>
      <c r="AX963">
        <v>48.3</v>
      </c>
    </row>
    <row r="964" spans="1:50" x14ac:dyDescent="0.3">
      <c r="A964" s="4">
        <f>HYPERLINK("http://legacy.baseballprospectus.com/p/68495",68495)</f>
        <v>68495</v>
      </c>
      <c r="B964" t="s">
        <v>696</v>
      </c>
      <c r="C964" t="s">
        <v>697</v>
      </c>
      <c r="D964" s="10">
        <v>33310</v>
      </c>
      <c r="E964" t="s">
        <v>33</v>
      </c>
      <c r="F964" t="s">
        <v>33</v>
      </c>
      <c r="G964">
        <v>74</v>
      </c>
      <c r="H964">
        <v>230</v>
      </c>
      <c r="I964">
        <v>2018</v>
      </c>
      <c r="J964" s="4" t="str">
        <f>HYPERLINK("http://legacy.baseballprospectus.com/fantasy/dc/index.php?tm=LAN","LAN")</f>
        <v>LAN</v>
      </c>
      <c r="K964" t="s">
        <v>100</v>
      </c>
      <c r="L964" t="s">
        <v>34</v>
      </c>
      <c r="M964">
        <v>27</v>
      </c>
      <c r="N964">
        <v>1.4</v>
      </c>
      <c r="O964">
        <v>0.4</v>
      </c>
      <c r="P964">
        <v>0</v>
      </c>
      <c r="Q964">
        <v>0</v>
      </c>
      <c r="R964">
        <v>1.1000000000000001</v>
      </c>
      <c r="S964">
        <v>0</v>
      </c>
      <c r="T964">
        <v>31.8</v>
      </c>
      <c r="U964">
        <v>0</v>
      </c>
      <c r="V964" s="9">
        <v>33.666699999999999</v>
      </c>
      <c r="W964">
        <v>150</v>
      </c>
      <c r="X964">
        <v>32</v>
      </c>
      <c r="Y964">
        <v>8</v>
      </c>
      <c r="Z964">
        <v>21</v>
      </c>
      <c r="AA964" t="s">
        <v>1680</v>
      </c>
      <c r="AB964">
        <v>1</v>
      </c>
      <c r="AC964">
        <v>33</v>
      </c>
      <c r="AD964">
        <v>5.6</v>
      </c>
      <c r="AE964">
        <v>8.9</v>
      </c>
      <c r="AF964" s="5">
        <v>0.43232488632202098</v>
      </c>
      <c r="AG964">
        <v>0.27900000000000003</v>
      </c>
      <c r="AH964">
        <v>1.57</v>
      </c>
      <c r="AI964">
        <v>6</v>
      </c>
      <c r="AJ964">
        <v>6.95</v>
      </c>
      <c r="AK964">
        <v>-5.8</v>
      </c>
      <c r="AL964">
        <v>-0.6</v>
      </c>
      <c r="AM964">
        <v>5</v>
      </c>
      <c r="AN964">
        <v>6</v>
      </c>
      <c r="AO964">
        <v>1</v>
      </c>
      <c r="AP964">
        <v>3</v>
      </c>
      <c r="AQ964" t="s">
        <v>3492</v>
      </c>
      <c r="AR964">
        <v>7</v>
      </c>
      <c r="AS964" t="s">
        <v>36</v>
      </c>
      <c r="AT964" t="s">
        <v>35</v>
      </c>
      <c r="AU964" s="4">
        <f>HYPERLINK("http://mlb.mlb.com/team/player.jsp?player_id=592105",592105)</f>
        <v>592105</v>
      </c>
      <c r="AV964">
        <v>0</v>
      </c>
      <c r="AW964">
        <v>0</v>
      </c>
      <c r="AX964">
        <v>0</v>
      </c>
    </row>
    <row r="965" spans="1:50" x14ac:dyDescent="0.3">
      <c r="A965" s="4">
        <f>HYPERLINK("http://legacy.baseballprospectus.com/p/68717",68717)</f>
        <v>68717</v>
      </c>
      <c r="B965" t="s">
        <v>3177</v>
      </c>
      <c r="C965" t="s">
        <v>3178</v>
      </c>
      <c r="D965" s="10">
        <v>33917</v>
      </c>
      <c r="E965" t="s">
        <v>9</v>
      </c>
      <c r="F965" t="s">
        <v>33</v>
      </c>
      <c r="G965">
        <v>75</v>
      </c>
      <c r="H965">
        <v>220</v>
      </c>
      <c r="I965">
        <v>2018</v>
      </c>
      <c r="J965" s="4" t="str">
        <f>HYPERLINK("http://legacy.baseballprospectus.com/fantasy/dc/index.php?tm=SDN","SDN")</f>
        <v>SDN</v>
      </c>
      <c r="K965" t="s">
        <v>100</v>
      </c>
      <c r="L965" t="s">
        <v>34</v>
      </c>
      <c r="M965">
        <v>25</v>
      </c>
      <c r="N965">
        <v>1.5</v>
      </c>
      <c r="O965">
        <v>0.4</v>
      </c>
      <c r="P965">
        <v>0</v>
      </c>
      <c r="Q965">
        <v>0</v>
      </c>
      <c r="R965">
        <v>1.2</v>
      </c>
      <c r="S965">
        <v>0</v>
      </c>
      <c r="T965">
        <v>33</v>
      </c>
      <c r="U965">
        <v>0</v>
      </c>
      <c r="V965" s="9">
        <v>35</v>
      </c>
      <c r="W965">
        <v>155</v>
      </c>
      <c r="X965">
        <v>37</v>
      </c>
      <c r="Y965">
        <v>7</v>
      </c>
      <c r="Z965">
        <v>19</v>
      </c>
      <c r="AA965" t="s">
        <v>1680</v>
      </c>
      <c r="AB965">
        <v>2</v>
      </c>
      <c r="AC965">
        <v>31</v>
      </c>
      <c r="AD965">
        <v>4.8</v>
      </c>
      <c r="AE965">
        <v>8.1</v>
      </c>
      <c r="AF965" s="5">
        <v>0.406010121107101</v>
      </c>
      <c r="AG965">
        <v>0.31</v>
      </c>
      <c r="AH965">
        <v>1.6</v>
      </c>
      <c r="AI965">
        <v>5.91</v>
      </c>
      <c r="AJ965">
        <v>6.59</v>
      </c>
      <c r="AK965">
        <v>-5.2</v>
      </c>
      <c r="AL965">
        <v>-0.6</v>
      </c>
      <c r="AM965">
        <v>7</v>
      </c>
      <c r="AN965">
        <v>13</v>
      </c>
      <c r="AO965">
        <v>7</v>
      </c>
      <c r="AP965">
        <v>12</v>
      </c>
      <c r="AQ965" t="s">
        <v>3179</v>
      </c>
      <c r="AR965">
        <v>21</v>
      </c>
      <c r="AS965" t="s">
        <v>36</v>
      </c>
      <c r="AT965" t="s">
        <v>35</v>
      </c>
      <c r="AU965" s="4">
        <f>HYPERLINK("http://mlb.mlb.com/team/player.jsp?player_id=592858",592858)</f>
        <v>592858</v>
      </c>
      <c r="AV965">
        <v>0</v>
      </c>
      <c r="AW965">
        <v>0</v>
      </c>
      <c r="AX965">
        <v>0</v>
      </c>
    </row>
    <row r="966" spans="1:50" x14ac:dyDescent="0.3">
      <c r="A966" s="4">
        <f>HYPERLINK("http://legacy.baseballprospectus.com/p/71255",71255)</f>
        <v>71255</v>
      </c>
      <c r="B966" t="s">
        <v>2129</v>
      </c>
      <c r="C966" t="s">
        <v>313</v>
      </c>
      <c r="D966" s="10">
        <v>33882</v>
      </c>
      <c r="E966" t="s">
        <v>33</v>
      </c>
      <c r="F966" t="s">
        <v>33</v>
      </c>
      <c r="G966">
        <v>75</v>
      </c>
      <c r="H966">
        <v>185</v>
      </c>
      <c r="I966">
        <v>2018</v>
      </c>
      <c r="J966" s="4" t="str">
        <f>HYPERLINK("http://legacy.baseballprospectus.com/fantasy/dc/index.php?tm=DET","DET")</f>
        <v>DET</v>
      </c>
      <c r="K966" t="s">
        <v>95</v>
      </c>
      <c r="L966" t="s">
        <v>34</v>
      </c>
      <c r="M966">
        <v>25</v>
      </c>
      <c r="N966">
        <v>1.8</v>
      </c>
      <c r="O966">
        <v>0.5</v>
      </c>
      <c r="P966">
        <v>0</v>
      </c>
      <c r="Q966">
        <v>0</v>
      </c>
      <c r="R966">
        <v>1.4</v>
      </c>
      <c r="S966">
        <v>0</v>
      </c>
      <c r="T966">
        <v>40.9</v>
      </c>
      <c r="U966">
        <v>0</v>
      </c>
      <c r="V966" s="9">
        <v>43.333300000000001</v>
      </c>
      <c r="W966">
        <v>201</v>
      </c>
      <c r="X966">
        <v>51</v>
      </c>
      <c r="Y966">
        <v>10</v>
      </c>
      <c r="Z966">
        <v>22</v>
      </c>
      <c r="AA966" t="s">
        <v>1680</v>
      </c>
      <c r="AB966">
        <v>1</v>
      </c>
      <c r="AC966">
        <v>41</v>
      </c>
      <c r="AD966">
        <v>4.5</v>
      </c>
      <c r="AE966">
        <v>8.4</v>
      </c>
      <c r="AF966" s="5">
        <v>0.47856196761131198</v>
      </c>
      <c r="AG966">
        <v>0.32400000000000001</v>
      </c>
      <c r="AH966">
        <v>1.69</v>
      </c>
      <c r="AI966">
        <v>6.15</v>
      </c>
      <c r="AJ966">
        <v>6.23</v>
      </c>
      <c r="AK966">
        <v>-5.2</v>
      </c>
      <c r="AL966">
        <v>-0.6</v>
      </c>
      <c r="AM966">
        <v>0</v>
      </c>
      <c r="AN966">
        <v>0</v>
      </c>
      <c r="AO966">
        <v>4</v>
      </c>
      <c r="AP966">
        <v>5</v>
      </c>
      <c r="AQ966" t="s">
        <v>3385</v>
      </c>
      <c r="AR966">
        <v>5</v>
      </c>
      <c r="AS966" t="s">
        <v>36</v>
      </c>
      <c r="AT966" t="s">
        <v>35</v>
      </c>
      <c r="AU966" s="4">
        <f>HYPERLINK("http://mlb.mlb.com/team/player.jsp?player_id=605435",605435)</f>
        <v>605435</v>
      </c>
      <c r="AV966">
        <v>0</v>
      </c>
      <c r="AW966">
        <v>0</v>
      </c>
      <c r="AX966">
        <v>0</v>
      </c>
    </row>
    <row r="967" spans="1:50" x14ac:dyDescent="0.3">
      <c r="A967" s="4">
        <f>HYPERLINK("http://legacy.baseballprospectus.com/p/100576",100576)</f>
        <v>100576</v>
      </c>
      <c r="B967" t="s">
        <v>1529</v>
      </c>
      <c r="C967" t="s">
        <v>717</v>
      </c>
      <c r="D967" s="10">
        <v>34535</v>
      </c>
      <c r="E967" t="s">
        <v>33</v>
      </c>
      <c r="F967" t="s">
        <v>33</v>
      </c>
      <c r="G967">
        <v>74</v>
      </c>
      <c r="H967">
        <v>210</v>
      </c>
      <c r="I967">
        <v>2018</v>
      </c>
      <c r="J967" s="4" t="str">
        <f>HYPERLINK("http://legacy.baseballprospectus.com/fantasy/dc/index.php?tm=CHN","CHN")</f>
        <v>CHN</v>
      </c>
      <c r="K967" t="s">
        <v>100</v>
      </c>
      <c r="L967" t="s">
        <v>34</v>
      </c>
      <c r="M967">
        <v>23</v>
      </c>
      <c r="N967">
        <v>6.4</v>
      </c>
      <c r="O967">
        <v>7.4</v>
      </c>
      <c r="P967">
        <v>7.4</v>
      </c>
      <c r="Q967">
        <v>0</v>
      </c>
      <c r="R967">
        <v>0</v>
      </c>
      <c r="S967">
        <v>0</v>
      </c>
      <c r="T967">
        <v>21.5</v>
      </c>
      <c r="U967">
        <v>21.5</v>
      </c>
      <c r="V967" s="9">
        <v>104.33329999999999</v>
      </c>
      <c r="W967">
        <v>448</v>
      </c>
      <c r="X967">
        <v>109</v>
      </c>
      <c r="Y967">
        <v>23</v>
      </c>
      <c r="Z967">
        <v>42</v>
      </c>
      <c r="AA967" t="s">
        <v>1680</v>
      </c>
      <c r="AB967">
        <v>5</v>
      </c>
      <c r="AC967">
        <v>92</v>
      </c>
      <c r="AD967">
        <v>3.7</v>
      </c>
      <c r="AE967">
        <v>7.9</v>
      </c>
      <c r="AF967" s="5">
        <v>0.448077052831649</v>
      </c>
      <c r="AG967">
        <v>0.30099999999999999</v>
      </c>
      <c r="AH967">
        <v>1.45</v>
      </c>
      <c r="AI967">
        <v>5.6</v>
      </c>
      <c r="AJ967">
        <v>6.17</v>
      </c>
      <c r="AK967">
        <v>-6</v>
      </c>
      <c r="AL967">
        <v>-0.6</v>
      </c>
      <c r="AM967">
        <v>5</v>
      </c>
      <c r="AN967">
        <v>7</v>
      </c>
      <c r="AO967">
        <v>5</v>
      </c>
      <c r="AP967">
        <v>10</v>
      </c>
      <c r="AQ967" t="s">
        <v>2924</v>
      </c>
      <c r="AR967">
        <v>14</v>
      </c>
      <c r="AS967" t="s">
        <v>36</v>
      </c>
      <c r="AT967" t="s">
        <v>35</v>
      </c>
      <c r="AU967" s="4">
        <f>HYPERLINK("http://mlb.mlb.com/team/player.jsp?player_id=621249",621249)</f>
        <v>621249</v>
      </c>
      <c r="AV967">
        <v>1164</v>
      </c>
      <c r="AW967">
        <v>164</v>
      </c>
      <c r="AX967">
        <v>0</v>
      </c>
    </row>
    <row r="968" spans="1:50" x14ac:dyDescent="0.3">
      <c r="A968" s="4">
        <f>HYPERLINK("http://legacy.baseballprospectus.com/p/102051",102051)</f>
        <v>102051</v>
      </c>
      <c r="B968" t="s">
        <v>2061</v>
      </c>
      <c r="C968" t="s">
        <v>142</v>
      </c>
      <c r="D968" s="10">
        <v>33578</v>
      </c>
      <c r="E968" t="s">
        <v>33</v>
      </c>
      <c r="F968" t="s">
        <v>33</v>
      </c>
      <c r="G968">
        <v>75</v>
      </c>
      <c r="H968">
        <v>200</v>
      </c>
      <c r="I968">
        <v>2018</v>
      </c>
      <c r="J968" s="4" t="str">
        <f>HYPERLINK("http://legacy.baseballprospectus.com/fantasy/dc/index.php?tm=SLN","SLN")</f>
        <v>SLN</v>
      </c>
      <c r="K968" t="s">
        <v>100</v>
      </c>
      <c r="L968" t="s">
        <v>34</v>
      </c>
      <c r="M968">
        <v>26</v>
      </c>
      <c r="N968">
        <v>3</v>
      </c>
      <c r="O968">
        <v>3.9</v>
      </c>
      <c r="P968">
        <v>2</v>
      </c>
      <c r="Q968">
        <v>0</v>
      </c>
      <c r="R968">
        <v>0</v>
      </c>
      <c r="S968">
        <v>0</v>
      </c>
      <c r="T968">
        <v>35</v>
      </c>
      <c r="U968">
        <v>6</v>
      </c>
      <c r="V968" s="9">
        <v>61</v>
      </c>
      <c r="W968">
        <v>276</v>
      </c>
      <c r="X968">
        <v>69</v>
      </c>
      <c r="Y968">
        <v>13</v>
      </c>
      <c r="Z968">
        <v>26</v>
      </c>
      <c r="AA968">
        <v>2</v>
      </c>
      <c r="AB968">
        <v>3</v>
      </c>
      <c r="AC968">
        <v>52</v>
      </c>
      <c r="AD968">
        <v>3.8</v>
      </c>
      <c r="AE968">
        <v>7.6</v>
      </c>
      <c r="AF968" s="5">
        <v>0.42199999999999999</v>
      </c>
      <c r="AG968">
        <v>0.30499999999999999</v>
      </c>
      <c r="AH968">
        <v>1.58</v>
      </c>
      <c r="AI968">
        <v>5.87</v>
      </c>
      <c r="AJ968">
        <v>5.98</v>
      </c>
      <c r="AK968">
        <v>-5.3</v>
      </c>
      <c r="AL968">
        <v>-0.6</v>
      </c>
      <c r="AM968">
        <v>18</v>
      </c>
      <c r="AN968">
        <v>30</v>
      </c>
      <c r="AO968">
        <v>14</v>
      </c>
      <c r="AP968">
        <v>34</v>
      </c>
      <c r="AQ968" t="s">
        <v>3079</v>
      </c>
      <c r="AR968">
        <v>47</v>
      </c>
      <c r="AS968" t="s">
        <v>35</v>
      </c>
      <c r="AT968" t="s">
        <v>35</v>
      </c>
      <c r="AU968" s="4">
        <f>HYPERLINK("http://mlb.mlb.com/team/player.jsp?player_id=594577",594577)</f>
        <v>594577</v>
      </c>
      <c r="AV968">
        <v>1130</v>
      </c>
      <c r="AW968">
        <v>130</v>
      </c>
      <c r="AX968">
        <v>4.7</v>
      </c>
    </row>
    <row r="969" spans="1:50" x14ac:dyDescent="0.3">
      <c r="A969" s="4">
        <f>HYPERLINK("http://legacy.baseballprospectus.com/p/103251",103251)</f>
        <v>103251</v>
      </c>
      <c r="B969" t="s">
        <v>1036</v>
      </c>
      <c r="C969" t="s">
        <v>2949</v>
      </c>
      <c r="D969" s="10">
        <v>35038</v>
      </c>
      <c r="E969" t="s">
        <v>33</v>
      </c>
      <c r="F969" t="s">
        <v>33</v>
      </c>
      <c r="G969">
        <v>74</v>
      </c>
      <c r="H969">
        <v>160</v>
      </c>
      <c r="I969">
        <v>2018</v>
      </c>
      <c r="J969" s="4" t="str">
        <f>HYPERLINK("http://legacy.baseballprospectus.com/fantasy/dc/index.php?tm=SFN","SFN")</f>
        <v>SFN</v>
      </c>
      <c r="K969" t="s">
        <v>100</v>
      </c>
      <c r="L969" t="s">
        <v>34</v>
      </c>
      <c r="M969">
        <v>22</v>
      </c>
      <c r="N969">
        <v>1.2</v>
      </c>
      <c r="O969">
        <v>1.4</v>
      </c>
      <c r="P969">
        <v>0</v>
      </c>
      <c r="Q969">
        <v>0</v>
      </c>
      <c r="R969">
        <v>0</v>
      </c>
      <c r="S969">
        <v>1</v>
      </c>
      <c r="T969">
        <v>25</v>
      </c>
      <c r="U969">
        <v>0</v>
      </c>
      <c r="V969" s="9">
        <v>26</v>
      </c>
      <c r="W969">
        <v>121</v>
      </c>
      <c r="X969">
        <v>29</v>
      </c>
      <c r="Y969">
        <v>6</v>
      </c>
      <c r="Z969">
        <v>15</v>
      </c>
      <c r="AA969">
        <v>1</v>
      </c>
      <c r="AB969">
        <v>1</v>
      </c>
      <c r="AC969">
        <v>24</v>
      </c>
      <c r="AD969">
        <v>5.0999999999999996</v>
      </c>
      <c r="AE969">
        <v>8.3000000000000007</v>
      </c>
      <c r="AF969" s="5">
        <v>0.45900000000000002</v>
      </c>
      <c r="AG969">
        <v>0.30399999999999999</v>
      </c>
      <c r="AH969">
        <v>1.7</v>
      </c>
      <c r="AI969">
        <v>6.38</v>
      </c>
      <c r="AJ969">
        <v>6.9</v>
      </c>
      <c r="AK969">
        <v>-5.0999999999999996</v>
      </c>
      <c r="AL969">
        <v>-0.6</v>
      </c>
      <c r="AM969">
        <v>0</v>
      </c>
      <c r="AN969">
        <v>1</v>
      </c>
      <c r="AO969">
        <v>0</v>
      </c>
      <c r="AP969">
        <v>0</v>
      </c>
      <c r="AQ969" t="s">
        <v>3391</v>
      </c>
      <c r="AR969">
        <v>1</v>
      </c>
      <c r="AS969" t="s">
        <v>35</v>
      </c>
      <c r="AT969" t="s">
        <v>35</v>
      </c>
      <c r="AU969" s="4">
        <f>HYPERLINK("http://mlb.mlb.com/team/player.jsp?player_id=642759",642759)</f>
        <v>642759</v>
      </c>
      <c r="AV969">
        <v>1366</v>
      </c>
      <c r="AW969">
        <v>366</v>
      </c>
      <c r="AX969">
        <v>0</v>
      </c>
    </row>
    <row r="970" spans="1:50" x14ac:dyDescent="0.3">
      <c r="A970" s="4">
        <f>HYPERLINK("http://legacy.baseballprospectus.com/p/102550",102550)</f>
        <v>102550</v>
      </c>
      <c r="B970" t="s">
        <v>2130</v>
      </c>
      <c r="C970" t="s">
        <v>272</v>
      </c>
      <c r="D970" s="10">
        <v>34830</v>
      </c>
      <c r="E970" t="s">
        <v>33</v>
      </c>
      <c r="F970" t="s">
        <v>33</v>
      </c>
      <c r="G970">
        <v>73</v>
      </c>
      <c r="H970">
        <v>170</v>
      </c>
      <c r="I970">
        <v>2018</v>
      </c>
      <c r="J970" s="4" t="str">
        <f>HYPERLINK("http://legacy.baseballprospectus.com/fantasy/dc/index.php?tm=CHN","CHN")</f>
        <v>CHN</v>
      </c>
      <c r="K970" t="s">
        <v>100</v>
      </c>
      <c r="L970" t="s">
        <v>34</v>
      </c>
      <c r="M970">
        <v>23</v>
      </c>
      <c r="N970">
        <v>5.3</v>
      </c>
      <c r="O970">
        <v>6.3</v>
      </c>
      <c r="P970">
        <v>6</v>
      </c>
      <c r="Q970">
        <v>0</v>
      </c>
      <c r="R970">
        <v>0</v>
      </c>
      <c r="S970">
        <v>0</v>
      </c>
      <c r="T970">
        <v>17.899999999999999</v>
      </c>
      <c r="U970">
        <v>17.899999999999999</v>
      </c>
      <c r="V970" s="9">
        <v>88.333299999999994</v>
      </c>
      <c r="W970">
        <v>386</v>
      </c>
      <c r="X970">
        <v>94</v>
      </c>
      <c r="Y970">
        <v>20</v>
      </c>
      <c r="Z970">
        <v>40</v>
      </c>
      <c r="AA970" t="s">
        <v>1680</v>
      </c>
      <c r="AB970">
        <v>5</v>
      </c>
      <c r="AC970">
        <v>86</v>
      </c>
      <c r="AD970">
        <v>4.0999999999999996</v>
      </c>
      <c r="AE970">
        <v>8.8000000000000007</v>
      </c>
      <c r="AF970" s="5">
        <v>0.36097827553749001</v>
      </c>
      <c r="AG970">
        <v>0.317</v>
      </c>
      <c r="AH970">
        <v>1.53</v>
      </c>
      <c r="AI970">
        <v>5.68</v>
      </c>
      <c r="AJ970">
        <v>6.27</v>
      </c>
      <c r="AK970">
        <v>-6</v>
      </c>
      <c r="AL970">
        <v>-0.6</v>
      </c>
      <c r="AM970">
        <v>5</v>
      </c>
      <c r="AN970">
        <v>9</v>
      </c>
      <c r="AO970">
        <v>7</v>
      </c>
      <c r="AP970">
        <v>11</v>
      </c>
      <c r="AQ970" t="s">
        <v>2953</v>
      </c>
      <c r="AR970">
        <v>17</v>
      </c>
      <c r="AS970" t="s">
        <v>36</v>
      </c>
      <c r="AT970" t="s">
        <v>35</v>
      </c>
      <c r="AU970" s="4">
        <f>HYPERLINK("http://mlb.mlb.com/team/player.jsp?player_id=641461",641461)</f>
        <v>641461</v>
      </c>
      <c r="AV970">
        <v>1167</v>
      </c>
      <c r="AW970">
        <v>167</v>
      </c>
      <c r="AX970">
        <v>0</v>
      </c>
    </row>
    <row r="971" spans="1:50" x14ac:dyDescent="0.3">
      <c r="A971" s="4">
        <f>HYPERLINK("http://legacy.baseballprospectus.com/p/102785",102785)</f>
        <v>102785</v>
      </c>
      <c r="B971" t="s">
        <v>690</v>
      </c>
      <c r="C971" t="s">
        <v>479</v>
      </c>
      <c r="D971" s="10">
        <v>34598</v>
      </c>
      <c r="E971" t="s">
        <v>33</v>
      </c>
      <c r="F971" t="s">
        <v>33</v>
      </c>
      <c r="G971">
        <v>75</v>
      </c>
      <c r="H971">
        <v>165</v>
      </c>
      <c r="I971">
        <v>2018</v>
      </c>
      <c r="J971" s="4" t="str">
        <f>HYPERLINK("http://legacy.baseballprospectus.com/fantasy/dc/index.php?tm=MIL","MIL")</f>
        <v>MIL</v>
      </c>
      <c r="K971" t="s">
        <v>100</v>
      </c>
      <c r="L971" t="s">
        <v>34</v>
      </c>
      <c r="M971">
        <v>23</v>
      </c>
      <c r="N971">
        <v>1.7</v>
      </c>
      <c r="O971">
        <v>1.9</v>
      </c>
      <c r="P971">
        <v>1.5</v>
      </c>
      <c r="Q971">
        <v>0</v>
      </c>
      <c r="R971">
        <v>0.4</v>
      </c>
      <c r="S971">
        <v>0</v>
      </c>
      <c r="T971">
        <v>16.3</v>
      </c>
      <c r="U971">
        <v>4.5</v>
      </c>
      <c r="V971" s="9">
        <v>34.333300000000001</v>
      </c>
      <c r="W971">
        <v>150</v>
      </c>
      <c r="X971">
        <v>37</v>
      </c>
      <c r="Y971">
        <v>8</v>
      </c>
      <c r="Z971">
        <v>16</v>
      </c>
      <c r="AA971" t="s">
        <v>1680</v>
      </c>
      <c r="AB971">
        <v>1</v>
      </c>
      <c r="AC971">
        <v>34</v>
      </c>
      <c r="AD971">
        <v>4.3</v>
      </c>
      <c r="AE971">
        <v>8.9</v>
      </c>
      <c r="AF971" s="5">
        <v>0.39063951373100197</v>
      </c>
      <c r="AG971">
        <v>0.31900000000000001</v>
      </c>
      <c r="AH971">
        <v>1.54</v>
      </c>
      <c r="AI971">
        <v>5.63</v>
      </c>
      <c r="AJ971">
        <v>6.33</v>
      </c>
      <c r="AK971">
        <v>-5.9</v>
      </c>
      <c r="AL971">
        <v>-0.6</v>
      </c>
      <c r="AM971">
        <v>5</v>
      </c>
      <c r="AN971">
        <v>6</v>
      </c>
      <c r="AO971">
        <v>2</v>
      </c>
      <c r="AP971">
        <v>5</v>
      </c>
      <c r="AQ971" t="s">
        <v>3413</v>
      </c>
      <c r="AR971">
        <v>8</v>
      </c>
      <c r="AS971" t="s">
        <v>36</v>
      </c>
      <c r="AT971" t="s">
        <v>35</v>
      </c>
      <c r="AU971" s="4">
        <f>HYPERLINK("http://mlb.mlb.com/team/player.jsp?player_id=642207",642207)</f>
        <v>642207</v>
      </c>
      <c r="AV971">
        <v>0</v>
      </c>
      <c r="AW971">
        <v>0</v>
      </c>
      <c r="AX971">
        <v>0</v>
      </c>
    </row>
    <row r="972" spans="1:50" x14ac:dyDescent="0.3">
      <c r="A972" s="4">
        <f>HYPERLINK("http://legacy.baseballprospectus.com/p/103830",103830)</f>
        <v>103830</v>
      </c>
      <c r="B972" t="s">
        <v>2088</v>
      </c>
      <c r="C972" t="s">
        <v>258</v>
      </c>
      <c r="D972" s="10">
        <v>33974</v>
      </c>
      <c r="E972" t="s">
        <v>33</v>
      </c>
      <c r="F972" t="s">
        <v>33</v>
      </c>
      <c r="G972">
        <v>78</v>
      </c>
      <c r="H972">
        <v>220</v>
      </c>
      <c r="I972">
        <v>2018</v>
      </c>
      <c r="J972" s="4" t="str">
        <f>HYPERLINK("http://legacy.baseballprospectus.com/fantasy/dc/index.php?tm=PIT","PIT")</f>
        <v>PIT</v>
      </c>
      <c r="K972" t="s">
        <v>100</v>
      </c>
      <c r="L972" t="s">
        <v>34</v>
      </c>
      <c r="M972">
        <v>25</v>
      </c>
      <c r="N972">
        <v>6.6</v>
      </c>
      <c r="O972">
        <v>8.1999999999999993</v>
      </c>
      <c r="P972">
        <v>7.7</v>
      </c>
      <c r="Q972">
        <v>0</v>
      </c>
      <c r="R972">
        <v>0</v>
      </c>
      <c r="S972">
        <v>0</v>
      </c>
      <c r="T972">
        <v>20.9</v>
      </c>
      <c r="U972">
        <v>20.9</v>
      </c>
      <c r="V972" s="9">
        <v>118.66670000000001</v>
      </c>
      <c r="W972">
        <v>511</v>
      </c>
      <c r="X972">
        <v>137</v>
      </c>
      <c r="Y972">
        <v>24</v>
      </c>
      <c r="Z972">
        <v>37</v>
      </c>
      <c r="AA972" t="s">
        <v>1680</v>
      </c>
      <c r="AB972">
        <v>4</v>
      </c>
      <c r="AC972">
        <v>89</v>
      </c>
      <c r="AD972">
        <v>2.8</v>
      </c>
      <c r="AE972">
        <v>6.7</v>
      </c>
      <c r="AF972" s="5">
        <v>0.40847304463386502</v>
      </c>
      <c r="AG972">
        <v>0.316</v>
      </c>
      <c r="AH972">
        <v>1.46</v>
      </c>
      <c r="AI972">
        <v>5.42</v>
      </c>
      <c r="AJ972">
        <v>6.08</v>
      </c>
      <c r="AK972">
        <v>-5.7</v>
      </c>
      <c r="AL972">
        <v>-0.6</v>
      </c>
      <c r="AM972">
        <v>14</v>
      </c>
      <c r="AN972">
        <v>18</v>
      </c>
      <c r="AO972">
        <v>6</v>
      </c>
      <c r="AP972">
        <v>17</v>
      </c>
      <c r="AQ972" t="s">
        <v>3218</v>
      </c>
      <c r="AR972">
        <v>26</v>
      </c>
      <c r="AS972" t="s">
        <v>36</v>
      </c>
      <c r="AT972" t="s">
        <v>35</v>
      </c>
      <c r="AU972" s="4">
        <f>HYPERLINK("http://mlb.mlb.com/team/player.jsp?player_id=621169",621169)</f>
        <v>621169</v>
      </c>
      <c r="AV972">
        <v>0</v>
      </c>
      <c r="AW972">
        <v>0</v>
      </c>
      <c r="AX972">
        <v>0</v>
      </c>
    </row>
    <row r="973" spans="1:50" x14ac:dyDescent="0.3">
      <c r="A973" s="4">
        <f>HYPERLINK("http://legacy.baseballprospectus.com/p/106487",106487)</f>
        <v>106487</v>
      </c>
      <c r="B973" t="s">
        <v>2046</v>
      </c>
      <c r="C973" t="s">
        <v>904</v>
      </c>
      <c r="D973" s="10">
        <v>32518</v>
      </c>
      <c r="E973" t="s">
        <v>9</v>
      </c>
      <c r="F973" t="s">
        <v>9</v>
      </c>
      <c r="G973">
        <v>74</v>
      </c>
      <c r="H973">
        <v>190</v>
      </c>
      <c r="I973">
        <v>2018</v>
      </c>
      <c r="J973" s="4" t="str">
        <f>HYPERLINK("http://legacy.baseballprospectus.com/fantasy/dc/index.php?tm=SEA","SEA")</f>
        <v>SEA</v>
      </c>
      <c r="K973" t="s">
        <v>95</v>
      </c>
      <c r="L973" t="s">
        <v>34</v>
      </c>
      <c r="M973">
        <v>29</v>
      </c>
      <c r="N973">
        <v>6.9</v>
      </c>
      <c r="O973">
        <v>8.8000000000000007</v>
      </c>
      <c r="P973">
        <v>8</v>
      </c>
      <c r="Q973">
        <v>0</v>
      </c>
      <c r="R973">
        <v>0</v>
      </c>
      <c r="S973">
        <v>0</v>
      </c>
      <c r="T973">
        <v>23</v>
      </c>
      <c r="U973">
        <v>23</v>
      </c>
      <c r="V973" s="9">
        <v>122</v>
      </c>
      <c r="W973">
        <v>533</v>
      </c>
      <c r="X973">
        <v>125</v>
      </c>
      <c r="Y973">
        <v>26</v>
      </c>
      <c r="Z973">
        <v>49</v>
      </c>
      <c r="AA973">
        <v>2</v>
      </c>
      <c r="AB973">
        <v>5</v>
      </c>
      <c r="AC973">
        <v>101</v>
      </c>
      <c r="AD973">
        <v>3.6</v>
      </c>
      <c r="AE973">
        <v>7.5</v>
      </c>
      <c r="AF973" s="5">
        <v>0.36199999999999999</v>
      </c>
      <c r="AG973">
        <v>0.28199999999999997</v>
      </c>
      <c r="AH973">
        <v>1.4</v>
      </c>
      <c r="AI973">
        <v>5.47</v>
      </c>
      <c r="AJ973">
        <v>5.97</v>
      </c>
      <c r="AK973">
        <v>-5.5</v>
      </c>
      <c r="AL973">
        <v>-0.6</v>
      </c>
      <c r="AM973">
        <v>21</v>
      </c>
      <c r="AN973">
        <v>35</v>
      </c>
      <c r="AO973">
        <v>15</v>
      </c>
      <c r="AP973">
        <v>22</v>
      </c>
      <c r="AQ973" t="s">
        <v>3397</v>
      </c>
      <c r="AR973">
        <v>63</v>
      </c>
      <c r="AS973" t="s">
        <v>35</v>
      </c>
      <c r="AT973" t="s">
        <v>36</v>
      </c>
      <c r="AU973" s="4">
        <f>HYPERLINK("http://mlb.mlb.com/team/player.jsp?player_id=664641",664641)</f>
        <v>664641</v>
      </c>
      <c r="AV973">
        <v>23</v>
      </c>
      <c r="AW973">
        <v>1023</v>
      </c>
      <c r="AX973">
        <v>160</v>
      </c>
    </row>
    <row r="974" spans="1:50" x14ac:dyDescent="0.3">
      <c r="A974" s="4">
        <f>HYPERLINK("http://legacy.baseballprospectus.com/p/104729",104729)</f>
        <v>104729</v>
      </c>
      <c r="B974" t="s">
        <v>2961</v>
      </c>
      <c r="C974" t="s">
        <v>176</v>
      </c>
      <c r="D974" s="10">
        <v>34922</v>
      </c>
      <c r="E974" t="s">
        <v>33</v>
      </c>
      <c r="F974" t="s">
        <v>33</v>
      </c>
      <c r="G974">
        <v>74</v>
      </c>
      <c r="H974">
        <v>205</v>
      </c>
      <c r="I974">
        <v>2018</v>
      </c>
      <c r="J974" s="4" t="str">
        <f>HYPERLINK("http://legacy.baseballprospectus.com/fantasy/dc/index.php?tm=TBA","TBA")</f>
        <v>TBA</v>
      </c>
      <c r="K974" t="s">
        <v>95</v>
      </c>
      <c r="L974" t="s">
        <v>34</v>
      </c>
      <c r="M974">
        <v>22</v>
      </c>
      <c r="N974">
        <v>2.5</v>
      </c>
      <c r="O974">
        <v>4.7</v>
      </c>
      <c r="P974">
        <v>3</v>
      </c>
      <c r="Q974">
        <v>0</v>
      </c>
      <c r="R974">
        <v>0</v>
      </c>
      <c r="S974">
        <v>0</v>
      </c>
      <c r="T974">
        <v>10.7</v>
      </c>
      <c r="U974">
        <v>10.7</v>
      </c>
      <c r="V974" s="9">
        <v>54.333300000000001</v>
      </c>
      <c r="W974">
        <v>246</v>
      </c>
      <c r="X974">
        <v>60</v>
      </c>
      <c r="Y974">
        <v>13</v>
      </c>
      <c r="Z974">
        <v>25</v>
      </c>
      <c r="AA974" t="s">
        <v>1680</v>
      </c>
      <c r="AB974">
        <v>2</v>
      </c>
      <c r="AC974">
        <v>51</v>
      </c>
      <c r="AD974">
        <v>4.0999999999999996</v>
      </c>
      <c r="AE974">
        <v>8.4</v>
      </c>
      <c r="AF974" s="5">
        <v>0.44213974475860501</v>
      </c>
      <c r="AG974">
        <v>0.30199999999999999</v>
      </c>
      <c r="AH974">
        <v>1.57</v>
      </c>
      <c r="AI974">
        <v>6.1</v>
      </c>
      <c r="AJ974">
        <v>6.77</v>
      </c>
      <c r="AK974">
        <v>-6</v>
      </c>
      <c r="AL974">
        <v>-0.6</v>
      </c>
      <c r="AM974">
        <v>4</v>
      </c>
      <c r="AN974">
        <v>6</v>
      </c>
      <c r="AO974">
        <v>1</v>
      </c>
      <c r="AP974">
        <v>8</v>
      </c>
      <c r="AQ974" t="s">
        <v>2962</v>
      </c>
      <c r="AR974">
        <v>8</v>
      </c>
      <c r="AS974" t="s">
        <v>36</v>
      </c>
      <c r="AT974" t="s">
        <v>35</v>
      </c>
      <c r="AU974" s="4">
        <f>HYPERLINK("http://mlb.mlb.com/team/player.jsp?player_id=656237",656237)</f>
        <v>656237</v>
      </c>
      <c r="AV974">
        <v>0</v>
      </c>
      <c r="AW974">
        <v>0</v>
      </c>
      <c r="AX974">
        <v>0</v>
      </c>
    </row>
    <row r="975" spans="1:50" x14ac:dyDescent="0.3">
      <c r="A975" s="4">
        <f>HYPERLINK("http://legacy.baseballprospectus.com/p/104792",104792)</f>
        <v>104792</v>
      </c>
      <c r="B975" t="s">
        <v>1104</v>
      </c>
      <c r="C975" t="s">
        <v>1522</v>
      </c>
      <c r="D975" s="10">
        <v>34907</v>
      </c>
      <c r="E975" t="s">
        <v>33</v>
      </c>
      <c r="F975" t="s">
        <v>9</v>
      </c>
      <c r="G975">
        <v>75</v>
      </c>
      <c r="H975">
        <v>200</v>
      </c>
      <c r="I975">
        <v>2018</v>
      </c>
      <c r="J975" s="4" t="str">
        <f>HYPERLINK("http://legacy.baseballprospectus.com/fantasy/dc/index.php?tm=KCA","KCA")</f>
        <v>KCA</v>
      </c>
      <c r="K975" t="s">
        <v>95</v>
      </c>
      <c r="L975" t="s">
        <v>34</v>
      </c>
      <c r="M975">
        <v>22</v>
      </c>
      <c r="N975">
        <v>6.3</v>
      </c>
      <c r="O975">
        <v>10.5</v>
      </c>
      <c r="P975">
        <v>8.1999999999999993</v>
      </c>
      <c r="Q975">
        <v>0</v>
      </c>
      <c r="R975">
        <v>0</v>
      </c>
      <c r="S975">
        <v>0</v>
      </c>
      <c r="T975">
        <v>26</v>
      </c>
      <c r="U975">
        <v>26</v>
      </c>
      <c r="V975" s="9">
        <v>126</v>
      </c>
      <c r="W975">
        <v>570</v>
      </c>
      <c r="X975">
        <v>149</v>
      </c>
      <c r="Y975">
        <v>28</v>
      </c>
      <c r="Z975">
        <v>53</v>
      </c>
      <c r="AA975" t="s">
        <v>1680</v>
      </c>
      <c r="AB975">
        <v>3</v>
      </c>
      <c r="AC975">
        <v>108</v>
      </c>
      <c r="AD975">
        <v>3.8</v>
      </c>
      <c r="AE975">
        <v>7.7</v>
      </c>
      <c r="AF975" s="5">
        <v>0.44555127620696999</v>
      </c>
      <c r="AG975">
        <v>0.32</v>
      </c>
      <c r="AH975">
        <v>1.6</v>
      </c>
      <c r="AI975">
        <v>5.87</v>
      </c>
      <c r="AJ975">
        <v>6.14</v>
      </c>
      <c r="AK975">
        <v>-5.7</v>
      </c>
      <c r="AL975">
        <v>-0.6</v>
      </c>
      <c r="AM975">
        <v>5</v>
      </c>
      <c r="AN975">
        <v>10</v>
      </c>
      <c r="AO975">
        <v>2</v>
      </c>
      <c r="AP975">
        <v>13</v>
      </c>
      <c r="AQ975" t="s">
        <v>2963</v>
      </c>
      <c r="AR975">
        <v>15</v>
      </c>
      <c r="AS975" t="s">
        <v>36</v>
      </c>
      <c r="AT975" t="s">
        <v>35</v>
      </c>
      <c r="AU975" s="4">
        <f>HYPERLINK("http://mlb.mlb.com/team/player.jsp?player_id=656492",656492)</f>
        <v>656492</v>
      </c>
      <c r="AV975">
        <v>177</v>
      </c>
      <c r="AW975">
        <v>1177</v>
      </c>
      <c r="AX975">
        <v>0</v>
      </c>
    </row>
    <row r="976" spans="1:50" x14ac:dyDescent="0.3">
      <c r="A976" s="4">
        <f>HYPERLINK("http://legacy.baseballprospectus.com/p/104914",104914)</f>
        <v>104914</v>
      </c>
      <c r="B976" t="s">
        <v>3120</v>
      </c>
      <c r="C976" t="s">
        <v>254</v>
      </c>
      <c r="D976" s="10">
        <v>34891</v>
      </c>
      <c r="E976" t="s">
        <v>9</v>
      </c>
      <c r="F976" t="s">
        <v>9</v>
      </c>
      <c r="G976">
        <v>74</v>
      </c>
      <c r="H976">
        <v>195</v>
      </c>
      <c r="I976">
        <v>2018</v>
      </c>
      <c r="J976" s="4" t="str">
        <f>HYPERLINK("http://legacy.baseballprospectus.com/fantasy/dc/index.php?tm=CHN","CHN")</f>
        <v>CHN</v>
      </c>
      <c r="K976" t="s">
        <v>100</v>
      </c>
      <c r="L976" t="s">
        <v>34</v>
      </c>
      <c r="M976">
        <v>22</v>
      </c>
      <c r="N976">
        <v>5.0999999999999996</v>
      </c>
      <c r="O976">
        <v>6.2</v>
      </c>
      <c r="P976">
        <v>6.4</v>
      </c>
      <c r="Q976">
        <v>0</v>
      </c>
      <c r="R976">
        <v>0</v>
      </c>
      <c r="S976">
        <v>0</v>
      </c>
      <c r="T976">
        <v>18.899999999999999</v>
      </c>
      <c r="U976">
        <v>18.899999999999999</v>
      </c>
      <c r="V976" s="9">
        <v>81.666700000000006</v>
      </c>
      <c r="W976">
        <v>363</v>
      </c>
      <c r="X976">
        <v>91</v>
      </c>
      <c r="Y976">
        <v>17</v>
      </c>
      <c r="Z976">
        <v>38</v>
      </c>
      <c r="AA976" t="s">
        <v>1680</v>
      </c>
      <c r="AB976">
        <v>5</v>
      </c>
      <c r="AC976">
        <v>76</v>
      </c>
      <c r="AD976">
        <v>4.2</v>
      </c>
      <c r="AE976">
        <v>8.4</v>
      </c>
      <c r="AF976" s="5">
        <v>0.445495724678039</v>
      </c>
      <c r="AG976">
        <v>0.32700000000000001</v>
      </c>
      <c r="AH976">
        <v>1.59</v>
      </c>
      <c r="AI976">
        <v>5.64</v>
      </c>
      <c r="AJ976">
        <v>6.23</v>
      </c>
      <c r="AK976">
        <v>-5.2</v>
      </c>
      <c r="AL976">
        <v>-0.6</v>
      </c>
      <c r="AM976">
        <v>2</v>
      </c>
      <c r="AN976">
        <v>2</v>
      </c>
      <c r="AO976">
        <v>2</v>
      </c>
      <c r="AP976">
        <v>4</v>
      </c>
      <c r="AQ976" t="s">
        <v>3121</v>
      </c>
      <c r="AR976">
        <v>4</v>
      </c>
      <c r="AS976" t="s">
        <v>36</v>
      </c>
      <c r="AT976" t="s">
        <v>35</v>
      </c>
      <c r="AU976" s="4">
        <f>HYPERLINK("http://mlb.mlb.com/team/player.jsp?player_id=657006",657006)</f>
        <v>657006</v>
      </c>
      <c r="AV976">
        <v>1172</v>
      </c>
      <c r="AW976">
        <v>172</v>
      </c>
      <c r="AX976">
        <v>0</v>
      </c>
    </row>
    <row r="977" spans="1:50" x14ac:dyDescent="0.3">
      <c r="A977" s="4">
        <f>HYPERLINK("http://legacy.baseballprospectus.com/p/104930",104930)</f>
        <v>104930</v>
      </c>
      <c r="B977" t="s">
        <v>1516</v>
      </c>
      <c r="C977" t="s">
        <v>1517</v>
      </c>
      <c r="D977" s="10">
        <v>35236</v>
      </c>
      <c r="E977" t="s">
        <v>33</v>
      </c>
      <c r="F977" t="s">
        <v>33</v>
      </c>
      <c r="G977">
        <v>75</v>
      </c>
      <c r="H977">
        <v>185</v>
      </c>
      <c r="I977">
        <v>2018</v>
      </c>
      <c r="J977" s="4" t="str">
        <f>HYPERLINK("http://legacy.baseballprospectus.com/fantasy/dc/index.php?tm=ATL","ATL")</f>
        <v>ATL</v>
      </c>
      <c r="K977" t="s">
        <v>100</v>
      </c>
      <c r="L977" t="s">
        <v>34</v>
      </c>
      <c r="M977">
        <v>22</v>
      </c>
      <c r="N977">
        <v>6.9</v>
      </c>
      <c r="O977">
        <v>9.3000000000000007</v>
      </c>
      <c r="P977">
        <v>9.6999999999999993</v>
      </c>
      <c r="Q977">
        <v>0</v>
      </c>
      <c r="R977">
        <v>0</v>
      </c>
      <c r="S977">
        <v>0</v>
      </c>
      <c r="T977">
        <v>25.2</v>
      </c>
      <c r="U977">
        <v>25.2</v>
      </c>
      <c r="V977" s="9">
        <v>125</v>
      </c>
      <c r="W977">
        <v>536</v>
      </c>
      <c r="X977">
        <v>121</v>
      </c>
      <c r="Y977">
        <v>27</v>
      </c>
      <c r="Z977">
        <v>59</v>
      </c>
      <c r="AA977" t="s">
        <v>1680</v>
      </c>
      <c r="AB977">
        <v>5</v>
      </c>
      <c r="AC977">
        <v>144</v>
      </c>
      <c r="AD977">
        <v>4.3</v>
      </c>
      <c r="AE977">
        <v>10.3</v>
      </c>
      <c r="AF977" s="5">
        <v>0.38591992855071999</v>
      </c>
      <c r="AG977">
        <v>0.31</v>
      </c>
      <c r="AH977">
        <v>1.44</v>
      </c>
      <c r="AI977">
        <v>5.21</v>
      </c>
      <c r="AJ977">
        <v>6.02</v>
      </c>
      <c r="AK977">
        <v>-5.2</v>
      </c>
      <c r="AL977">
        <v>-0.6</v>
      </c>
      <c r="AM977">
        <v>3</v>
      </c>
      <c r="AN977">
        <v>6</v>
      </c>
      <c r="AO977">
        <v>3</v>
      </c>
      <c r="AP977">
        <v>8</v>
      </c>
      <c r="AQ977" t="s">
        <v>2808</v>
      </c>
      <c r="AR977">
        <v>9</v>
      </c>
      <c r="AS977" t="s">
        <v>36</v>
      </c>
      <c r="AT977" t="s">
        <v>35</v>
      </c>
      <c r="AU977" s="4">
        <f>HYPERLINK("http://mlb.mlb.com/team/player.jsp?player_id=657053",657053)</f>
        <v>657053</v>
      </c>
      <c r="AV977">
        <v>1161</v>
      </c>
      <c r="AW977">
        <v>161</v>
      </c>
      <c r="AX977">
        <v>0</v>
      </c>
    </row>
    <row r="978" spans="1:50" x14ac:dyDescent="0.3">
      <c r="A978" s="4">
        <f>HYPERLINK("http://legacy.baseballprospectus.com/p/105759",105759)</f>
        <v>105759</v>
      </c>
      <c r="B978" t="s">
        <v>2535</v>
      </c>
      <c r="C978" t="s">
        <v>2217</v>
      </c>
      <c r="D978" s="10">
        <v>34284</v>
      </c>
      <c r="E978" t="s">
        <v>9</v>
      </c>
      <c r="F978" t="s">
        <v>9</v>
      </c>
      <c r="G978">
        <v>71</v>
      </c>
      <c r="H978">
        <v>192</v>
      </c>
      <c r="I978">
        <v>2018</v>
      </c>
      <c r="J978" s="4" t="str">
        <f>HYPERLINK("http://legacy.baseballprospectus.com/fantasy/dc/index.php?tm=NYN","NYN")</f>
        <v>NYN</v>
      </c>
      <c r="K978" t="s">
        <v>100</v>
      </c>
      <c r="L978" t="s">
        <v>34</v>
      </c>
      <c r="M978">
        <v>24</v>
      </c>
      <c r="N978">
        <v>5.9</v>
      </c>
      <c r="O978">
        <v>7.9</v>
      </c>
      <c r="P978">
        <v>7</v>
      </c>
      <c r="Q978">
        <v>0</v>
      </c>
      <c r="R978">
        <v>0</v>
      </c>
      <c r="S978">
        <v>0</v>
      </c>
      <c r="T978">
        <v>19</v>
      </c>
      <c r="U978">
        <v>19</v>
      </c>
      <c r="V978" s="9">
        <v>112</v>
      </c>
      <c r="W978">
        <v>476</v>
      </c>
      <c r="X978">
        <v>118</v>
      </c>
      <c r="Y978">
        <v>26</v>
      </c>
      <c r="Z978">
        <v>41</v>
      </c>
      <c r="AA978" t="s">
        <v>1680</v>
      </c>
      <c r="AB978">
        <v>3</v>
      </c>
      <c r="AC978">
        <v>111</v>
      </c>
      <c r="AD978">
        <v>3.3</v>
      </c>
      <c r="AE978">
        <v>8.9</v>
      </c>
      <c r="AF978" s="5">
        <v>0.42529460787773099</v>
      </c>
      <c r="AG978">
        <v>0.312</v>
      </c>
      <c r="AH978">
        <v>1.42</v>
      </c>
      <c r="AI978">
        <v>5.47</v>
      </c>
      <c r="AJ978">
        <v>6.08</v>
      </c>
      <c r="AK978">
        <v>-5.4</v>
      </c>
      <c r="AL978">
        <v>-0.6</v>
      </c>
      <c r="AM978">
        <v>15</v>
      </c>
      <c r="AN978">
        <v>25</v>
      </c>
      <c r="AO978">
        <v>6</v>
      </c>
      <c r="AP978">
        <v>22</v>
      </c>
      <c r="AQ978" t="s">
        <v>2536</v>
      </c>
      <c r="AR978">
        <v>37</v>
      </c>
      <c r="AS978" t="s">
        <v>36</v>
      </c>
      <c r="AT978" t="s">
        <v>35</v>
      </c>
      <c r="AU978" s="4">
        <f>HYPERLINK("http://mlb.mlb.com/team/player.jsp?player_id=664869",664869)</f>
        <v>664869</v>
      </c>
      <c r="AV978">
        <v>0</v>
      </c>
      <c r="AW978">
        <v>0</v>
      </c>
      <c r="AX978">
        <v>0</v>
      </c>
    </row>
    <row r="979" spans="1:50" x14ac:dyDescent="0.3">
      <c r="A979" s="4">
        <f>HYPERLINK("http://legacy.baseballprospectus.com/p/106097",106097)</f>
        <v>106097</v>
      </c>
      <c r="B979" t="s">
        <v>400</v>
      </c>
      <c r="C979" t="s">
        <v>111</v>
      </c>
      <c r="D979" s="10">
        <v>35092</v>
      </c>
      <c r="E979" t="s">
        <v>33</v>
      </c>
      <c r="F979" t="s">
        <v>33</v>
      </c>
      <c r="G979">
        <v>74</v>
      </c>
      <c r="H979">
        <v>182</v>
      </c>
      <c r="I979">
        <v>2018</v>
      </c>
      <c r="J979" s="4" t="str">
        <f>HYPERLINK("http://legacy.baseballprospectus.com/fantasy/dc/index.php?tm=MIA","MIA")</f>
        <v>MIA</v>
      </c>
      <c r="K979" t="s">
        <v>100</v>
      </c>
      <c r="L979" t="s">
        <v>34</v>
      </c>
      <c r="M979">
        <v>22</v>
      </c>
      <c r="N979">
        <v>2.5</v>
      </c>
      <c r="O979">
        <v>3.7</v>
      </c>
      <c r="P979">
        <v>3.2</v>
      </c>
      <c r="Q979">
        <v>0</v>
      </c>
      <c r="R979">
        <v>0.2</v>
      </c>
      <c r="S979">
        <v>0</v>
      </c>
      <c r="T979">
        <v>16.100000000000001</v>
      </c>
      <c r="U979">
        <v>9.6999999999999993</v>
      </c>
      <c r="V979" s="9">
        <v>48.666699999999999</v>
      </c>
      <c r="W979">
        <v>213</v>
      </c>
      <c r="X979">
        <v>52</v>
      </c>
      <c r="Y979">
        <v>12</v>
      </c>
      <c r="Z979">
        <v>24</v>
      </c>
      <c r="AA979" t="s">
        <v>1680</v>
      </c>
      <c r="AB979">
        <v>2</v>
      </c>
      <c r="AC979">
        <v>51</v>
      </c>
      <c r="AD979">
        <v>4.5</v>
      </c>
      <c r="AE979">
        <v>9.5</v>
      </c>
      <c r="AF979" s="5">
        <v>0.48789393901824901</v>
      </c>
      <c r="AG979">
        <v>0.32600000000000001</v>
      </c>
      <c r="AH979">
        <v>1.57</v>
      </c>
      <c r="AI979">
        <v>5.75</v>
      </c>
      <c r="AJ979">
        <v>6.5</v>
      </c>
      <c r="AK979">
        <v>-5.3</v>
      </c>
      <c r="AL979">
        <v>-0.6</v>
      </c>
      <c r="AM979">
        <v>1</v>
      </c>
      <c r="AN979">
        <v>1</v>
      </c>
      <c r="AO979">
        <v>2</v>
      </c>
      <c r="AP979">
        <v>3</v>
      </c>
      <c r="AQ979" t="s">
        <v>3430</v>
      </c>
      <c r="AR979">
        <v>3</v>
      </c>
      <c r="AS979" t="s">
        <v>36</v>
      </c>
      <c r="AT979" t="s">
        <v>35</v>
      </c>
      <c r="AU979" s="4">
        <f>HYPERLINK("http://mlb.mlb.com/team/player.jsp?player_id=660422",660422)</f>
        <v>660422</v>
      </c>
      <c r="AV979">
        <v>1223</v>
      </c>
      <c r="AW979">
        <v>223</v>
      </c>
      <c r="AX979">
        <v>0</v>
      </c>
    </row>
    <row r="980" spans="1:50" x14ac:dyDescent="0.3">
      <c r="A980" s="4">
        <f>HYPERLINK("http://legacy.baseballprospectus.com/p/106359",106359)</f>
        <v>106359</v>
      </c>
      <c r="B980" t="s">
        <v>1677</v>
      </c>
      <c r="C980" t="s">
        <v>254</v>
      </c>
      <c r="D980" s="10">
        <v>35362</v>
      </c>
      <c r="E980" t="s">
        <v>33</v>
      </c>
      <c r="F980" t="s">
        <v>33</v>
      </c>
      <c r="G980">
        <v>75</v>
      </c>
      <c r="H980">
        <v>190</v>
      </c>
      <c r="I980">
        <v>2018</v>
      </c>
      <c r="J980" s="4" t="str">
        <f>HYPERLINK("http://legacy.baseballprospectus.com/fantasy/dc/index.php?tm=TOR","TOR")</f>
        <v>TOR</v>
      </c>
      <c r="K980" t="s">
        <v>95</v>
      </c>
      <c r="L980" t="s">
        <v>34</v>
      </c>
      <c r="M980">
        <v>21</v>
      </c>
      <c r="N980">
        <v>3.2</v>
      </c>
      <c r="O980">
        <v>5.3</v>
      </c>
      <c r="P980">
        <v>3.4</v>
      </c>
      <c r="Q980">
        <v>0</v>
      </c>
      <c r="R980">
        <v>0</v>
      </c>
      <c r="S980">
        <v>0</v>
      </c>
      <c r="T980">
        <v>12.3</v>
      </c>
      <c r="U980">
        <v>12.3</v>
      </c>
      <c r="V980" s="9">
        <v>65.666700000000006</v>
      </c>
      <c r="W980">
        <v>301</v>
      </c>
      <c r="X980">
        <v>80</v>
      </c>
      <c r="Y980">
        <v>16</v>
      </c>
      <c r="Z980">
        <v>28</v>
      </c>
      <c r="AA980" t="s">
        <v>1680</v>
      </c>
      <c r="AB980">
        <v>2</v>
      </c>
      <c r="AC980">
        <v>52</v>
      </c>
      <c r="AD980">
        <v>3.9</v>
      </c>
      <c r="AE980">
        <v>7.1</v>
      </c>
      <c r="AF980" s="5">
        <v>0.50207722187042203</v>
      </c>
      <c r="AG980">
        <v>0.318</v>
      </c>
      <c r="AH980">
        <v>1.65</v>
      </c>
      <c r="AI980">
        <v>6.21</v>
      </c>
      <c r="AJ980">
        <v>6.54</v>
      </c>
      <c r="AK980">
        <v>-5.7</v>
      </c>
      <c r="AL980">
        <v>-0.6</v>
      </c>
      <c r="AM980">
        <v>5</v>
      </c>
      <c r="AN980">
        <v>5</v>
      </c>
      <c r="AO980">
        <v>1</v>
      </c>
      <c r="AP980">
        <v>3</v>
      </c>
      <c r="AQ980" t="s">
        <v>3126</v>
      </c>
      <c r="AR980">
        <v>7</v>
      </c>
      <c r="AS980" t="s">
        <v>36</v>
      </c>
      <c r="AT980" t="s">
        <v>35</v>
      </c>
      <c r="AU980" s="4">
        <f>HYPERLINK("http://mlb.mlb.com/team/player.jsp?player_id=663359",663359)</f>
        <v>663359</v>
      </c>
      <c r="AV980">
        <v>0</v>
      </c>
      <c r="AW980">
        <v>0</v>
      </c>
      <c r="AX980">
        <v>0</v>
      </c>
    </row>
    <row r="981" spans="1:50" x14ac:dyDescent="0.3">
      <c r="A981" s="4">
        <f>HYPERLINK("http://legacy.baseballprospectus.com/p/106641",106641)</f>
        <v>106641</v>
      </c>
      <c r="B981" t="s">
        <v>564</v>
      </c>
      <c r="C981" t="s">
        <v>150</v>
      </c>
      <c r="D981" s="10">
        <v>34886</v>
      </c>
      <c r="E981" t="s">
        <v>33</v>
      </c>
      <c r="F981" t="s">
        <v>33</v>
      </c>
      <c r="G981">
        <v>72</v>
      </c>
      <c r="H981">
        <v>175</v>
      </c>
      <c r="I981">
        <v>2018</v>
      </c>
      <c r="J981" s="4" t="str">
        <f>HYPERLINK("http://legacy.baseballprospectus.com/fantasy/dc/index.php?tm=MIL","MIL")</f>
        <v>MIL</v>
      </c>
      <c r="K981" t="s">
        <v>100</v>
      </c>
      <c r="L981" t="s">
        <v>34</v>
      </c>
      <c r="M981">
        <v>22</v>
      </c>
      <c r="N981">
        <v>1.7</v>
      </c>
      <c r="O981">
        <v>3.3</v>
      </c>
      <c r="P981">
        <v>2.1</v>
      </c>
      <c r="Q981">
        <v>0</v>
      </c>
      <c r="R981">
        <v>0</v>
      </c>
      <c r="S981">
        <v>0</v>
      </c>
      <c r="T981">
        <v>8.6999999999999993</v>
      </c>
      <c r="U981">
        <v>8.6999999999999993</v>
      </c>
      <c r="V981" s="9">
        <v>33.666699999999999</v>
      </c>
      <c r="W981">
        <v>150</v>
      </c>
      <c r="X981">
        <v>38</v>
      </c>
      <c r="Y981">
        <v>9</v>
      </c>
      <c r="Z981">
        <v>17</v>
      </c>
      <c r="AA981" t="s">
        <v>1680</v>
      </c>
      <c r="AB981">
        <v>1</v>
      </c>
      <c r="AC981">
        <v>34</v>
      </c>
      <c r="AD981">
        <v>4.5999999999999996</v>
      </c>
      <c r="AE981">
        <v>8.9</v>
      </c>
      <c r="AF981" s="5">
        <v>0.410928905010223</v>
      </c>
      <c r="AG981">
        <v>0.317</v>
      </c>
      <c r="AH981">
        <v>1.62</v>
      </c>
      <c r="AI981">
        <v>6.49</v>
      </c>
      <c r="AJ981">
        <v>7.3</v>
      </c>
      <c r="AK981">
        <v>-5.9</v>
      </c>
      <c r="AL981">
        <v>-0.6</v>
      </c>
      <c r="AM981">
        <v>1</v>
      </c>
      <c r="AN981">
        <v>2</v>
      </c>
      <c r="AO981">
        <v>0</v>
      </c>
      <c r="AP981">
        <v>1</v>
      </c>
      <c r="AQ981" t="s">
        <v>3401</v>
      </c>
      <c r="AR981">
        <v>3</v>
      </c>
      <c r="AS981" t="s">
        <v>36</v>
      </c>
      <c r="AT981" t="s">
        <v>35</v>
      </c>
      <c r="AU981" s="4">
        <f>HYPERLINK("http://mlb.mlb.com/team/player.jsp?player_id=656837",656837)</f>
        <v>656837</v>
      </c>
      <c r="AV981">
        <v>0</v>
      </c>
      <c r="AW981">
        <v>0</v>
      </c>
      <c r="AX981">
        <v>0</v>
      </c>
    </row>
    <row r="982" spans="1:50" x14ac:dyDescent="0.3">
      <c r="A982" s="4">
        <f>HYPERLINK("http://legacy.baseballprospectus.com/p/106651",106651)</f>
        <v>106651</v>
      </c>
      <c r="B982" t="s">
        <v>568</v>
      </c>
      <c r="C982" t="s">
        <v>348</v>
      </c>
      <c r="D982" s="10">
        <v>35770</v>
      </c>
      <c r="E982" t="s">
        <v>33</v>
      </c>
      <c r="F982" t="s">
        <v>33</v>
      </c>
      <c r="G982">
        <v>75</v>
      </c>
      <c r="H982">
        <v>197</v>
      </c>
      <c r="I982">
        <v>2018</v>
      </c>
      <c r="J982" s="4" t="str">
        <f>HYPERLINK("http://legacy.baseballprospectus.com/fantasy/dc/index.php?tm=DET","DET")</f>
        <v>DET</v>
      </c>
      <c r="K982" t="s">
        <v>95</v>
      </c>
      <c r="L982" t="s">
        <v>34</v>
      </c>
      <c r="M982">
        <v>20</v>
      </c>
      <c r="N982">
        <v>3.3</v>
      </c>
      <c r="O982">
        <v>4.5</v>
      </c>
      <c r="P982">
        <v>3.4</v>
      </c>
      <c r="Q982">
        <v>0</v>
      </c>
      <c r="R982">
        <v>0.5</v>
      </c>
      <c r="S982">
        <v>0</v>
      </c>
      <c r="T982">
        <v>26.2</v>
      </c>
      <c r="U982">
        <v>11.4</v>
      </c>
      <c r="V982" s="9">
        <v>65.333299999999994</v>
      </c>
      <c r="W982">
        <v>295</v>
      </c>
      <c r="X982">
        <v>75</v>
      </c>
      <c r="Y982">
        <v>18</v>
      </c>
      <c r="Z982">
        <v>28</v>
      </c>
      <c r="AA982" t="s">
        <v>1680</v>
      </c>
      <c r="AB982">
        <v>1</v>
      </c>
      <c r="AC982">
        <v>71</v>
      </c>
      <c r="AD982">
        <v>3.8</v>
      </c>
      <c r="AE982">
        <v>9.8000000000000007</v>
      </c>
      <c r="AF982" s="5">
        <v>0.38843849301338101</v>
      </c>
      <c r="AG982">
        <v>0.32400000000000001</v>
      </c>
      <c r="AH982">
        <v>1.57</v>
      </c>
      <c r="AI982">
        <v>6.01</v>
      </c>
      <c r="AJ982">
        <v>6.08</v>
      </c>
      <c r="AK982">
        <v>-5.4</v>
      </c>
      <c r="AL982">
        <v>-0.6</v>
      </c>
      <c r="AM982">
        <v>5</v>
      </c>
      <c r="AN982">
        <v>10</v>
      </c>
      <c r="AO982">
        <v>3</v>
      </c>
      <c r="AP982">
        <v>11</v>
      </c>
      <c r="AQ982" t="s">
        <v>2441</v>
      </c>
      <c r="AR982">
        <v>13</v>
      </c>
      <c r="AS982" t="s">
        <v>36</v>
      </c>
      <c r="AT982" t="s">
        <v>35</v>
      </c>
      <c r="AU982" s="4">
        <f>HYPERLINK("http://mlb.mlb.com/team/player.jsp?player_id=658530",658530)</f>
        <v>658530</v>
      </c>
      <c r="AV982">
        <v>170</v>
      </c>
      <c r="AW982">
        <v>1170</v>
      </c>
      <c r="AX982">
        <v>0</v>
      </c>
    </row>
    <row r="983" spans="1:50" x14ac:dyDescent="0.3">
      <c r="A983" s="4">
        <f>HYPERLINK("http://legacy.baseballprospectus.com/p/108902",108902)</f>
        <v>108902</v>
      </c>
      <c r="B983" t="s">
        <v>2073</v>
      </c>
      <c r="C983" t="s">
        <v>459</v>
      </c>
      <c r="D983" s="10">
        <v>35750</v>
      </c>
      <c r="E983" t="s">
        <v>33</v>
      </c>
      <c r="F983" t="s">
        <v>33</v>
      </c>
      <c r="G983">
        <v>76</v>
      </c>
      <c r="H983">
        <v>170</v>
      </c>
      <c r="I983">
        <v>2018</v>
      </c>
      <c r="J983" s="4" t="str">
        <f>HYPERLINK("http://legacy.baseballprospectus.com/fantasy/dc/index.php?tm=PHI","PHI")</f>
        <v>PHI</v>
      </c>
      <c r="K983" t="s">
        <v>100</v>
      </c>
      <c r="L983" t="s">
        <v>34</v>
      </c>
      <c r="M983">
        <v>20</v>
      </c>
      <c r="N983">
        <v>1.7</v>
      </c>
      <c r="O983">
        <v>3.1</v>
      </c>
      <c r="P983">
        <v>2.1</v>
      </c>
      <c r="Q983">
        <v>0</v>
      </c>
      <c r="R983">
        <v>0</v>
      </c>
      <c r="S983">
        <v>0</v>
      </c>
      <c r="T983">
        <v>8.1</v>
      </c>
      <c r="U983">
        <v>8.1</v>
      </c>
      <c r="V983" s="9">
        <v>33.333300000000001</v>
      </c>
      <c r="W983">
        <v>150</v>
      </c>
      <c r="X983">
        <v>39</v>
      </c>
      <c r="Y983">
        <v>9</v>
      </c>
      <c r="Z983">
        <v>16</v>
      </c>
      <c r="AA983" t="s">
        <v>1680</v>
      </c>
      <c r="AB983">
        <v>2</v>
      </c>
      <c r="AC983">
        <v>31</v>
      </c>
      <c r="AD983">
        <v>4.4000000000000004</v>
      </c>
      <c r="AE983">
        <v>8.4</v>
      </c>
      <c r="AF983" s="5">
        <v>0.49671289324760398</v>
      </c>
      <c r="AG983">
        <v>0.32700000000000001</v>
      </c>
      <c r="AH983">
        <v>1.65</v>
      </c>
      <c r="AI983">
        <v>6.35</v>
      </c>
      <c r="AJ983">
        <v>7.11</v>
      </c>
      <c r="AK983">
        <v>-5.2</v>
      </c>
      <c r="AL983">
        <v>-0.6</v>
      </c>
      <c r="AM983">
        <v>0</v>
      </c>
      <c r="AN983">
        <v>0</v>
      </c>
      <c r="AO983">
        <v>0</v>
      </c>
      <c r="AP983">
        <v>0</v>
      </c>
      <c r="AQ983" t="s">
        <v>3362</v>
      </c>
      <c r="AR983">
        <v>0</v>
      </c>
      <c r="AS983" t="s">
        <v>36</v>
      </c>
      <c r="AT983" t="s">
        <v>35</v>
      </c>
      <c r="AU983" s="4">
        <f>HYPERLINK("http://mlb.mlb.com/team/player.jsp?player_id=666151",666151)</f>
        <v>666151</v>
      </c>
      <c r="AV983">
        <v>1188</v>
      </c>
      <c r="AW983">
        <v>188</v>
      </c>
      <c r="AX983">
        <v>0</v>
      </c>
    </row>
    <row r="984" spans="1:50" x14ac:dyDescent="0.3">
      <c r="A984" s="4">
        <f>HYPERLINK("http://legacy.baseballprospectus.com/p/109131",109131)</f>
        <v>109131</v>
      </c>
      <c r="B984" t="s">
        <v>2112</v>
      </c>
      <c r="C984" t="s">
        <v>362</v>
      </c>
      <c r="D984" s="10">
        <v>35776</v>
      </c>
      <c r="E984" t="s">
        <v>9</v>
      </c>
      <c r="F984" t="s">
        <v>9</v>
      </c>
      <c r="G984">
        <v>76</v>
      </c>
      <c r="H984">
        <v>190</v>
      </c>
      <c r="I984">
        <v>2018</v>
      </c>
      <c r="J984" s="4" t="str">
        <f>HYPERLINK("http://legacy.baseballprospectus.com/fantasy/dc/index.php?tm=TEX","TEX")</f>
        <v>TEX</v>
      </c>
      <c r="K984" t="s">
        <v>95</v>
      </c>
      <c r="L984" t="s">
        <v>34</v>
      </c>
      <c r="M984">
        <v>20</v>
      </c>
      <c r="N984">
        <v>1.8</v>
      </c>
      <c r="O984">
        <v>3.8</v>
      </c>
      <c r="P984">
        <v>1.7</v>
      </c>
      <c r="Q984">
        <v>0</v>
      </c>
      <c r="R984">
        <v>0</v>
      </c>
      <c r="S984">
        <v>0</v>
      </c>
      <c r="T984">
        <v>9</v>
      </c>
      <c r="U984">
        <v>9</v>
      </c>
      <c r="V984" s="9">
        <v>38.666699999999999</v>
      </c>
      <c r="W984">
        <v>183</v>
      </c>
      <c r="X984">
        <v>43</v>
      </c>
      <c r="Y984">
        <v>11</v>
      </c>
      <c r="Z984">
        <v>27</v>
      </c>
      <c r="AA984" t="s">
        <v>1680</v>
      </c>
      <c r="AB984">
        <v>1</v>
      </c>
      <c r="AC984">
        <v>43</v>
      </c>
      <c r="AD984">
        <v>6.3</v>
      </c>
      <c r="AE984">
        <v>10.1</v>
      </c>
      <c r="AF984" s="5">
        <v>0.41642549633979797</v>
      </c>
      <c r="AG984">
        <v>0.315</v>
      </c>
      <c r="AH984">
        <v>1.81</v>
      </c>
      <c r="AI984">
        <v>6.98</v>
      </c>
      <c r="AJ984">
        <v>7.12</v>
      </c>
      <c r="AK984">
        <v>-5.7</v>
      </c>
      <c r="AL984">
        <v>-0.6</v>
      </c>
      <c r="AM984">
        <v>4</v>
      </c>
      <c r="AN984">
        <v>4</v>
      </c>
      <c r="AO984">
        <v>0</v>
      </c>
      <c r="AP984">
        <v>1</v>
      </c>
      <c r="AQ984" t="s">
        <v>3488</v>
      </c>
      <c r="AR984">
        <v>4</v>
      </c>
      <c r="AS984" t="s">
        <v>36</v>
      </c>
      <c r="AT984" t="s">
        <v>35</v>
      </c>
      <c r="AU984" s="4">
        <f>HYPERLINK("http://mlb.mlb.com/team/player.jsp?player_id=666142",666142)</f>
        <v>666142</v>
      </c>
      <c r="AV984">
        <v>203</v>
      </c>
      <c r="AW984">
        <v>1203</v>
      </c>
      <c r="AX984">
        <v>0</v>
      </c>
    </row>
    <row r="985" spans="1:50" x14ac:dyDescent="0.3">
      <c r="A985" s="4">
        <f>HYPERLINK("http://legacy.baseballprospectus.com/p/109654",109654)</f>
        <v>109654</v>
      </c>
      <c r="B985" t="s">
        <v>3464</v>
      </c>
      <c r="C985" t="s">
        <v>3465</v>
      </c>
      <c r="D985" s="10">
        <v>36053</v>
      </c>
      <c r="E985" t="s">
        <v>9</v>
      </c>
      <c r="F985" t="s">
        <v>33</v>
      </c>
      <c r="G985">
        <v>76</v>
      </c>
      <c r="H985">
        <v>180</v>
      </c>
      <c r="I985">
        <v>2018</v>
      </c>
      <c r="J985" s="4" t="str">
        <f>HYPERLINK("http://legacy.baseballprospectus.com/fantasy/dc/index.php?tm=TEX","TEX")</f>
        <v>TEX</v>
      </c>
      <c r="K985" t="s">
        <v>95</v>
      </c>
      <c r="L985" t="s">
        <v>34</v>
      </c>
      <c r="M985">
        <v>19</v>
      </c>
      <c r="N985">
        <v>1.5</v>
      </c>
      <c r="O985">
        <v>2</v>
      </c>
      <c r="P985">
        <v>1</v>
      </c>
      <c r="Q985">
        <v>0</v>
      </c>
      <c r="R985">
        <v>0.4</v>
      </c>
      <c r="S985">
        <v>0</v>
      </c>
      <c r="T985">
        <v>16.899999999999999</v>
      </c>
      <c r="U985">
        <v>4.9000000000000004</v>
      </c>
      <c r="V985" s="9">
        <v>31.666699999999999</v>
      </c>
      <c r="W985">
        <v>150</v>
      </c>
      <c r="X985">
        <v>35</v>
      </c>
      <c r="Y985">
        <v>8</v>
      </c>
      <c r="Z985">
        <v>20</v>
      </c>
      <c r="AA985" t="s">
        <v>1680</v>
      </c>
      <c r="AB985">
        <v>2</v>
      </c>
      <c r="AC985">
        <v>33</v>
      </c>
      <c r="AD985">
        <v>5.8</v>
      </c>
      <c r="AE985">
        <v>9.5</v>
      </c>
      <c r="AF985" s="5">
        <v>0.52345985174178999</v>
      </c>
      <c r="AG985">
        <v>0.311</v>
      </c>
      <c r="AH985">
        <v>1.74</v>
      </c>
      <c r="AI985">
        <v>6.82</v>
      </c>
      <c r="AJ985">
        <v>6.95</v>
      </c>
      <c r="AK985">
        <v>-5.2</v>
      </c>
      <c r="AL985">
        <v>-0.6</v>
      </c>
      <c r="AM985">
        <v>0</v>
      </c>
      <c r="AN985">
        <v>0</v>
      </c>
      <c r="AO985">
        <v>0</v>
      </c>
      <c r="AP985">
        <v>0</v>
      </c>
      <c r="AQ985" t="s">
        <v>3466</v>
      </c>
      <c r="AR985">
        <v>0</v>
      </c>
      <c r="AS985" t="s">
        <v>36</v>
      </c>
      <c r="AT985" t="s">
        <v>35</v>
      </c>
      <c r="AU985" s="4">
        <f>HYPERLINK("http://mlb.mlb.com/team/player.jsp?player_id=668968",668968)</f>
        <v>668968</v>
      </c>
      <c r="AV985">
        <v>706</v>
      </c>
      <c r="AW985">
        <v>1706</v>
      </c>
      <c r="AX985">
        <v>0</v>
      </c>
    </row>
    <row r="986" spans="1:50" x14ac:dyDescent="0.3">
      <c r="A986" s="4">
        <f>HYPERLINK("http://legacy.baseballprospectus.com/p/52032",52032)</f>
        <v>52032</v>
      </c>
      <c r="B986" t="s">
        <v>965</v>
      </c>
      <c r="C986" t="s">
        <v>150</v>
      </c>
      <c r="D986" s="10">
        <v>30974</v>
      </c>
      <c r="E986" t="s">
        <v>33</v>
      </c>
      <c r="F986" t="s">
        <v>33</v>
      </c>
      <c r="G986">
        <v>73</v>
      </c>
      <c r="H986">
        <v>190</v>
      </c>
      <c r="I986">
        <v>2018</v>
      </c>
      <c r="J986" s="4" t="str">
        <f>HYPERLINK("http://legacy.baseballprospectus.com/fantasy/dc/index.php?tm=CLE","CLE")</f>
        <v>CLE</v>
      </c>
      <c r="K986" t="s">
        <v>95</v>
      </c>
      <c r="L986" t="s">
        <v>34</v>
      </c>
      <c r="M986">
        <v>33</v>
      </c>
      <c r="N986">
        <v>10.5</v>
      </c>
      <c r="O986">
        <v>10.1</v>
      </c>
      <c r="P986">
        <v>10</v>
      </c>
      <c r="Q986">
        <v>0</v>
      </c>
      <c r="R986">
        <v>0</v>
      </c>
      <c r="S986">
        <v>0</v>
      </c>
      <c r="T986">
        <v>29</v>
      </c>
      <c r="U986">
        <v>29</v>
      </c>
      <c r="V986" s="9">
        <v>165.33330000000001</v>
      </c>
      <c r="W986">
        <v>719</v>
      </c>
      <c r="X986">
        <v>185</v>
      </c>
      <c r="Y986">
        <v>37</v>
      </c>
      <c r="Z986">
        <v>47</v>
      </c>
      <c r="AA986">
        <v>3</v>
      </c>
      <c r="AB986">
        <v>6</v>
      </c>
      <c r="AC986">
        <v>124</v>
      </c>
      <c r="AD986">
        <v>2.5</v>
      </c>
      <c r="AE986">
        <v>6.7</v>
      </c>
      <c r="AF986" s="5">
        <v>0.42499999999999999</v>
      </c>
      <c r="AG986">
        <v>0.29299999999999998</v>
      </c>
      <c r="AH986">
        <v>1.4</v>
      </c>
      <c r="AI986">
        <v>5.23</v>
      </c>
      <c r="AJ986">
        <v>5.88</v>
      </c>
      <c r="AK986">
        <v>-6</v>
      </c>
      <c r="AL986">
        <v>-0.7</v>
      </c>
      <c r="AM986">
        <v>19</v>
      </c>
      <c r="AN986">
        <v>43</v>
      </c>
      <c r="AO986">
        <v>20</v>
      </c>
      <c r="AP986">
        <v>12</v>
      </c>
      <c r="AQ986" t="s">
        <v>2545</v>
      </c>
      <c r="AR986">
        <v>85</v>
      </c>
      <c r="AS986" t="s">
        <v>35</v>
      </c>
      <c r="AT986" t="s">
        <v>36</v>
      </c>
      <c r="AU986" s="4">
        <f>HYPERLINK("http://mlb.mlb.com/team/player.jsp?player_id=458708",458708)</f>
        <v>458708</v>
      </c>
      <c r="AV986">
        <v>39</v>
      </c>
      <c r="AW986">
        <v>1039</v>
      </c>
      <c r="AX986">
        <v>141</v>
      </c>
    </row>
    <row r="987" spans="1:50" x14ac:dyDescent="0.3">
      <c r="A987" s="4">
        <f>HYPERLINK("http://legacy.baseballprospectus.com/p/43010",43010)</f>
        <v>43010</v>
      </c>
      <c r="B987" t="s">
        <v>637</v>
      </c>
      <c r="C987" t="s">
        <v>234</v>
      </c>
      <c r="D987" s="10">
        <v>29685</v>
      </c>
      <c r="E987" t="s">
        <v>33</v>
      </c>
      <c r="F987" t="s">
        <v>33</v>
      </c>
      <c r="G987">
        <v>72</v>
      </c>
      <c r="H987">
        <v>190</v>
      </c>
      <c r="I987">
        <v>2018</v>
      </c>
      <c r="J987" s="4" t="str">
        <f>HYPERLINK("http://legacy.baseballprospectus.com/fantasy/dc/index.php?tm=OAK","OAK")</f>
        <v>OAK</v>
      </c>
      <c r="K987" t="s">
        <v>95</v>
      </c>
      <c r="L987" t="s">
        <v>34</v>
      </c>
      <c r="M987">
        <v>37</v>
      </c>
      <c r="N987">
        <v>5.8</v>
      </c>
      <c r="O987">
        <v>6.9</v>
      </c>
      <c r="P987">
        <v>5.3</v>
      </c>
      <c r="Q987">
        <v>0</v>
      </c>
      <c r="R987">
        <v>0.2</v>
      </c>
      <c r="S987">
        <v>0</v>
      </c>
      <c r="T987">
        <v>33.9</v>
      </c>
      <c r="U987">
        <v>16.5</v>
      </c>
      <c r="V987" s="9">
        <v>111</v>
      </c>
      <c r="W987">
        <v>498</v>
      </c>
      <c r="X987">
        <v>120</v>
      </c>
      <c r="Y987">
        <v>22</v>
      </c>
      <c r="Z987">
        <v>47</v>
      </c>
      <c r="AA987" t="s">
        <v>1680</v>
      </c>
      <c r="AB987">
        <v>4</v>
      </c>
      <c r="AC987">
        <v>81</v>
      </c>
      <c r="AD987">
        <v>3.8</v>
      </c>
      <c r="AE987">
        <v>6.5</v>
      </c>
      <c r="AF987" s="5">
        <v>0.42724665999412498</v>
      </c>
      <c r="AG987">
        <v>0.28599999999999998</v>
      </c>
      <c r="AH987">
        <v>1.51</v>
      </c>
      <c r="AI987">
        <v>5.78</v>
      </c>
      <c r="AJ987">
        <v>6.05</v>
      </c>
      <c r="AK987">
        <v>-6.2</v>
      </c>
      <c r="AL987">
        <v>-0.7</v>
      </c>
      <c r="AM987">
        <v>10</v>
      </c>
      <c r="AN987">
        <v>24</v>
      </c>
      <c r="AO987">
        <v>14</v>
      </c>
      <c r="AP987">
        <v>15</v>
      </c>
      <c r="AQ987" t="s">
        <v>3328</v>
      </c>
      <c r="AR987">
        <v>47</v>
      </c>
      <c r="AS987" t="s">
        <v>36</v>
      </c>
      <c r="AT987" t="s">
        <v>36</v>
      </c>
      <c r="AU987" s="4">
        <f>HYPERLINK("http://mlb.mlb.com/team/player.jsp?player_id=434672",434672)</f>
        <v>434672</v>
      </c>
      <c r="AV987">
        <v>0</v>
      </c>
      <c r="AW987">
        <v>0</v>
      </c>
      <c r="AX987">
        <v>55.7</v>
      </c>
    </row>
    <row r="988" spans="1:50" x14ac:dyDescent="0.3">
      <c r="A988" s="4">
        <f>HYPERLINK("http://legacy.baseballprospectus.com/p/49127",49127)</f>
        <v>49127</v>
      </c>
      <c r="B988" t="s">
        <v>979</v>
      </c>
      <c r="C988" t="s">
        <v>980</v>
      </c>
      <c r="D988" s="10">
        <v>30228</v>
      </c>
      <c r="E988" t="s">
        <v>33</v>
      </c>
      <c r="F988" t="s">
        <v>33</v>
      </c>
      <c r="G988">
        <v>79</v>
      </c>
      <c r="H988">
        <v>210</v>
      </c>
      <c r="I988">
        <v>2018</v>
      </c>
      <c r="J988" s="4" t="str">
        <f>HYPERLINK("http://legacy.baseballprospectus.com/fantasy/dc/index.php?tm=SDN","SDN")</f>
        <v>SDN</v>
      </c>
      <c r="K988" t="s">
        <v>100</v>
      </c>
      <c r="L988" t="s">
        <v>34</v>
      </c>
      <c r="M988">
        <v>35</v>
      </c>
      <c r="N988">
        <v>2.7</v>
      </c>
      <c r="O988">
        <v>4.7</v>
      </c>
      <c r="P988">
        <v>3.4</v>
      </c>
      <c r="Q988">
        <v>0</v>
      </c>
      <c r="R988">
        <v>0</v>
      </c>
      <c r="S988">
        <v>0</v>
      </c>
      <c r="T988">
        <v>10.199999999999999</v>
      </c>
      <c r="U988">
        <v>10.199999999999999</v>
      </c>
      <c r="V988" s="9">
        <v>60</v>
      </c>
      <c r="W988">
        <v>255</v>
      </c>
      <c r="X988">
        <v>63</v>
      </c>
      <c r="Y988">
        <v>13</v>
      </c>
      <c r="Z988">
        <v>21</v>
      </c>
      <c r="AA988" t="s">
        <v>1680</v>
      </c>
      <c r="AB988">
        <v>3</v>
      </c>
      <c r="AC988">
        <v>43</v>
      </c>
      <c r="AD988">
        <v>3.2</v>
      </c>
      <c r="AE988">
        <v>6.5</v>
      </c>
      <c r="AF988" s="5">
        <v>0.391281157732009</v>
      </c>
      <c r="AG988">
        <v>0.28899999999999998</v>
      </c>
      <c r="AH988">
        <v>1.41</v>
      </c>
      <c r="AI988">
        <v>5.76</v>
      </c>
      <c r="AJ988">
        <v>6.68</v>
      </c>
      <c r="AK988">
        <v>-6.6</v>
      </c>
      <c r="AL988">
        <v>-0.7</v>
      </c>
      <c r="AM988">
        <v>15</v>
      </c>
      <c r="AN988">
        <v>42</v>
      </c>
      <c r="AO988">
        <v>17</v>
      </c>
      <c r="AP988">
        <v>9</v>
      </c>
      <c r="AQ988" t="s">
        <v>3410</v>
      </c>
      <c r="AR988">
        <v>82</v>
      </c>
      <c r="AS988" t="s">
        <v>36</v>
      </c>
      <c r="AT988" t="s">
        <v>36</v>
      </c>
      <c r="AU988" s="4">
        <f>HYPERLINK("http://mlb.mlb.com/team/player.jsp?player_id=450308",450308)</f>
        <v>450308</v>
      </c>
      <c r="AV988">
        <v>0</v>
      </c>
      <c r="AW988">
        <v>0</v>
      </c>
      <c r="AX988">
        <v>42.3</v>
      </c>
    </row>
    <row r="989" spans="1:50" x14ac:dyDescent="0.3">
      <c r="A989" s="4">
        <f>HYPERLINK("http://legacy.baseballprospectus.com/p/101170",101170)</f>
        <v>101170</v>
      </c>
      <c r="B989" t="s">
        <v>298</v>
      </c>
      <c r="C989" t="s">
        <v>218</v>
      </c>
      <c r="D989" s="10">
        <v>34666</v>
      </c>
      <c r="E989" t="s">
        <v>33</v>
      </c>
      <c r="F989" t="s">
        <v>33</v>
      </c>
      <c r="G989">
        <v>73</v>
      </c>
      <c r="H989">
        <v>175</v>
      </c>
      <c r="I989">
        <v>2018</v>
      </c>
      <c r="J989" s="4" t="str">
        <f>HYPERLINK("http://legacy.baseballprospectus.com/fantasy/dc/index.php?tm=SDN","SDN")</f>
        <v>SDN</v>
      </c>
      <c r="K989" t="s">
        <v>100</v>
      </c>
      <c r="L989" t="s">
        <v>34</v>
      </c>
      <c r="M989">
        <v>23</v>
      </c>
      <c r="N989">
        <v>1.5</v>
      </c>
      <c r="O989">
        <v>3</v>
      </c>
      <c r="P989">
        <v>1</v>
      </c>
      <c r="Q989">
        <v>0</v>
      </c>
      <c r="R989">
        <v>0</v>
      </c>
      <c r="S989">
        <v>0</v>
      </c>
      <c r="T989">
        <v>16</v>
      </c>
      <c r="U989">
        <v>5</v>
      </c>
      <c r="V989" s="9">
        <v>38</v>
      </c>
      <c r="W989">
        <v>172</v>
      </c>
      <c r="X989">
        <v>42</v>
      </c>
      <c r="Y989">
        <v>10</v>
      </c>
      <c r="Z989">
        <v>17</v>
      </c>
      <c r="AA989">
        <v>0</v>
      </c>
      <c r="AB989">
        <v>2</v>
      </c>
      <c r="AC989">
        <v>36</v>
      </c>
      <c r="AD989">
        <v>4.0999999999999996</v>
      </c>
      <c r="AE989">
        <v>8.5</v>
      </c>
      <c r="AF989" s="5">
        <v>0.41699999999999998</v>
      </c>
      <c r="AG989">
        <v>0.29699999999999999</v>
      </c>
      <c r="AH989">
        <v>1.57</v>
      </c>
      <c r="AI989">
        <v>6.38</v>
      </c>
      <c r="AJ989">
        <v>6.89</v>
      </c>
      <c r="AK989">
        <v>-6.7</v>
      </c>
      <c r="AL989">
        <v>-0.7</v>
      </c>
      <c r="AM989">
        <v>7</v>
      </c>
      <c r="AN989">
        <v>9</v>
      </c>
      <c r="AO989">
        <v>1</v>
      </c>
      <c r="AP989">
        <v>5</v>
      </c>
      <c r="AQ989" t="s">
        <v>3382</v>
      </c>
      <c r="AR989">
        <v>13</v>
      </c>
      <c r="AS989" t="s">
        <v>35</v>
      </c>
      <c r="AT989" t="s">
        <v>35</v>
      </c>
      <c r="AU989" s="4">
        <f>HYPERLINK("http://mlb.mlb.com/team/player.jsp?player_id=622766",622766)</f>
        <v>622766</v>
      </c>
      <c r="AV989">
        <v>1091</v>
      </c>
      <c r="AW989">
        <v>91</v>
      </c>
      <c r="AX989">
        <v>41.7</v>
      </c>
    </row>
    <row r="990" spans="1:50" x14ac:dyDescent="0.3">
      <c r="A990" s="4">
        <f>HYPERLINK("http://legacy.baseballprospectus.com/p/101008",101008)</f>
        <v>101008</v>
      </c>
      <c r="B990" t="s">
        <v>303</v>
      </c>
      <c r="C990" t="s">
        <v>3387</v>
      </c>
      <c r="D990" s="10">
        <v>34663</v>
      </c>
      <c r="E990" t="s">
        <v>33</v>
      </c>
      <c r="F990" t="s">
        <v>33</v>
      </c>
      <c r="G990">
        <v>73</v>
      </c>
      <c r="H990">
        <v>185</v>
      </c>
      <c r="I990">
        <v>2018</v>
      </c>
      <c r="J990" s="4" t="str">
        <f>HYPERLINK("http://legacy.baseballprospectus.com/fantasy/dc/index.php?tm=PHI","PHI")</f>
        <v>PHI</v>
      </c>
      <c r="K990" t="s">
        <v>100</v>
      </c>
      <c r="L990" t="s">
        <v>34</v>
      </c>
      <c r="M990">
        <v>23</v>
      </c>
      <c r="N990">
        <v>2.9</v>
      </c>
      <c r="O990">
        <v>3.8</v>
      </c>
      <c r="P990">
        <v>3.2</v>
      </c>
      <c r="Q990">
        <v>0</v>
      </c>
      <c r="R990">
        <v>0.4</v>
      </c>
      <c r="S990">
        <v>0</v>
      </c>
      <c r="T990">
        <v>20</v>
      </c>
      <c r="U990">
        <v>9.6</v>
      </c>
      <c r="V990" s="9">
        <v>56</v>
      </c>
      <c r="W990">
        <v>243</v>
      </c>
      <c r="X990">
        <v>57</v>
      </c>
      <c r="Y990">
        <v>14</v>
      </c>
      <c r="Z990">
        <v>29</v>
      </c>
      <c r="AA990" t="s">
        <v>1680</v>
      </c>
      <c r="AB990">
        <v>2</v>
      </c>
      <c r="AC990">
        <v>63</v>
      </c>
      <c r="AD990">
        <v>4.5999999999999996</v>
      </c>
      <c r="AE990">
        <v>10.199999999999999</v>
      </c>
      <c r="AF990" s="5">
        <v>0.44511523842811501</v>
      </c>
      <c r="AG990">
        <v>0.318</v>
      </c>
      <c r="AH990">
        <v>1.53</v>
      </c>
      <c r="AI990">
        <v>5.79</v>
      </c>
      <c r="AJ990">
        <v>6.48</v>
      </c>
      <c r="AK990">
        <v>-6.2</v>
      </c>
      <c r="AL990">
        <v>-0.7</v>
      </c>
      <c r="AM990">
        <v>10</v>
      </c>
      <c r="AN990">
        <v>11</v>
      </c>
      <c r="AO990">
        <v>2</v>
      </c>
      <c r="AP990">
        <v>10</v>
      </c>
      <c r="AQ990" t="s">
        <v>3388</v>
      </c>
      <c r="AR990">
        <v>16</v>
      </c>
      <c r="AS990" t="s">
        <v>36</v>
      </c>
      <c r="AT990" t="s">
        <v>35</v>
      </c>
      <c r="AU990" s="4">
        <f>HYPERLINK("http://mlb.mlb.com/team/player.jsp?player_id=622554",622554)</f>
        <v>622554</v>
      </c>
      <c r="AV990">
        <v>1192</v>
      </c>
      <c r="AW990">
        <v>192</v>
      </c>
      <c r="AX990">
        <v>0</v>
      </c>
    </row>
    <row r="991" spans="1:50" x14ac:dyDescent="0.3">
      <c r="A991" s="4">
        <f>HYPERLINK("http://legacy.baseballprospectus.com/p/102921",102921)</f>
        <v>102921</v>
      </c>
      <c r="B991" t="s">
        <v>642</v>
      </c>
      <c r="C991" t="s">
        <v>841</v>
      </c>
      <c r="D991" s="10">
        <v>34741</v>
      </c>
      <c r="E991" t="s">
        <v>9</v>
      </c>
      <c r="F991" t="s">
        <v>9</v>
      </c>
      <c r="G991">
        <v>73</v>
      </c>
      <c r="H991">
        <v>180</v>
      </c>
      <c r="I991">
        <v>2018</v>
      </c>
      <c r="J991" s="4" t="str">
        <f>HYPERLINK("http://legacy.baseballprospectus.com/fantasy/dc/index.php?tm=DET","DET")</f>
        <v>DET</v>
      </c>
      <c r="K991" t="s">
        <v>95</v>
      </c>
      <c r="L991" t="s">
        <v>34</v>
      </c>
      <c r="M991">
        <v>23</v>
      </c>
      <c r="N991">
        <v>4.4000000000000004</v>
      </c>
      <c r="O991">
        <v>6.8</v>
      </c>
      <c r="P991">
        <v>4.5999999999999996</v>
      </c>
      <c r="Q991">
        <v>0</v>
      </c>
      <c r="R991">
        <v>0.3</v>
      </c>
      <c r="S991">
        <v>0</v>
      </c>
      <c r="T991">
        <v>25.8</v>
      </c>
      <c r="U991">
        <v>16.7</v>
      </c>
      <c r="V991" s="9">
        <v>88</v>
      </c>
      <c r="W991">
        <v>415</v>
      </c>
      <c r="X991">
        <v>103</v>
      </c>
      <c r="Y991">
        <v>20</v>
      </c>
      <c r="Z991">
        <v>52</v>
      </c>
      <c r="AA991" t="s">
        <v>1680</v>
      </c>
      <c r="AB991">
        <v>3</v>
      </c>
      <c r="AC991">
        <v>89</v>
      </c>
      <c r="AD991">
        <v>5.4</v>
      </c>
      <c r="AE991">
        <v>9.1</v>
      </c>
      <c r="AF991" s="5">
        <v>0.43334800004959101</v>
      </c>
      <c r="AG991">
        <v>0.33100000000000002</v>
      </c>
      <c r="AH991">
        <v>1.77</v>
      </c>
      <c r="AI991">
        <v>6.2</v>
      </c>
      <c r="AJ991">
        <v>6.28</v>
      </c>
      <c r="AK991">
        <v>-6.8</v>
      </c>
      <c r="AL991">
        <v>-0.7</v>
      </c>
      <c r="AM991">
        <v>8</v>
      </c>
      <c r="AN991">
        <v>11</v>
      </c>
      <c r="AO991">
        <v>2</v>
      </c>
      <c r="AP991">
        <v>8</v>
      </c>
      <c r="AQ991" t="s">
        <v>3473</v>
      </c>
      <c r="AR991">
        <v>14</v>
      </c>
      <c r="AS991" t="s">
        <v>36</v>
      </c>
      <c r="AT991" t="s">
        <v>35</v>
      </c>
      <c r="AU991" s="4">
        <f>HYPERLINK("http://mlb.mlb.com/team/player.jsp?player_id=642397",642397)</f>
        <v>642397</v>
      </c>
      <c r="AV991">
        <v>0</v>
      </c>
      <c r="AW991">
        <v>0</v>
      </c>
      <c r="AX991">
        <v>0</v>
      </c>
    </row>
    <row r="992" spans="1:50" x14ac:dyDescent="0.3">
      <c r="A992" s="4">
        <f>HYPERLINK("http://legacy.baseballprospectus.com/p/103870",103870)</f>
        <v>103870</v>
      </c>
      <c r="B992" t="s">
        <v>157</v>
      </c>
      <c r="C992" t="s">
        <v>2144</v>
      </c>
      <c r="D992" s="10">
        <v>34850</v>
      </c>
      <c r="E992" t="s">
        <v>33</v>
      </c>
      <c r="F992" t="s">
        <v>33</v>
      </c>
      <c r="G992">
        <v>74</v>
      </c>
      <c r="H992">
        <v>170</v>
      </c>
      <c r="I992">
        <v>2018</v>
      </c>
      <c r="J992" s="4" t="str">
        <f>HYPERLINK("http://legacy.baseballprospectus.com/fantasy/dc/index.php?tm=NYN","NYN")</f>
        <v>NYN</v>
      </c>
      <c r="K992" t="s">
        <v>100</v>
      </c>
      <c r="L992" t="s">
        <v>34</v>
      </c>
      <c r="M992">
        <v>23</v>
      </c>
      <c r="N992">
        <v>2.2999999999999998</v>
      </c>
      <c r="O992">
        <v>2.4</v>
      </c>
      <c r="P992">
        <v>1.8</v>
      </c>
      <c r="Q992">
        <v>0</v>
      </c>
      <c r="R992">
        <v>0.8</v>
      </c>
      <c r="S992">
        <v>0</v>
      </c>
      <c r="T992">
        <v>28.3</v>
      </c>
      <c r="U992">
        <v>5.3</v>
      </c>
      <c r="V992" s="9">
        <v>49</v>
      </c>
      <c r="W992">
        <v>217</v>
      </c>
      <c r="X992">
        <v>52</v>
      </c>
      <c r="Y992">
        <v>11</v>
      </c>
      <c r="Z992">
        <v>26</v>
      </c>
      <c r="AA992" t="s">
        <v>1680</v>
      </c>
      <c r="AB992">
        <v>2</v>
      </c>
      <c r="AC992">
        <v>52</v>
      </c>
      <c r="AD992">
        <v>4.7</v>
      </c>
      <c r="AE992">
        <v>9.6</v>
      </c>
      <c r="AF992" s="5">
        <v>0.43654227256774902</v>
      </c>
      <c r="AG992">
        <v>0.32900000000000001</v>
      </c>
      <c r="AH992">
        <v>1.6</v>
      </c>
      <c r="AI992">
        <v>5.7</v>
      </c>
      <c r="AJ992">
        <v>6.35</v>
      </c>
      <c r="AK992">
        <v>-6.2</v>
      </c>
      <c r="AL992">
        <v>-0.7</v>
      </c>
      <c r="AM992">
        <v>3</v>
      </c>
      <c r="AN992">
        <v>3</v>
      </c>
      <c r="AO992">
        <v>1</v>
      </c>
      <c r="AP992">
        <v>1</v>
      </c>
      <c r="AQ992" t="s">
        <v>3415</v>
      </c>
      <c r="AR992">
        <v>4</v>
      </c>
      <c r="AS992" t="s">
        <v>36</v>
      </c>
      <c r="AT992" t="s">
        <v>35</v>
      </c>
      <c r="AU992" s="4">
        <f>HYPERLINK("http://mlb.mlb.com/team/player.jsp?player_id=639373",639373)</f>
        <v>639373</v>
      </c>
      <c r="AV992">
        <v>0</v>
      </c>
      <c r="AW992">
        <v>0</v>
      </c>
      <c r="AX992">
        <v>0</v>
      </c>
    </row>
    <row r="993" spans="1:50" x14ac:dyDescent="0.3">
      <c r="A993" s="4">
        <f>HYPERLINK("http://legacy.baseballprospectus.com/p/104178",104178)</f>
        <v>104178</v>
      </c>
      <c r="B993" t="s">
        <v>2143</v>
      </c>
      <c r="C993" t="s">
        <v>3395</v>
      </c>
      <c r="D993" s="10">
        <v>35443</v>
      </c>
      <c r="E993" t="s">
        <v>33</v>
      </c>
      <c r="F993" t="s">
        <v>33</v>
      </c>
      <c r="G993">
        <v>75</v>
      </c>
      <c r="H993">
        <v>200</v>
      </c>
      <c r="I993">
        <v>2018</v>
      </c>
      <c r="J993" s="4" t="str">
        <f>HYPERLINK("http://legacy.baseballprospectus.com/fantasy/dc/index.php?tm=CHN","CHN")</f>
        <v>CHN</v>
      </c>
      <c r="K993" t="s">
        <v>100</v>
      </c>
      <c r="L993" t="s">
        <v>34</v>
      </c>
      <c r="M993">
        <v>21</v>
      </c>
      <c r="N993">
        <v>2.9</v>
      </c>
      <c r="O993">
        <v>3.5</v>
      </c>
      <c r="P993">
        <v>3</v>
      </c>
      <c r="Q993">
        <v>0</v>
      </c>
      <c r="R993">
        <v>0.2</v>
      </c>
      <c r="S993">
        <v>0</v>
      </c>
      <c r="T993">
        <v>16</v>
      </c>
      <c r="U993">
        <v>9.8000000000000007</v>
      </c>
      <c r="V993" s="9">
        <v>51</v>
      </c>
      <c r="W993">
        <v>225</v>
      </c>
      <c r="X993">
        <v>55</v>
      </c>
      <c r="Y993">
        <v>11</v>
      </c>
      <c r="Z993">
        <v>27</v>
      </c>
      <c r="AA993" t="s">
        <v>1680</v>
      </c>
      <c r="AB993">
        <v>2</v>
      </c>
      <c r="AC993">
        <v>45</v>
      </c>
      <c r="AD993">
        <v>4.7</v>
      </c>
      <c r="AE993">
        <v>7.9</v>
      </c>
      <c r="AF993" s="5">
        <v>0.51637983322143499</v>
      </c>
      <c r="AG993">
        <v>0.313</v>
      </c>
      <c r="AH993">
        <v>1.61</v>
      </c>
      <c r="AI993">
        <v>5.95</v>
      </c>
      <c r="AJ993">
        <v>6.57</v>
      </c>
      <c r="AK993">
        <v>-6.1</v>
      </c>
      <c r="AL993">
        <v>-0.7</v>
      </c>
      <c r="AM993">
        <v>1</v>
      </c>
      <c r="AN993">
        <v>1</v>
      </c>
      <c r="AO993">
        <v>0</v>
      </c>
      <c r="AP993">
        <v>2</v>
      </c>
      <c r="AQ993" t="s">
        <v>3396</v>
      </c>
      <c r="AR993">
        <v>2</v>
      </c>
      <c r="AS993" t="s">
        <v>36</v>
      </c>
      <c r="AT993" t="s">
        <v>35</v>
      </c>
      <c r="AU993" s="4">
        <f>HYPERLINK("http://mlb.mlb.com/team/player.jsp?player_id=650400",650400)</f>
        <v>650400</v>
      </c>
      <c r="AV993">
        <v>0</v>
      </c>
      <c r="AW993">
        <v>0</v>
      </c>
      <c r="AX993">
        <v>0</v>
      </c>
    </row>
    <row r="994" spans="1:50" x14ac:dyDescent="0.3">
      <c r="A994" s="4">
        <f>HYPERLINK("http://legacy.baseballprospectus.com/p/104219",104219)</f>
        <v>104219</v>
      </c>
      <c r="B994" t="s">
        <v>3348</v>
      </c>
      <c r="C994" t="s">
        <v>3349</v>
      </c>
      <c r="D994" s="10">
        <v>35359</v>
      </c>
      <c r="E994" t="s">
        <v>9</v>
      </c>
      <c r="F994" t="s">
        <v>9</v>
      </c>
      <c r="G994">
        <v>73</v>
      </c>
      <c r="H994">
        <v>175</v>
      </c>
      <c r="I994">
        <v>2018</v>
      </c>
      <c r="J994" s="4" t="str">
        <f>HYPERLINK("http://legacy.baseballprospectus.com/fantasy/dc/index.php?tm=COL","COL")</f>
        <v>COL</v>
      </c>
      <c r="K994" t="s">
        <v>100</v>
      </c>
      <c r="L994" t="s">
        <v>34</v>
      </c>
      <c r="M994">
        <v>21</v>
      </c>
      <c r="N994">
        <v>2.6</v>
      </c>
      <c r="O994">
        <v>3.9</v>
      </c>
      <c r="P994">
        <v>2.7</v>
      </c>
      <c r="Q994">
        <v>0</v>
      </c>
      <c r="R994">
        <v>0</v>
      </c>
      <c r="S994">
        <v>0</v>
      </c>
      <c r="T994">
        <v>10</v>
      </c>
      <c r="U994">
        <v>10</v>
      </c>
      <c r="V994" s="9">
        <v>48</v>
      </c>
      <c r="W994">
        <v>217</v>
      </c>
      <c r="X994">
        <v>58</v>
      </c>
      <c r="Y994">
        <v>13</v>
      </c>
      <c r="Z994">
        <v>23</v>
      </c>
      <c r="AA994" t="s">
        <v>1680</v>
      </c>
      <c r="AB994">
        <v>2</v>
      </c>
      <c r="AC994">
        <v>45</v>
      </c>
      <c r="AD994">
        <v>4.3</v>
      </c>
      <c r="AE994">
        <v>8.4</v>
      </c>
      <c r="AF994" s="5">
        <v>0.42483571171760498</v>
      </c>
      <c r="AG994">
        <v>0.33900000000000002</v>
      </c>
      <c r="AH994">
        <v>1.69</v>
      </c>
      <c r="AI994">
        <v>6.27</v>
      </c>
      <c r="AJ994">
        <v>6.93</v>
      </c>
      <c r="AK994">
        <v>-6.5</v>
      </c>
      <c r="AL994">
        <v>-0.7</v>
      </c>
      <c r="AM994">
        <v>1</v>
      </c>
      <c r="AN994">
        <v>1</v>
      </c>
      <c r="AO994">
        <v>0</v>
      </c>
      <c r="AP994">
        <v>1</v>
      </c>
      <c r="AQ994" t="s">
        <v>3350</v>
      </c>
      <c r="AR994">
        <v>2</v>
      </c>
      <c r="AS994" t="s">
        <v>36</v>
      </c>
      <c r="AT994" t="s">
        <v>35</v>
      </c>
      <c r="AU994" s="4">
        <f>HYPERLINK("http://mlb.mlb.com/team/player.jsp?player_id=650504",650504)</f>
        <v>650504</v>
      </c>
      <c r="AV994">
        <v>0</v>
      </c>
      <c r="AW994">
        <v>0</v>
      </c>
      <c r="AX994">
        <v>0</v>
      </c>
    </row>
    <row r="995" spans="1:50" x14ac:dyDescent="0.3">
      <c r="A995" s="4">
        <f>HYPERLINK("http://legacy.baseballprospectus.com/p/104410",104410)</f>
        <v>104410</v>
      </c>
      <c r="B995" t="s">
        <v>359</v>
      </c>
      <c r="C995" t="s">
        <v>1604</v>
      </c>
      <c r="D995" s="10">
        <v>33883</v>
      </c>
      <c r="E995" t="s">
        <v>33</v>
      </c>
      <c r="F995" t="s">
        <v>33</v>
      </c>
      <c r="G995">
        <v>74</v>
      </c>
      <c r="H995">
        <v>203</v>
      </c>
      <c r="I995">
        <v>2018</v>
      </c>
      <c r="J995" s="4" t="str">
        <f>HYPERLINK("http://legacy.baseballprospectus.com/fantasy/dc/index.php?tm=PIT","PIT")</f>
        <v>PIT</v>
      </c>
      <c r="K995" t="s">
        <v>100</v>
      </c>
      <c r="L995" t="s">
        <v>34</v>
      </c>
      <c r="M995">
        <v>25</v>
      </c>
      <c r="N995">
        <v>4.0999999999999996</v>
      </c>
      <c r="O995">
        <v>5.0999999999999996</v>
      </c>
      <c r="P995">
        <v>4.8</v>
      </c>
      <c r="Q995">
        <v>0</v>
      </c>
      <c r="R995">
        <v>0.4</v>
      </c>
      <c r="S995">
        <v>0</v>
      </c>
      <c r="T995">
        <v>25.3</v>
      </c>
      <c r="U995">
        <v>13.6</v>
      </c>
      <c r="V995" s="9">
        <v>75.666700000000006</v>
      </c>
      <c r="W995">
        <v>332</v>
      </c>
      <c r="X995">
        <v>82</v>
      </c>
      <c r="Y995">
        <v>15</v>
      </c>
      <c r="Z995">
        <v>34</v>
      </c>
      <c r="AA995" t="s">
        <v>1680</v>
      </c>
      <c r="AB995">
        <v>5</v>
      </c>
      <c r="AC995">
        <v>69</v>
      </c>
      <c r="AD995">
        <v>4.0999999999999996</v>
      </c>
      <c r="AE995">
        <v>8.1999999999999993</v>
      </c>
      <c r="AF995" s="5">
        <v>0.42394632101058899</v>
      </c>
      <c r="AG995">
        <v>0.32</v>
      </c>
      <c r="AH995">
        <v>1.54</v>
      </c>
      <c r="AI995">
        <v>5.59</v>
      </c>
      <c r="AJ995">
        <v>6.26</v>
      </c>
      <c r="AK995">
        <v>-6.5</v>
      </c>
      <c r="AL995">
        <v>-0.7</v>
      </c>
      <c r="AM995">
        <v>10</v>
      </c>
      <c r="AN995">
        <v>15</v>
      </c>
      <c r="AO995">
        <v>3</v>
      </c>
      <c r="AP995">
        <v>15</v>
      </c>
      <c r="AQ995" t="s">
        <v>3446</v>
      </c>
      <c r="AR995">
        <v>20</v>
      </c>
      <c r="AS995" t="s">
        <v>36</v>
      </c>
      <c r="AT995" t="s">
        <v>35</v>
      </c>
      <c r="AU995" s="4">
        <f>HYPERLINK("http://mlb.mlb.com/team/player.jsp?player_id=650817",650817)</f>
        <v>650817</v>
      </c>
      <c r="AV995">
        <v>0</v>
      </c>
      <c r="AW995">
        <v>0</v>
      </c>
      <c r="AX995">
        <v>0</v>
      </c>
    </row>
    <row r="996" spans="1:50" x14ac:dyDescent="0.3">
      <c r="A996" s="4">
        <f>HYPERLINK("http://legacy.baseballprospectus.com/p/104985",104985)</f>
        <v>104985</v>
      </c>
      <c r="B996" t="s">
        <v>1524</v>
      </c>
      <c r="C996" t="s">
        <v>344</v>
      </c>
      <c r="D996" s="10">
        <v>34105</v>
      </c>
      <c r="E996" t="s">
        <v>33</v>
      </c>
      <c r="F996" t="s">
        <v>33</v>
      </c>
      <c r="G996">
        <v>75</v>
      </c>
      <c r="H996">
        <v>200</v>
      </c>
      <c r="I996">
        <v>2018</v>
      </c>
      <c r="J996" s="4" t="str">
        <f>HYPERLINK("http://legacy.baseballprospectus.com/fantasy/dc/index.php?tm=ANA","ANA")</f>
        <v>ANA</v>
      </c>
      <c r="K996" t="s">
        <v>95</v>
      </c>
      <c r="L996" t="s">
        <v>34</v>
      </c>
      <c r="M996">
        <v>25</v>
      </c>
      <c r="N996">
        <v>5.9</v>
      </c>
      <c r="O996">
        <v>8.6</v>
      </c>
      <c r="P996">
        <v>6.8</v>
      </c>
      <c r="Q996">
        <v>0</v>
      </c>
      <c r="R996">
        <v>0.5</v>
      </c>
      <c r="S996">
        <v>0</v>
      </c>
      <c r="T996">
        <v>36.4</v>
      </c>
      <c r="U996">
        <v>21</v>
      </c>
      <c r="V996" s="9">
        <v>118.33329999999999</v>
      </c>
      <c r="W996">
        <v>531</v>
      </c>
      <c r="X996">
        <v>137</v>
      </c>
      <c r="Y996">
        <v>26</v>
      </c>
      <c r="Z996">
        <v>44</v>
      </c>
      <c r="AA996" t="s">
        <v>1680</v>
      </c>
      <c r="AB996">
        <v>7</v>
      </c>
      <c r="AC996">
        <v>99</v>
      </c>
      <c r="AD996">
        <v>3.4</v>
      </c>
      <c r="AE996">
        <v>7.5</v>
      </c>
      <c r="AF996" s="5">
        <v>0.48688104748725802</v>
      </c>
      <c r="AG996">
        <v>0.313</v>
      </c>
      <c r="AH996">
        <v>1.53</v>
      </c>
      <c r="AI996">
        <v>5.78</v>
      </c>
      <c r="AJ996">
        <v>6.02</v>
      </c>
      <c r="AK996">
        <v>-6.2</v>
      </c>
      <c r="AL996">
        <v>-0.7</v>
      </c>
      <c r="AM996">
        <v>4</v>
      </c>
      <c r="AN996">
        <v>7</v>
      </c>
      <c r="AO996">
        <v>3</v>
      </c>
      <c r="AP996">
        <v>7</v>
      </c>
      <c r="AQ996" t="s">
        <v>2533</v>
      </c>
      <c r="AR996">
        <v>10</v>
      </c>
      <c r="AS996" t="s">
        <v>36</v>
      </c>
      <c r="AT996" t="s">
        <v>35</v>
      </c>
      <c r="AU996" s="4">
        <f>HYPERLINK("http://mlb.mlb.com/team/player.jsp?player_id=657228",657228)</f>
        <v>657228</v>
      </c>
      <c r="AV996">
        <v>0</v>
      </c>
      <c r="AW996">
        <v>0</v>
      </c>
      <c r="AX996">
        <v>0</v>
      </c>
    </row>
    <row r="997" spans="1:50" x14ac:dyDescent="0.3">
      <c r="A997" s="4">
        <f>HYPERLINK("http://legacy.baseballprospectus.com/p/106140",106140)</f>
        <v>106140</v>
      </c>
      <c r="B997" t="s">
        <v>3353</v>
      </c>
      <c r="C997" t="s">
        <v>552</v>
      </c>
      <c r="D997" s="10">
        <v>34221</v>
      </c>
      <c r="E997" t="s">
        <v>33</v>
      </c>
      <c r="F997" t="s">
        <v>33</v>
      </c>
      <c r="G997">
        <v>75</v>
      </c>
      <c r="H997">
        <v>170</v>
      </c>
      <c r="I997">
        <v>2018</v>
      </c>
      <c r="J997" s="4" t="str">
        <f>HYPERLINK("http://legacy.baseballprospectus.com/fantasy/dc/index.php?tm=CIN","CIN")</f>
        <v>CIN</v>
      </c>
      <c r="K997" t="s">
        <v>100</v>
      </c>
      <c r="L997" t="s">
        <v>34</v>
      </c>
      <c r="M997">
        <v>24</v>
      </c>
      <c r="N997">
        <v>2.2000000000000002</v>
      </c>
      <c r="O997">
        <v>0.6</v>
      </c>
      <c r="P997">
        <v>0</v>
      </c>
      <c r="Q997">
        <v>0</v>
      </c>
      <c r="R997">
        <v>1.7</v>
      </c>
      <c r="S997">
        <v>0</v>
      </c>
      <c r="T997">
        <v>47.7</v>
      </c>
      <c r="U997">
        <v>0</v>
      </c>
      <c r="V997" s="9">
        <v>50.666699999999999</v>
      </c>
      <c r="W997">
        <v>221</v>
      </c>
      <c r="X997">
        <v>52</v>
      </c>
      <c r="Y997">
        <v>12</v>
      </c>
      <c r="Z997">
        <v>26</v>
      </c>
      <c r="AA997" t="s">
        <v>1680</v>
      </c>
      <c r="AB997">
        <v>2</v>
      </c>
      <c r="AC997">
        <v>54</v>
      </c>
      <c r="AD997">
        <v>4.7</v>
      </c>
      <c r="AE997">
        <v>9.6999999999999993</v>
      </c>
      <c r="AF997" s="5">
        <v>0.37829098105430597</v>
      </c>
      <c r="AG997">
        <v>0.311</v>
      </c>
      <c r="AH997">
        <v>1.54</v>
      </c>
      <c r="AI997">
        <v>5.89</v>
      </c>
      <c r="AJ997">
        <v>6.39</v>
      </c>
      <c r="AK997">
        <v>-6.9</v>
      </c>
      <c r="AL997">
        <v>-0.7</v>
      </c>
      <c r="AM997">
        <v>11</v>
      </c>
      <c r="AN997">
        <v>13</v>
      </c>
      <c r="AO997">
        <v>9</v>
      </c>
      <c r="AP997">
        <v>16</v>
      </c>
      <c r="AQ997" t="s">
        <v>3354</v>
      </c>
      <c r="AR997">
        <v>24</v>
      </c>
      <c r="AS997" t="s">
        <v>36</v>
      </c>
      <c r="AT997" t="s">
        <v>35</v>
      </c>
      <c r="AU997" s="4">
        <f>HYPERLINK("http://mlb.mlb.com/team/player.jsp?player_id=623474",623474)</f>
        <v>623474</v>
      </c>
      <c r="AV997">
        <v>0</v>
      </c>
      <c r="AW997">
        <v>0</v>
      </c>
      <c r="AX997">
        <v>0</v>
      </c>
    </row>
    <row r="998" spans="1:50" x14ac:dyDescent="0.3">
      <c r="A998" s="4">
        <f>HYPERLINK("http://legacy.baseballprospectus.com/p/106871",106871)</f>
        <v>106871</v>
      </c>
      <c r="B998" t="s">
        <v>2089</v>
      </c>
      <c r="C998" t="s">
        <v>150</v>
      </c>
      <c r="D998" s="10">
        <v>34320</v>
      </c>
      <c r="E998" t="s">
        <v>33</v>
      </c>
      <c r="F998" t="s">
        <v>33</v>
      </c>
      <c r="G998">
        <v>75</v>
      </c>
      <c r="H998">
        <v>225</v>
      </c>
      <c r="I998">
        <v>2018</v>
      </c>
      <c r="J998" s="4" t="str">
        <f>HYPERLINK("http://legacy.baseballprospectus.com/fantasy/dc/index.php?tm=LAN","LAN")</f>
        <v>LAN</v>
      </c>
      <c r="K998" t="s">
        <v>100</v>
      </c>
      <c r="L998" t="s">
        <v>34</v>
      </c>
      <c r="M998">
        <v>24</v>
      </c>
      <c r="N998">
        <v>6.1</v>
      </c>
      <c r="O998">
        <v>6.3</v>
      </c>
      <c r="P998">
        <v>6.9</v>
      </c>
      <c r="Q998">
        <v>0</v>
      </c>
      <c r="R998">
        <v>0.5</v>
      </c>
      <c r="S998">
        <v>0</v>
      </c>
      <c r="T998">
        <v>31.1</v>
      </c>
      <c r="U998">
        <v>18</v>
      </c>
      <c r="V998" s="9">
        <v>103.33329999999999</v>
      </c>
      <c r="W998">
        <v>430</v>
      </c>
      <c r="X998">
        <v>98</v>
      </c>
      <c r="Y998">
        <v>23</v>
      </c>
      <c r="Z998">
        <v>40</v>
      </c>
      <c r="AA998" t="s">
        <v>1680</v>
      </c>
      <c r="AB998">
        <v>3</v>
      </c>
      <c r="AC998">
        <v>101</v>
      </c>
      <c r="AD998">
        <v>3.5</v>
      </c>
      <c r="AE998">
        <v>8.8000000000000007</v>
      </c>
      <c r="AF998" s="5">
        <v>0.43039715290069502</v>
      </c>
      <c r="AG998">
        <v>0.28599999999999998</v>
      </c>
      <c r="AH998">
        <v>1.34</v>
      </c>
      <c r="AI998">
        <v>5.29</v>
      </c>
      <c r="AJ998">
        <v>6.11</v>
      </c>
      <c r="AK998">
        <v>-6.3</v>
      </c>
      <c r="AL998">
        <v>-0.7</v>
      </c>
      <c r="AM998">
        <v>9</v>
      </c>
      <c r="AN998">
        <v>16</v>
      </c>
      <c r="AO998">
        <v>8</v>
      </c>
      <c r="AP998">
        <v>20</v>
      </c>
      <c r="AQ998" t="s">
        <v>2604</v>
      </c>
      <c r="AR998">
        <v>29</v>
      </c>
      <c r="AS998" t="s">
        <v>36</v>
      </c>
      <c r="AT998" t="s">
        <v>35</v>
      </c>
      <c r="AU998" s="4">
        <f>HYPERLINK("http://mlb.mlb.com/team/player.jsp?player_id=622250",622250)</f>
        <v>622250</v>
      </c>
      <c r="AV998">
        <v>0</v>
      </c>
      <c r="AW998">
        <v>0</v>
      </c>
      <c r="AX998">
        <v>0</v>
      </c>
    </row>
    <row r="999" spans="1:50" x14ac:dyDescent="0.3">
      <c r="A999" s="4">
        <f>HYPERLINK("http://legacy.baseballprospectus.com/p/107962",107962)</f>
        <v>107962</v>
      </c>
      <c r="B999" t="s">
        <v>423</v>
      </c>
      <c r="C999" t="s">
        <v>109</v>
      </c>
      <c r="D999" s="10">
        <v>35314</v>
      </c>
      <c r="E999" t="s">
        <v>33</v>
      </c>
      <c r="F999" t="s">
        <v>33</v>
      </c>
      <c r="G999">
        <v>74</v>
      </c>
      <c r="H999">
        <v>185</v>
      </c>
      <c r="I999">
        <v>2018</v>
      </c>
      <c r="J999" s="4" t="str">
        <f>HYPERLINK("http://legacy.baseballprospectus.com/fantasy/dc/index.php?tm=SLN","SLN")</f>
        <v>SLN</v>
      </c>
      <c r="K999" t="s">
        <v>100</v>
      </c>
      <c r="L999" t="s">
        <v>34</v>
      </c>
      <c r="M999">
        <v>21</v>
      </c>
      <c r="N999">
        <v>4.7</v>
      </c>
      <c r="O999">
        <v>5.9</v>
      </c>
      <c r="P999">
        <v>5.2</v>
      </c>
      <c r="Q999">
        <v>0</v>
      </c>
      <c r="R999">
        <v>0</v>
      </c>
      <c r="S999">
        <v>0</v>
      </c>
      <c r="T999">
        <v>15.7</v>
      </c>
      <c r="U999">
        <v>15.7</v>
      </c>
      <c r="V999" s="9">
        <v>81.333299999999994</v>
      </c>
      <c r="W999">
        <v>362</v>
      </c>
      <c r="X999">
        <v>89</v>
      </c>
      <c r="Y999">
        <v>16</v>
      </c>
      <c r="Z999">
        <v>42</v>
      </c>
      <c r="AA999" t="s">
        <v>1680</v>
      </c>
      <c r="AB999">
        <v>6</v>
      </c>
      <c r="AC999">
        <v>72</v>
      </c>
      <c r="AD999">
        <v>4.7</v>
      </c>
      <c r="AE999">
        <v>7.9</v>
      </c>
      <c r="AF999" s="5">
        <v>0.49480292201042098</v>
      </c>
      <c r="AG999">
        <v>0.32300000000000001</v>
      </c>
      <c r="AH999">
        <v>1.61</v>
      </c>
      <c r="AI999">
        <v>5.76</v>
      </c>
      <c r="AJ999">
        <v>6.44</v>
      </c>
      <c r="AK999">
        <v>-6.9</v>
      </c>
      <c r="AL999">
        <v>-0.7</v>
      </c>
      <c r="AM999">
        <v>9</v>
      </c>
      <c r="AN999">
        <v>9</v>
      </c>
      <c r="AO999">
        <v>1</v>
      </c>
      <c r="AP999">
        <v>6</v>
      </c>
      <c r="AQ999" t="s">
        <v>3453</v>
      </c>
      <c r="AR999">
        <v>11</v>
      </c>
      <c r="AS999" t="s">
        <v>36</v>
      </c>
      <c r="AT999" t="s">
        <v>35</v>
      </c>
      <c r="AU999" s="4">
        <f>HYPERLINK("http://mlb.mlb.com/team/player.jsp?player_id=663855",663855)</f>
        <v>663855</v>
      </c>
      <c r="AV999">
        <v>0</v>
      </c>
      <c r="AW999">
        <v>0</v>
      </c>
      <c r="AX999">
        <v>0</v>
      </c>
    </row>
    <row r="1000" spans="1:50" x14ac:dyDescent="0.3">
      <c r="A1000" s="4">
        <f>HYPERLINK("http://legacy.baseballprospectus.com/p/108176",108176)</f>
        <v>108176</v>
      </c>
      <c r="B1000" t="s">
        <v>3304</v>
      </c>
      <c r="C1000" t="s">
        <v>126</v>
      </c>
      <c r="D1000" s="10">
        <v>36283</v>
      </c>
      <c r="E1000" t="s">
        <v>33</v>
      </c>
      <c r="F1000" t="s">
        <v>33</v>
      </c>
      <c r="G1000">
        <v>75</v>
      </c>
      <c r="H1000">
        <v>160</v>
      </c>
      <c r="I1000">
        <v>2018</v>
      </c>
      <c r="J1000" s="4" t="str">
        <f>HYPERLINK("http://legacy.baseballprospectus.com/fantasy/dc/index.php?tm=BOS","BOS")</f>
        <v>BOS</v>
      </c>
      <c r="K1000" t="s">
        <v>95</v>
      </c>
      <c r="L1000" t="s">
        <v>34</v>
      </c>
      <c r="M1000">
        <v>19</v>
      </c>
      <c r="N1000">
        <v>2.9</v>
      </c>
      <c r="O1000">
        <v>5.2</v>
      </c>
      <c r="P1000">
        <v>3.5</v>
      </c>
      <c r="Q1000">
        <v>0</v>
      </c>
      <c r="R1000">
        <v>0</v>
      </c>
      <c r="S1000">
        <v>0</v>
      </c>
      <c r="T1000">
        <v>12.8</v>
      </c>
      <c r="U1000">
        <v>12.8</v>
      </c>
      <c r="V1000" s="9">
        <v>58</v>
      </c>
      <c r="W1000">
        <v>270</v>
      </c>
      <c r="X1000">
        <v>68</v>
      </c>
      <c r="Y1000">
        <v>14</v>
      </c>
      <c r="Z1000">
        <v>31</v>
      </c>
      <c r="AA1000" t="s">
        <v>1680</v>
      </c>
      <c r="AB1000">
        <v>2</v>
      </c>
      <c r="AC1000">
        <v>57</v>
      </c>
      <c r="AD1000">
        <v>4.8</v>
      </c>
      <c r="AE1000">
        <v>8.8000000000000007</v>
      </c>
      <c r="AF1000" s="5">
        <v>0.46734824776649397</v>
      </c>
      <c r="AG1000">
        <v>0.32500000000000001</v>
      </c>
      <c r="AH1000">
        <v>1.71</v>
      </c>
      <c r="AI1000">
        <v>6.23</v>
      </c>
      <c r="AJ1000">
        <v>6.79</v>
      </c>
      <c r="AK1000">
        <v>-6.6</v>
      </c>
      <c r="AL1000">
        <v>-0.7</v>
      </c>
      <c r="AM1000">
        <v>0</v>
      </c>
      <c r="AN1000">
        <v>0</v>
      </c>
      <c r="AO1000">
        <v>0</v>
      </c>
      <c r="AP1000">
        <v>0</v>
      </c>
      <c r="AQ1000" t="s">
        <v>3305</v>
      </c>
      <c r="AR1000">
        <v>0</v>
      </c>
      <c r="AS1000" t="s">
        <v>36</v>
      </c>
      <c r="AT1000" t="s">
        <v>35</v>
      </c>
      <c r="AU1000" s="4">
        <f>HYPERLINK("http://mlb.mlb.com/team/player.jsp?player_id=667356",667356)</f>
        <v>667356</v>
      </c>
      <c r="AV1000">
        <v>0</v>
      </c>
      <c r="AW1000">
        <v>0</v>
      </c>
      <c r="AX1000">
        <v>0</v>
      </c>
    </row>
    <row r="1001" spans="1:50" x14ac:dyDescent="0.3">
      <c r="A1001" s="4">
        <f>HYPERLINK("http://legacy.baseballprospectus.com/p/108756",108756)</f>
        <v>108756</v>
      </c>
      <c r="B1001" t="s">
        <v>2072</v>
      </c>
      <c r="C1001" t="s">
        <v>212</v>
      </c>
      <c r="D1001" s="10">
        <v>35709</v>
      </c>
      <c r="E1001" t="s">
        <v>9</v>
      </c>
      <c r="F1001" t="s">
        <v>9</v>
      </c>
      <c r="G1001">
        <v>77</v>
      </c>
      <c r="H1001">
        <v>210</v>
      </c>
      <c r="I1001">
        <v>2018</v>
      </c>
      <c r="J1001" s="4" t="str">
        <f>HYPERLINK("http://legacy.baseballprospectus.com/fantasy/dc/index.php?tm=ATL","ATL")</f>
        <v>ATL</v>
      </c>
      <c r="K1001" t="s">
        <v>100</v>
      </c>
      <c r="L1001" t="s">
        <v>34</v>
      </c>
      <c r="M1001">
        <v>20</v>
      </c>
      <c r="N1001">
        <v>4.9000000000000004</v>
      </c>
      <c r="O1001">
        <v>7.3</v>
      </c>
      <c r="P1001">
        <v>7</v>
      </c>
      <c r="Q1001">
        <v>0</v>
      </c>
      <c r="R1001">
        <v>0</v>
      </c>
      <c r="S1001">
        <v>0</v>
      </c>
      <c r="T1001">
        <v>19.7</v>
      </c>
      <c r="U1001">
        <v>19.7</v>
      </c>
      <c r="V1001" s="9">
        <v>92</v>
      </c>
      <c r="W1001">
        <v>402</v>
      </c>
      <c r="X1001">
        <v>92</v>
      </c>
      <c r="Y1001">
        <v>21</v>
      </c>
      <c r="Z1001">
        <v>50</v>
      </c>
      <c r="AA1001" t="s">
        <v>1680</v>
      </c>
      <c r="AB1001">
        <v>3</v>
      </c>
      <c r="AC1001">
        <v>109</v>
      </c>
      <c r="AD1001">
        <v>4.9000000000000004</v>
      </c>
      <c r="AE1001">
        <v>10.7</v>
      </c>
      <c r="AF1001" s="5">
        <v>0.34986782073974598</v>
      </c>
      <c r="AG1001">
        <v>0.32200000000000001</v>
      </c>
      <c r="AH1001">
        <v>1.54</v>
      </c>
      <c r="AI1001">
        <v>5.48</v>
      </c>
      <c r="AJ1001">
        <v>6.32</v>
      </c>
      <c r="AK1001">
        <v>-6.7</v>
      </c>
      <c r="AL1001">
        <v>-0.7</v>
      </c>
      <c r="AM1001">
        <v>6</v>
      </c>
      <c r="AN1001">
        <v>10</v>
      </c>
      <c r="AO1001">
        <v>1</v>
      </c>
      <c r="AP1001">
        <v>6</v>
      </c>
      <c r="AQ1001" t="s">
        <v>3403</v>
      </c>
      <c r="AR1001">
        <v>11</v>
      </c>
      <c r="AS1001" t="s">
        <v>36</v>
      </c>
      <c r="AT1001" t="s">
        <v>35</v>
      </c>
      <c r="AU1001" s="4">
        <f>HYPERLINK("http://mlb.mlb.com/team/player.jsp?player_id=666214",666214)</f>
        <v>666214</v>
      </c>
      <c r="AV1001">
        <v>1159</v>
      </c>
      <c r="AW1001">
        <v>159</v>
      </c>
      <c r="AX1001">
        <v>0</v>
      </c>
    </row>
    <row r="1002" spans="1:50" x14ac:dyDescent="0.3">
      <c r="A1002" s="4">
        <f>HYPERLINK("http://legacy.baseballprospectus.com/p/108971",108971)</f>
        <v>108971</v>
      </c>
      <c r="B1002" t="s">
        <v>869</v>
      </c>
      <c r="C1002" t="s">
        <v>97</v>
      </c>
      <c r="D1002" s="10">
        <v>35679</v>
      </c>
      <c r="E1002" t="s">
        <v>33</v>
      </c>
      <c r="F1002" t="s">
        <v>33</v>
      </c>
      <c r="G1002">
        <v>78</v>
      </c>
      <c r="H1002">
        <v>180</v>
      </c>
      <c r="I1002">
        <v>2018</v>
      </c>
      <c r="J1002" s="4" t="str">
        <f>HYPERLINK("http://legacy.baseballprospectus.com/fantasy/dc/index.php?tm=LAN","LAN")</f>
        <v>LAN</v>
      </c>
      <c r="K1002" t="s">
        <v>100</v>
      </c>
      <c r="L1002" t="s">
        <v>34</v>
      </c>
      <c r="M1002">
        <v>20</v>
      </c>
      <c r="N1002">
        <v>5.9</v>
      </c>
      <c r="O1002">
        <v>6.3</v>
      </c>
      <c r="P1002">
        <v>7</v>
      </c>
      <c r="Q1002">
        <v>0</v>
      </c>
      <c r="R1002">
        <v>0.4</v>
      </c>
      <c r="S1002">
        <v>0</v>
      </c>
      <c r="T1002">
        <v>28.6</v>
      </c>
      <c r="U1002">
        <v>18.2</v>
      </c>
      <c r="V1002" s="9">
        <v>100.33329999999999</v>
      </c>
      <c r="W1002">
        <v>422</v>
      </c>
      <c r="X1002">
        <v>102</v>
      </c>
      <c r="Y1002">
        <v>23</v>
      </c>
      <c r="Z1002">
        <v>36</v>
      </c>
      <c r="AA1002" t="s">
        <v>1680</v>
      </c>
      <c r="AB1002">
        <v>4</v>
      </c>
      <c r="AC1002">
        <v>102</v>
      </c>
      <c r="AD1002">
        <v>3.2</v>
      </c>
      <c r="AE1002">
        <v>9.1999999999999993</v>
      </c>
      <c r="AF1002" s="5">
        <v>0.48074150085449202</v>
      </c>
      <c r="AG1002">
        <v>0.30599999999999999</v>
      </c>
      <c r="AH1002">
        <v>1.37</v>
      </c>
      <c r="AI1002">
        <v>5.29</v>
      </c>
      <c r="AJ1002">
        <v>6.11</v>
      </c>
      <c r="AK1002">
        <v>-6.7</v>
      </c>
      <c r="AL1002">
        <v>-0.7</v>
      </c>
      <c r="AM1002">
        <v>4</v>
      </c>
      <c r="AN1002">
        <v>5</v>
      </c>
      <c r="AO1002">
        <v>1</v>
      </c>
      <c r="AP1002">
        <v>3</v>
      </c>
      <c r="AQ1002" t="s">
        <v>2823</v>
      </c>
      <c r="AR1002">
        <v>7</v>
      </c>
      <c r="AS1002" t="s">
        <v>36</v>
      </c>
      <c r="AT1002" t="s">
        <v>35</v>
      </c>
      <c r="AU1002" s="4">
        <f>HYPERLINK("http://mlb.mlb.com/team/player.jsp?player_id=669160",669160)</f>
        <v>669160</v>
      </c>
      <c r="AV1002">
        <v>0</v>
      </c>
      <c r="AW1002">
        <v>0</v>
      </c>
      <c r="AX1002">
        <v>0</v>
      </c>
    </row>
    <row r="1003" spans="1:50" x14ac:dyDescent="0.3">
      <c r="A1003" s="4">
        <f>HYPERLINK("http://legacy.baseballprospectus.com/p/109128",109128)</f>
        <v>109128</v>
      </c>
      <c r="B1003" t="s">
        <v>451</v>
      </c>
      <c r="C1003" t="s">
        <v>3365</v>
      </c>
      <c r="D1003" s="10">
        <v>35647</v>
      </c>
      <c r="E1003" t="s">
        <v>9</v>
      </c>
      <c r="F1003" t="s">
        <v>9</v>
      </c>
      <c r="G1003">
        <v>75</v>
      </c>
      <c r="H1003">
        <v>190</v>
      </c>
      <c r="I1003">
        <v>2018</v>
      </c>
      <c r="J1003" s="4" t="str">
        <f>HYPERLINK("http://legacy.baseballprospectus.com/fantasy/dc/index.php?tm=MIA","MIA")</f>
        <v>MIA</v>
      </c>
      <c r="K1003" t="s">
        <v>100</v>
      </c>
      <c r="L1003" t="s">
        <v>34</v>
      </c>
      <c r="M1003">
        <v>20</v>
      </c>
      <c r="N1003">
        <v>1.6</v>
      </c>
      <c r="O1003">
        <v>3.3</v>
      </c>
      <c r="P1003">
        <v>1.7</v>
      </c>
      <c r="Q1003">
        <v>0</v>
      </c>
      <c r="R1003">
        <v>0</v>
      </c>
      <c r="S1003">
        <v>0</v>
      </c>
      <c r="T1003">
        <v>7.6</v>
      </c>
      <c r="U1003">
        <v>7.6</v>
      </c>
      <c r="V1003" s="9">
        <v>34.333300000000001</v>
      </c>
      <c r="W1003">
        <v>150</v>
      </c>
      <c r="X1003">
        <v>38</v>
      </c>
      <c r="Y1003">
        <v>11</v>
      </c>
      <c r="Z1003">
        <v>16</v>
      </c>
      <c r="AA1003" t="s">
        <v>1680</v>
      </c>
      <c r="AB1003">
        <v>0</v>
      </c>
      <c r="AC1003">
        <v>37</v>
      </c>
      <c r="AD1003">
        <v>4.3</v>
      </c>
      <c r="AE1003">
        <v>9.6999999999999993</v>
      </c>
      <c r="AF1003" s="5">
        <v>0.42536452412605202</v>
      </c>
      <c r="AG1003">
        <v>0.31900000000000001</v>
      </c>
      <c r="AH1003">
        <v>1.6</v>
      </c>
      <c r="AI1003">
        <v>6.64</v>
      </c>
      <c r="AJ1003">
        <v>7.5</v>
      </c>
      <c r="AK1003">
        <v>-6.7</v>
      </c>
      <c r="AL1003">
        <v>-0.7</v>
      </c>
      <c r="AM1003">
        <v>4</v>
      </c>
      <c r="AN1003">
        <v>4</v>
      </c>
      <c r="AO1003">
        <v>0</v>
      </c>
      <c r="AP1003">
        <v>1</v>
      </c>
      <c r="AQ1003" t="s">
        <v>3366</v>
      </c>
      <c r="AR1003">
        <v>5</v>
      </c>
      <c r="AS1003" t="s">
        <v>36</v>
      </c>
      <c r="AT1003" t="s">
        <v>35</v>
      </c>
      <c r="AU1003" s="4">
        <f>HYPERLINK("http://mlb.mlb.com/team/player.jsp?player_id=666129",666129)</f>
        <v>666129</v>
      </c>
      <c r="AV1003">
        <v>1225</v>
      </c>
      <c r="AW1003">
        <v>225</v>
      </c>
      <c r="AX1003">
        <v>0</v>
      </c>
    </row>
    <row r="1004" spans="1:50" x14ac:dyDescent="0.3">
      <c r="A1004" s="4">
        <f>HYPERLINK("http://legacy.baseballprospectus.com/p/109974",109974)</f>
        <v>109974</v>
      </c>
      <c r="B1004" t="s">
        <v>3234</v>
      </c>
      <c r="C1004" t="s">
        <v>3235</v>
      </c>
      <c r="D1004" s="10">
        <v>35944</v>
      </c>
      <c r="E1004" t="s">
        <v>33</v>
      </c>
      <c r="F1004" t="s">
        <v>33</v>
      </c>
      <c r="G1004">
        <v>77</v>
      </c>
      <c r="H1004">
        <v>180</v>
      </c>
      <c r="I1004">
        <v>2018</v>
      </c>
      <c r="J1004" s="4" t="str">
        <f>HYPERLINK("http://legacy.baseballprospectus.com/fantasy/dc/index.php?tm=BAL","BAL")</f>
        <v>BAL</v>
      </c>
      <c r="K1004" t="s">
        <v>95</v>
      </c>
      <c r="L1004" t="s">
        <v>34</v>
      </c>
      <c r="M1004">
        <v>20</v>
      </c>
      <c r="N1004">
        <v>1.9</v>
      </c>
      <c r="O1004">
        <v>3.7</v>
      </c>
      <c r="P1004">
        <v>1.4</v>
      </c>
      <c r="Q1004">
        <v>0</v>
      </c>
      <c r="R1004">
        <v>0</v>
      </c>
      <c r="S1004">
        <v>0</v>
      </c>
      <c r="T1004">
        <v>7.7</v>
      </c>
      <c r="U1004">
        <v>7.7</v>
      </c>
      <c r="V1004" s="9">
        <v>42.666699999999999</v>
      </c>
      <c r="W1004">
        <v>198</v>
      </c>
      <c r="X1004">
        <v>55</v>
      </c>
      <c r="Y1004">
        <v>13</v>
      </c>
      <c r="Z1004">
        <v>17</v>
      </c>
      <c r="AA1004" t="s">
        <v>1680</v>
      </c>
      <c r="AB1004">
        <v>1</v>
      </c>
      <c r="AC1004">
        <v>31</v>
      </c>
      <c r="AD1004">
        <v>3.7</v>
      </c>
      <c r="AE1004">
        <v>6.5</v>
      </c>
      <c r="AF1004" s="5">
        <v>0.47286245226860002</v>
      </c>
      <c r="AG1004">
        <v>0.313</v>
      </c>
      <c r="AH1004">
        <v>1.7</v>
      </c>
      <c r="AI1004">
        <v>7.12</v>
      </c>
      <c r="AJ1004">
        <v>7.27</v>
      </c>
      <c r="AK1004">
        <v>-6.9</v>
      </c>
      <c r="AL1004">
        <v>-0.7</v>
      </c>
      <c r="AM1004">
        <v>0</v>
      </c>
      <c r="AN1004">
        <v>0</v>
      </c>
      <c r="AO1004">
        <v>0</v>
      </c>
      <c r="AP1004">
        <v>0</v>
      </c>
      <c r="AQ1004" t="s">
        <v>3236</v>
      </c>
      <c r="AR1004">
        <v>0</v>
      </c>
      <c r="AS1004" t="s">
        <v>36</v>
      </c>
      <c r="AT1004" t="s">
        <v>35</v>
      </c>
      <c r="AU1004" s="4">
        <f>HYPERLINK("http://mlb.mlb.com/team/player.jsp?player_id=669724",669724)</f>
        <v>669724</v>
      </c>
      <c r="AV1004">
        <v>0</v>
      </c>
      <c r="AW1004">
        <v>0</v>
      </c>
      <c r="AX1004">
        <v>0</v>
      </c>
    </row>
    <row r="1005" spans="1:50" x14ac:dyDescent="0.3">
      <c r="A1005" s="4">
        <f>HYPERLINK("http://legacy.baseballprospectus.com/p/110928",110928)</f>
        <v>110928</v>
      </c>
      <c r="B1005" t="s">
        <v>3423</v>
      </c>
      <c r="C1005" t="s">
        <v>440</v>
      </c>
      <c r="D1005" s="10">
        <v>35219</v>
      </c>
      <c r="E1005" t="s">
        <v>33</v>
      </c>
      <c r="F1005" t="s">
        <v>33</v>
      </c>
      <c r="G1005">
        <v>77</v>
      </c>
      <c r="H1005">
        <v>170</v>
      </c>
      <c r="I1005">
        <v>2018</v>
      </c>
      <c r="J1005" s="4" t="str">
        <f>HYPERLINK("http://legacy.baseballprospectus.com/fantasy/dc/index.php?tm=WAS","WAS")</f>
        <v>WAS</v>
      </c>
      <c r="K1005" t="s">
        <v>100</v>
      </c>
      <c r="L1005" t="s">
        <v>34</v>
      </c>
      <c r="M1005">
        <v>22</v>
      </c>
      <c r="N1005">
        <v>1.7</v>
      </c>
      <c r="O1005">
        <v>1.9</v>
      </c>
      <c r="P1005">
        <v>1.3</v>
      </c>
      <c r="Q1005">
        <v>0</v>
      </c>
      <c r="R1005">
        <v>0.4</v>
      </c>
      <c r="S1005">
        <v>0</v>
      </c>
      <c r="T1005">
        <v>16.600000000000001</v>
      </c>
      <c r="U1005">
        <v>4.7</v>
      </c>
      <c r="V1005" s="9">
        <v>34</v>
      </c>
      <c r="W1005">
        <v>150</v>
      </c>
      <c r="X1005">
        <v>38</v>
      </c>
      <c r="Y1005">
        <v>9</v>
      </c>
      <c r="Z1005">
        <v>17</v>
      </c>
      <c r="AA1005" t="s">
        <v>1680</v>
      </c>
      <c r="AB1005">
        <v>0</v>
      </c>
      <c r="AC1005">
        <v>33</v>
      </c>
      <c r="AD1005">
        <v>4.5</v>
      </c>
      <c r="AE1005">
        <v>8.6999999999999993</v>
      </c>
      <c r="AF1005" s="5">
        <v>0.39424464106559698</v>
      </c>
      <c r="AG1005">
        <v>0.32300000000000001</v>
      </c>
      <c r="AH1005">
        <v>1.63</v>
      </c>
      <c r="AI1005">
        <v>6.17</v>
      </c>
      <c r="AJ1005">
        <v>7.05</v>
      </c>
      <c r="AK1005">
        <v>-6.9</v>
      </c>
      <c r="AL1005">
        <v>-0.7</v>
      </c>
      <c r="AM1005">
        <v>0</v>
      </c>
      <c r="AN1005">
        <v>1</v>
      </c>
      <c r="AO1005">
        <v>0</v>
      </c>
      <c r="AP1005">
        <v>0</v>
      </c>
      <c r="AQ1005" t="s">
        <v>3424</v>
      </c>
      <c r="AR1005">
        <v>1</v>
      </c>
      <c r="AS1005" t="s">
        <v>36</v>
      </c>
      <c r="AT1005" t="s">
        <v>35</v>
      </c>
      <c r="AU1005" s="4">
        <f>HYPERLINK("http://mlb.mlb.com/team/player.jsp?player_id=676194",676194)</f>
        <v>676194</v>
      </c>
      <c r="AV1005">
        <v>0</v>
      </c>
      <c r="AW1005">
        <v>0</v>
      </c>
      <c r="AX1005">
        <v>0</v>
      </c>
    </row>
    <row r="1006" spans="1:50" x14ac:dyDescent="0.3">
      <c r="A1006" s="4">
        <f>HYPERLINK("http://legacy.baseballprospectus.com/p/111166",111166)</f>
        <v>111166</v>
      </c>
      <c r="B1006" t="s">
        <v>3425</v>
      </c>
      <c r="C1006" t="s">
        <v>648</v>
      </c>
      <c r="D1006" s="10">
        <v>34962</v>
      </c>
      <c r="E1006" t="s">
        <v>33</v>
      </c>
      <c r="F1006" t="s">
        <v>33</v>
      </c>
      <c r="G1006">
        <v>74</v>
      </c>
      <c r="H1006">
        <v>210</v>
      </c>
      <c r="I1006">
        <v>2018</v>
      </c>
      <c r="J1006" s="4" t="str">
        <f>HYPERLINK("http://legacy.baseballprospectus.com/fantasy/dc/index.php?tm=CHN","CHN")</f>
        <v>CHN</v>
      </c>
      <c r="K1006" t="s">
        <v>100</v>
      </c>
      <c r="L1006" t="s">
        <v>34</v>
      </c>
      <c r="M1006">
        <v>22</v>
      </c>
      <c r="N1006">
        <v>1.9</v>
      </c>
      <c r="O1006">
        <v>3.2</v>
      </c>
      <c r="P1006">
        <v>1.8</v>
      </c>
      <c r="Q1006">
        <v>0</v>
      </c>
      <c r="R1006">
        <v>0</v>
      </c>
      <c r="S1006">
        <v>0</v>
      </c>
      <c r="T1006">
        <v>8.4</v>
      </c>
      <c r="U1006">
        <v>8.4</v>
      </c>
      <c r="V1006" s="9">
        <v>34.333300000000001</v>
      </c>
      <c r="W1006">
        <v>150</v>
      </c>
      <c r="X1006">
        <v>39</v>
      </c>
      <c r="Y1006">
        <v>11</v>
      </c>
      <c r="Z1006">
        <v>14</v>
      </c>
      <c r="AA1006" t="s">
        <v>1680</v>
      </c>
      <c r="AB1006">
        <v>2</v>
      </c>
      <c r="AC1006">
        <v>36</v>
      </c>
      <c r="AD1006">
        <v>3.6</v>
      </c>
      <c r="AE1006">
        <v>9.5</v>
      </c>
      <c r="AF1006" s="5">
        <v>0.31968504190444902</v>
      </c>
      <c r="AG1006">
        <v>0.32</v>
      </c>
      <c r="AH1006">
        <v>1.55</v>
      </c>
      <c r="AI1006">
        <v>6.77</v>
      </c>
      <c r="AJ1006">
        <v>7.49</v>
      </c>
      <c r="AK1006">
        <v>-6.6</v>
      </c>
      <c r="AL1006">
        <v>-0.7</v>
      </c>
      <c r="AM1006">
        <v>2</v>
      </c>
      <c r="AN1006">
        <v>3</v>
      </c>
      <c r="AO1006">
        <v>0</v>
      </c>
      <c r="AP1006">
        <v>2</v>
      </c>
      <c r="AQ1006" t="s">
        <v>3371</v>
      </c>
      <c r="AR1006">
        <v>3</v>
      </c>
      <c r="AS1006" t="s">
        <v>36</v>
      </c>
      <c r="AT1006" t="s">
        <v>35</v>
      </c>
      <c r="AU1006" s="4">
        <f>HYPERLINK("http://mlb.mlb.com/team/player.jsp?player_id=676265",676265)</f>
        <v>676265</v>
      </c>
      <c r="AV1006">
        <v>0</v>
      </c>
      <c r="AW1006">
        <v>0</v>
      </c>
      <c r="AX1006">
        <v>0</v>
      </c>
    </row>
    <row r="1007" spans="1:50" x14ac:dyDescent="0.3">
      <c r="A1007" s="4">
        <f>HYPERLINK("http://legacy.baseballprospectus.com/p/70888",70888)</f>
        <v>70888</v>
      </c>
      <c r="B1007" t="s">
        <v>2517</v>
      </c>
      <c r="C1007" t="s">
        <v>232</v>
      </c>
      <c r="D1007" s="10">
        <v>33921</v>
      </c>
      <c r="E1007" t="s">
        <v>33</v>
      </c>
      <c r="F1007" t="s">
        <v>33</v>
      </c>
      <c r="G1007">
        <v>74</v>
      </c>
      <c r="H1007">
        <v>185</v>
      </c>
      <c r="I1007">
        <v>2018</v>
      </c>
      <c r="J1007" s="4" t="str">
        <f>HYPERLINK("http://legacy.baseballprospectus.com/fantasy/dc/index.php?tm=OAK","OAK")</f>
        <v>OAK</v>
      </c>
      <c r="K1007" t="s">
        <v>95</v>
      </c>
      <c r="L1007" t="s">
        <v>34</v>
      </c>
      <c r="M1007">
        <v>25</v>
      </c>
      <c r="N1007">
        <v>6.9</v>
      </c>
      <c r="O1007">
        <v>9.6</v>
      </c>
      <c r="P1007">
        <v>7</v>
      </c>
      <c r="Q1007">
        <v>0</v>
      </c>
      <c r="R1007">
        <v>0</v>
      </c>
      <c r="S1007">
        <v>0</v>
      </c>
      <c r="T1007">
        <v>23</v>
      </c>
      <c r="U1007">
        <v>23</v>
      </c>
      <c r="V1007" s="9">
        <v>131</v>
      </c>
      <c r="W1007">
        <v>587</v>
      </c>
      <c r="X1007">
        <v>148</v>
      </c>
      <c r="Y1007">
        <v>31</v>
      </c>
      <c r="Z1007">
        <v>51</v>
      </c>
      <c r="AA1007">
        <v>2</v>
      </c>
      <c r="AB1007">
        <v>3</v>
      </c>
      <c r="AC1007">
        <v>107</v>
      </c>
      <c r="AD1007">
        <v>3.5</v>
      </c>
      <c r="AE1007">
        <v>7.3</v>
      </c>
      <c r="AF1007" s="5">
        <v>0.46700000000000003</v>
      </c>
      <c r="AG1007">
        <v>0.29599999999999999</v>
      </c>
      <c r="AH1007">
        <v>1.52</v>
      </c>
      <c r="AI1007">
        <v>5.73</v>
      </c>
      <c r="AJ1007">
        <v>6.07</v>
      </c>
      <c r="AK1007">
        <v>-7.4</v>
      </c>
      <c r="AL1007">
        <v>-0.8</v>
      </c>
      <c r="AM1007">
        <v>27</v>
      </c>
      <c r="AN1007">
        <v>51</v>
      </c>
      <c r="AO1007">
        <v>14</v>
      </c>
      <c r="AP1007">
        <v>40</v>
      </c>
      <c r="AQ1007" t="s">
        <v>2518</v>
      </c>
      <c r="AR1007">
        <v>82</v>
      </c>
      <c r="AS1007" t="s">
        <v>35</v>
      </c>
      <c r="AT1007" t="s">
        <v>36</v>
      </c>
      <c r="AU1007" s="4">
        <f>HYPERLINK("http://mlb.mlb.com/team/player.jsp?player_id=605254",605254)</f>
        <v>605254</v>
      </c>
      <c r="AV1007">
        <v>58</v>
      </c>
      <c r="AW1007">
        <v>1058</v>
      </c>
      <c r="AX1007">
        <v>91.3</v>
      </c>
    </row>
    <row r="1008" spans="1:50" x14ac:dyDescent="0.3">
      <c r="A1008" s="4">
        <f>HYPERLINK("http://legacy.baseballprospectus.com/p/100408",100408)</f>
        <v>100408</v>
      </c>
      <c r="B1008" t="s">
        <v>612</v>
      </c>
      <c r="C1008" t="s">
        <v>119</v>
      </c>
      <c r="D1008" s="10">
        <v>34628</v>
      </c>
      <c r="E1008" t="s">
        <v>33</v>
      </c>
      <c r="F1008" t="s">
        <v>33</v>
      </c>
      <c r="G1008">
        <v>73</v>
      </c>
      <c r="H1008">
        <v>190</v>
      </c>
      <c r="I1008">
        <v>2018</v>
      </c>
      <c r="J1008" s="4" t="str">
        <f>HYPERLINK("http://legacy.baseballprospectus.com/fantasy/dc/index.php?tm=CHA","CHA")</f>
        <v>CHA</v>
      </c>
      <c r="K1008" t="s">
        <v>95</v>
      </c>
      <c r="L1008" t="s">
        <v>34</v>
      </c>
      <c r="M1008">
        <v>23</v>
      </c>
      <c r="N1008">
        <v>1.5</v>
      </c>
      <c r="O1008">
        <v>0.3</v>
      </c>
      <c r="P1008">
        <v>0</v>
      </c>
      <c r="Q1008">
        <v>0</v>
      </c>
      <c r="R1008">
        <v>0.8</v>
      </c>
      <c r="S1008">
        <v>0</v>
      </c>
      <c r="T1008">
        <v>34.6</v>
      </c>
      <c r="U1008">
        <v>0</v>
      </c>
      <c r="V1008" s="9">
        <v>36.666699999999999</v>
      </c>
      <c r="W1008">
        <v>168</v>
      </c>
      <c r="X1008">
        <v>41</v>
      </c>
      <c r="Y1008">
        <v>11</v>
      </c>
      <c r="Z1008">
        <v>19</v>
      </c>
      <c r="AA1008" t="s">
        <v>1680</v>
      </c>
      <c r="AB1008">
        <v>1</v>
      </c>
      <c r="AC1008">
        <v>36</v>
      </c>
      <c r="AD1008">
        <v>4.8</v>
      </c>
      <c r="AE1008">
        <v>8.8000000000000007</v>
      </c>
      <c r="AF1008" s="5">
        <v>0.40504857897758401</v>
      </c>
      <c r="AG1008">
        <v>0.29599999999999999</v>
      </c>
      <c r="AH1008">
        <v>1.64</v>
      </c>
      <c r="AI1008">
        <v>6.84</v>
      </c>
      <c r="AJ1008">
        <v>7.15</v>
      </c>
      <c r="AK1008">
        <v>-7.4</v>
      </c>
      <c r="AL1008">
        <v>-0.8</v>
      </c>
      <c r="AM1008">
        <v>0</v>
      </c>
      <c r="AN1008">
        <v>0</v>
      </c>
      <c r="AO1008">
        <v>0</v>
      </c>
      <c r="AP1008">
        <v>0</v>
      </c>
      <c r="AQ1008" t="s">
        <v>3441</v>
      </c>
      <c r="AR1008">
        <v>0</v>
      </c>
      <c r="AS1008" t="s">
        <v>36</v>
      </c>
      <c r="AT1008" t="s">
        <v>35</v>
      </c>
      <c r="AU1008" s="4">
        <f>HYPERLINK("http://mlb.mlb.com/team/player.jsp?player_id=614179",614179)</f>
        <v>614179</v>
      </c>
      <c r="AV1008">
        <v>341</v>
      </c>
      <c r="AW1008">
        <v>1341</v>
      </c>
      <c r="AX1008">
        <v>1</v>
      </c>
    </row>
    <row r="1009" spans="1:50" x14ac:dyDescent="0.3">
      <c r="A1009" s="4">
        <f>HYPERLINK("http://legacy.baseballprospectus.com/p/101187",101187)</f>
        <v>101187</v>
      </c>
      <c r="B1009" t="s">
        <v>144</v>
      </c>
      <c r="C1009" t="s">
        <v>927</v>
      </c>
      <c r="D1009" s="10">
        <v>34298</v>
      </c>
      <c r="E1009" t="s">
        <v>33</v>
      </c>
      <c r="F1009" t="s">
        <v>33</v>
      </c>
      <c r="G1009">
        <v>74</v>
      </c>
      <c r="H1009">
        <v>180</v>
      </c>
      <c r="I1009">
        <v>2018</v>
      </c>
      <c r="J1009" s="4" t="str">
        <f>HYPERLINK("http://legacy.baseballprospectus.com/fantasy/dc/index.php?tm=DET","DET")</f>
        <v>DET</v>
      </c>
      <c r="K1009" t="s">
        <v>95</v>
      </c>
      <c r="L1009" t="s">
        <v>34</v>
      </c>
      <c r="M1009">
        <v>24</v>
      </c>
      <c r="N1009">
        <v>3.8</v>
      </c>
      <c r="O1009">
        <v>6.9</v>
      </c>
      <c r="P1009">
        <v>3.7</v>
      </c>
      <c r="Q1009">
        <v>0</v>
      </c>
      <c r="R1009">
        <v>0</v>
      </c>
      <c r="S1009">
        <v>0</v>
      </c>
      <c r="T1009">
        <v>15.6</v>
      </c>
      <c r="U1009">
        <v>15.6</v>
      </c>
      <c r="V1009" s="9">
        <v>80</v>
      </c>
      <c r="W1009">
        <v>370</v>
      </c>
      <c r="X1009">
        <v>104</v>
      </c>
      <c r="Y1009">
        <v>23</v>
      </c>
      <c r="Z1009">
        <v>30</v>
      </c>
      <c r="AA1009" t="s">
        <v>1680</v>
      </c>
      <c r="AB1009">
        <v>3</v>
      </c>
      <c r="AC1009">
        <v>71</v>
      </c>
      <c r="AD1009">
        <v>3.4</v>
      </c>
      <c r="AE1009">
        <v>8</v>
      </c>
      <c r="AF1009" s="5">
        <v>0.36644604802131597</v>
      </c>
      <c r="AG1009">
        <v>0.33500000000000002</v>
      </c>
      <c r="AH1009">
        <v>1.69</v>
      </c>
      <c r="AI1009">
        <v>6.56</v>
      </c>
      <c r="AJ1009">
        <v>6.65</v>
      </c>
      <c r="AK1009">
        <v>-7.9</v>
      </c>
      <c r="AL1009">
        <v>-0.8</v>
      </c>
      <c r="AM1009">
        <v>10</v>
      </c>
      <c r="AN1009">
        <v>15</v>
      </c>
      <c r="AO1009">
        <v>3</v>
      </c>
      <c r="AP1009">
        <v>14</v>
      </c>
      <c r="AQ1009" t="s">
        <v>3207</v>
      </c>
      <c r="AR1009">
        <v>20</v>
      </c>
      <c r="AS1009" t="s">
        <v>36</v>
      </c>
      <c r="AT1009" t="s">
        <v>35</v>
      </c>
      <c r="AU1009" s="4">
        <f>HYPERLINK("http://mlb.mlb.com/team/player.jsp?player_id=622783",622783)</f>
        <v>622783</v>
      </c>
      <c r="AV1009">
        <v>171</v>
      </c>
      <c r="AW1009">
        <v>1171</v>
      </c>
      <c r="AX1009">
        <v>0</v>
      </c>
    </row>
    <row r="1010" spans="1:50" x14ac:dyDescent="0.3">
      <c r="A1010" s="4">
        <f>HYPERLINK("http://legacy.baseballprospectus.com/p/103135",103135)</f>
        <v>103135</v>
      </c>
      <c r="B1010" t="s">
        <v>3443</v>
      </c>
      <c r="C1010" t="s">
        <v>1697</v>
      </c>
      <c r="D1010" s="10">
        <v>34464</v>
      </c>
      <c r="E1010" t="s">
        <v>33</v>
      </c>
      <c r="F1010" t="s">
        <v>33</v>
      </c>
      <c r="G1010">
        <v>73</v>
      </c>
      <c r="H1010">
        <v>228</v>
      </c>
      <c r="I1010">
        <v>2018</v>
      </c>
      <c r="J1010" s="4" t="str">
        <f>HYPERLINK("http://legacy.baseballprospectus.com/fantasy/dc/index.php?tm=NYN","NYN")</f>
        <v>NYN</v>
      </c>
      <c r="K1010" t="s">
        <v>100</v>
      </c>
      <c r="L1010" t="s">
        <v>34</v>
      </c>
      <c r="M1010">
        <v>24</v>
      </c>
      <c r="N1010">
        <v>2.2000000000000002</v>
      </c>
      <c r="O1010">
        <v>2.6</v>
      </c>
      <c r="P1010">
        <v>1.8</v>
      </c>
      <c r="Q1010">
        <v>0</v>
      </c>
      <c r="R1010">
        <v>0.5</v>
      </c>
      <c r="S1010">
        <v>0</v>
      </c>
      <c r="T1010">
        <v>21.4</v>
      </c>
      <c r="U1010">
        <v>5.8</v>
      </c>
      <c r="V1010" s="9">
        <v>47.333300000000001</v>
      </c>
      <c r="W1010">
        <v>207</v>
      </c>
      <c r="X1010">
        <v>53</v>
      </c>
      <c r="Y1010">
        <v>12</v>
      </c>
      <c r="Z1010">
        <v>20</v>
      </c>
      <c r="AA1010" t="s">
        <v>1680</v>
      </c>
      <c r="AB1010">
        <v>2</v>
      </c>
      <c r="AC1010">
        <v>48</v>
      </c>
      <c r="AD1010">
        <v>3.8</v>
      </c>
      <c r="AE1010">
        <v>9.1999999999999993</v>
      </c>
      <c r="AF1010" s="5">
        <v>0.42315867543220498</v>
      </c>
      <c r="AG1010">
        <v>0.32800000000000001</v>
      </c>
      <c r="AH1010">
        <v>1.55</v>
      </c>
      <c r="AI1010">
        <v>5.96</v>
      </c>
      <c r="AJ1010">
        <v>6.64</v>
      </c>
      <c r="AK1010">
        <v>-7.2</v>
      </c>
      <c r="AL1010">
        <v>-0.8</v>
      </c>
      <c r="AM1010">
        <v>0</v>
      </c>
      <c r="AN1010">
        <v>1</v>
      </c>
      <c r="AO1010">
        <v>1</v>
      </c>
      <c r="AP1010">
        <v>1</v>
      </c>
      <c r="AQ1010" t="s">
        <v>3444</v>
      </c>
      <c r="AR1010">
        <v>2</v>
      </c>
      <c r="AS1010" t="s">
        <v>36</v>
      </c>
      <c r="AT1010" t="s">
        <v>35</v>
      </c>
      <c r="AU1010" s="4">
        <f>HYPERLINK("http://mlb.mlb.com/team/player.jsp?player_id=642637",642637)</f>
        <v>642637</v>
      </c>
      <c r="AV1010">
        <v>0</v>
      </c>
      <c r="AW1010">
        <v>0</v>
      </c>
      <c r="AX1010">
        <v>0</v>
      </c>
    </row>
    <row r="1011" spans="1:50" x14ac:dyDescent="0.3">
      <c r="A1011" s="4">
        <f>HYPERLINK("http://legacy.baseballprospectus.com/p/106180",106180)</f>
        <v>106180</v>
      </c>
      <c r="B1011" t="s">
        <v>3355</v>
      </c>
      <c r="C1011" t="s">
        <v>109</v>
      </c>
      <c r="D1011" s="10">
        <v>35227</v>
      </c>
      <c r="E1011" t="s">
        <v>33</v>
      </c>
      <c r="F1011" t="s">
        <v>33</v>
      </c>
      <c r="G1011">
        <v>74</v>
      </c>
      <c r="H1011">
        <v>223</v>
      </c>
      <c r="I1011">
        <v>2018</v>
      </c>
      <c r="J1011" s="4" t="str">
        <f>HYPERLINK("http://legacy.baseballprospectus.com/fantasy/dc/index.php?tm=NYN","NYN")</f>
        <v>NYN</v>
      </c>
      <c r="K1011" t="s">
        <v>100</v>
      </c>
      <c r="L1011" t="s">
        <v>34</v>
      </c>
      <c r="M1011">
        <v>22</v>
      </c>
      <c r="N1011">
        <v>3</v>
      </c>
      <c r="O1011">
        <v>4.7</v>
      </c>
      <c r="P1011">
        <v>3.1</v>
      </c>
      <c r="Q1011">
        <v>0</v>
      </c>
      <c r="R1011">
        <v>0</v>
      </c>
      <c r="S1011">
        <v>0</v>
      </c>
      <c r="T1011">
        <v>10.5</v>
      </c>
      <c r="U1011">
        <v>10.5</v>
      </c>
      <c r="V1011" s="9">
        <v>62</v>
      </c>
      <c r="W1011">
        <v>269</v>
      </c>
      <c r="X1011">
        <v>70</v>
      </c>
      <c r="Y1011">
        <v>17</v>
      </c>
      <c r="Z1011">
        <v>24</v>
      </c>
      <c r="AA1011" t="s">
        <v>1680</v>
      </c>
      <c r="AB1011">
        <v>2</v>
      </c>
      <c r="AC1011">
        <v>64</v>
      </c>
      <c r="AD1011">
        <v>3.5</v>
      </c>
      <c r="AE1011">
        <v>9.3000000000000007</v>
      </c>
      <c r="AF1011" s="5">
        <v>0.41194942593574502</v>
      </c>
      <c r="AG1011">
        <v>0.32500000000000001</v>
      </c>
      <c r="AH1011">
        <v>1.51</v>
      </c>
      <c r="AI1011">
        <v>6.07</v>
      </c>
      <c r="AJ1011">
        <v>6.75</v>
      </c>
      <c r="AK1011">
        <v>-7.3</v>
      </c>
      <c r="AL1011">
        <v>-0.8</v>
      </c>
      <c r="AM1011">
        <v>18</v>
      </c>
      <c r="AN1011">
        <v>26</v>
      </c>
      <c r="AO1011">
        <v>3</v>
      </c>
      <c r="AP1011">
        <v>23</v>
      </c>
      <c r="AQ1011" t="s">
        <v>3356</v>
      </c>
      <c r="AR1011">
        <v>29</v>
      </c>
      <c r="AS1011" t="s">
        <v>36</v>
      </c>
      <c r="AT1011" t="s">
        <v>35</v>
      </c>
      <c r="AU1011" s="4">
        <f>HYPERLINK("http://mlb.mlb.com/team/player.jsp?player_id=664990",664990)</f>
        <v>664990</v>
      </c>
      <c r="AV1011">
        <v>1185</v>
      </c>
      <c r="AW1011">
        <v>185</v>
      </c>
      <c r="AX1011">
        <v>0</v>
      </c>
    </row>
    <row r="1012" spans="1:50" x14ac:dyDescent="0.3">
      <c r="A1012" s="4">
        <f>HYPERLINK("http://legacy.baseballprospectus.com/p/106330",106330)</f>
        <v>106330</v>
      </c>
      <c r="B1012" t="s">
        <v>482</v>
      </c>
      <c r="C1012" t="s">
        <v>119</v>
      </c>
      <c r="D1012" s="10">
        <v>34213</v>
      </c>
      <c r="E1012" t="s">
        <v>33</v>
      </c>
      <c r="F1012" t="s">
        <v>33</v>
      </c>
      <c r="G1012">
        <v>73</v>
      </c>
      <c r="H1012">
        <v>185</v>
      </c>
      <c r="I1012">
        <v>2018</v>
      </c>
      <c r="J1012" s="4" t="str">
        <f>HYPERLINK("http://legacy.baseballprospectus.com/fantasy/dc/index.php?tm=CIN","CIN")</f>
        <v>CIN</v>
      </c>
      <c r="K1012" t="s">
        <v>100</v>
      </c>
      <c r="L1012" t="s">
        <v>34</v>
      </c>
      <c r="M1012">
        <v>24</v>
      </c>
      <c r="N1012">
        <v>6.5</v>
      </c>
      <c r="O1012">
        <v>8.8000000000000007</v>
      </c>
      <c r="P1012">
        <v>7.4</v>
      </c>
      <c r="Q1012">
        <v>0</v>
      </c>
      <c r="R1012">
        <v>0</v>
      </c>
      <c r="S1012">
        <v>0</v>
      </c>
      <c r="T1012">
        <v>22.6</v>
      </c>
      <c r="U1012">
        <v>22.6</v>
      </c>
      <c r="V1012" s="9">
        <v>119</v>
      </c>
      <c r="W1012">
        <v>509</v>
      </c>
      <c r="X1012">
        <v>123</v>
      </c>
      <c r="Y1012">
        <v>30</v>
      </c>
      <c r="Z1012">
        <v>50</v>
      </c>
      <c r="AA1012" t="s">
        <v>1680</v>
      </c>
      <c r="AB1012">
        <v>5</v>
      </c>
      <c r="AC1012">
        <v>122</v>
      </c>
      <c r="AD1012">
        <v>3.8</v>
      </c>
      <c r="AE1012">
        <v>9.1999999999999993</v>
      </c>
      <c r="AF1012" s="5">
        <v>0.43310916423797602</v>
      </c>
      <c r="AG1012">
        <v>0.308</v>
      </c>
      <c r="AH1012">
        <v>1.45</v>
      </c>
      <c r="AI1012">
        <v>5.78</v>
      </c>
      <c r="AJ1012">
        <v>6.26</v>
      </c>
      <c r="AK1012">
        <v>-7.9</v>
      </c>
      <c r="AL1012">
        <v>-0.8</v>
      </c>
      <c r="AM1012">
        <v>10</v>
      </c>
      <c r="AN1012">
        <v>26</v>
      </c>
      <c r="AO1012">
        <v>12</v>
      </c>
      <c r="AP1012">
        <v>31</v>
      </c>
      <c r="AQ1012" t="s">
        <v>2602</v>
      </c>
      <c r="AR1012">
        <v>44</v>
      </c>
      <c r="AS1012" t="s">
        <v>36</v>
      </c>
      <c r="AT1012" t="s">
        <v>35</v>
      </c>
      <c r="AU1012" s="4">
        <f>HYPERLINK("http://mlb.mlb.com/team/player.jsp?player_id=656661",656661)</f>
        <v>656661</v>
      </c>
      <c r="AV1012">
        <v>0</v>
      </c>
      <c r="AW1012">
        <v>0</v>
      </c>
      <c r="AX1012">
        <v>0</v>
      </c>
    </row>
    <row r="1013" spans="1:50" x14ac:dyDescent="0.3">
      <c r="A1013" s="4">
        <f>HYPERLINK("http://legacy.baseballprospectus.com/p/106691",106691)</f>
        <v>106691</v>
      </c>
      <c r="B1013" t="s">
        <v>1633</v>
      </c>
      <c r="C1013" t="s">
        <v>584</v>
      </c>
      <c r="D1013" s="10">
        <v>34449</v>
      </c>
      <c r="E1013" t="s">
        <v>33</v>
      </c>
      <c r="F1013" t="s">
        <v>33</v>
      </c>
      <c r="G1013">
        <v>78</v>
      </c>
      <c r="H1013">
        <v>265</v>
      </c>
      <c r="I1013">
        <v>2018</v>
      </c>
      <c r="J1013" s="4" t="str">
        <f>HYPERLINK("http://legacy.baseballprospectus.com/fantasy/dc/index.php?tm=MIL","MIL")</f>
        <v>MIL</v>
      </c>
      <c r="K1013" t="s">
        <v>100</v>
      </c>
      <c r="L1013" t="s">
        <v>34</v>
      </c>
      <c r="M1013">
        <v>24</v>
      </c>
      <c r="N1013">
        <v>5.8</v>
      </c>
      <c r="O1013">
        <v>8.3000000000000007</v>
      </c>
      <c r="P1013">
        <v>7.5</v>
      </c>
      <c r="Q1013">
        <v>0</v>
      </c>
      <c r="R1013">
        <v>0</v>
      </c>
      <c r="S1013">
        <v>0</v>
      </c>
      <c r="T1013">
        <v>22</v>
      </c>
      <c r="U1013">
        <v>22</v>
      </c>
      <c r="V1013" s="9">
        <v>106.66670000000001</v>
      </c>
      <c r="W1013">
        <v>456</v>
      </c>
      <c r="X1013">
        <v>120</v>
      </c>
      <c r="Y1013">
        <v>26</v>
      </c>
      <c r="Z1013">
        <v>35</v>
      </c>
      <c r="AA1013" t="s">
        <v>1680</v>
      </c>
      <c r="AB1013">
        <v>4</v>
      </c>
      <c r="AC1013">
        <v>95</v>
      </c>
      <c r="AD1013">
        <v>3</v>
      </c>
      <c r="AE1013">
        <v>8</v>
      </c>
      <c r="AF1013" s="5">
        <v>0.42721486091613697</v>
      </c>
      <c r="AG1013">
        <v>0.318</v>
      </c>
      <c r="AH1013">
        <v>1.46</v>
      </c>
      <c r="AI1013">
        <v>5.63</v>
      </c>
      <c r="AJ1013">
        <v>6.32</v>
      </c>
      <c r="AK1013">
        <v>-7.7</v>
      </c>
      <c r="AL1013">
        <v>-0.8</v>
      </c>
      <c r="AM1013">
        <v>12</v>
      </c>
      <c r="AN1013">
        <v>14</v>
      </c>
      <c r="AO1013">
        <v>5</v>
      </c>
      <c r="AP1013">
        <v>18</v>
      </c>
      <c r="AQ1013" t="s">
        <v>3127</v>
      </c>
      <c r="AR1013">
        <v>21</v>
      </c>
      <c r="AS1013" t="s">
        <v>36</v>
      </c>
      <c r="AT1013" t="s">
        <v>35</v>
      </c>
      <c r="AU1013" s="4">
        <f>HYPERLINK("http://mlb.mlb.com/team/player.jsp?player_id=664074",664074)</f>
        <v>664074</v>
      </c>
      <c r="AV1013">
        <v>0</v>
      </c>
      <c r="AW1013">
        <v>0</v>
      </c>
      <c r="AX1013">
        <v>0</v>
      </c>
    </row>
    <row r="1014" spans="1:50" x14ac:dyDescent="0.3">
      <c r="A1014" s="4">
        <f>HYPERLINK("http://legacy.baseballprospectus.com/p/106762",106762)</f>
        <v>106762</v>
      </c>
      <c r="B1014" t="s">
        <v>226</v>
      </c>
      <c r="C1014" t="s">
        <v>141</v>
      </c>
      <c r="D1014" s="10">
        <v>34557</v>
      </c>
      <c r="E1014" t="s">
        <v>9</v>
      </c>
      <c r="F1014" t="s">
        <v>9</v>
      </c>
      <c r="G1014">
        <v>75</v>
      </c>
      <c r="H1014">
        <v>217</v>
      </c>
      <c r="I1014">
        <v>2018</v>
      </c>
      <c r="J1014" s="4" t="str">
        <f>HYPERLINK("http://legacy.baseballprospectus.com/fantasy/dc/index.php?tm=MIN","MIN")</f>
        <v>MIN</v>
      </c>
      <c r="K1014" t="s">
        <v>95</v>
      </c>
      <c r="L1014" t="s">
        <v>34</v>
      </c>
      <c r="M1014">
        <v>23</v>
      </c>
      <c r="N1014">
        <v>1.6</v>
      </c>
      <c r="O1014">
        <v>0.4</v>
      </c>
      <c r="P1014">
        <v>0</v>
      </c>
      <c r="Q1014">
        <v>0</v>
      </c>
      <c r="R1014">
        <v>1.2</v>
      </c>
      <c r="S1014">
        <v>0</v>
      </c>
      <c r="T1014">
        <v>37.6</v>
      </c>
      <c r="U1014">
        <v>0</v>
      </c>
      <c r="V1014" s="9">
        <v>39.666699999999999</v>
      </c>
      <c r="W1014">
        <v>191</v>
      </c>
      <c r="X1014">
        <v>42</v>
      </c>
      <c r="Y1014">
        <v>9</v>
      </c>
      <c r="Z1014">
        <v>30</v>
      </c>
      <c r="AA1014" t="s">
        <v>1680</v>
      </c>
      <c r="AB1014">
        <v>3</v>
      </c>
      <c r="AC1014">
        <v>46</v>
      </c>
      <c r="AD1014">
        <v>6.9</v>
      </c>
      <c r="AE1014">
        <v>10.3</v>
      </c>
      <c r="AF1014" s="5">
        <v>0.46285054087638799</v>
      </c>
      <c r="AG1014">
        <v>0.316</v>
      </c>
      <c r="AH1014">
        <v>1.81</v>
      </c>
      <c r="AI1014">
        <v>6.54</v>
      </c>
      <c r="AJ1014">
        <v>6.69</v>
      </c>
      <c r="AK1014">
        <v>-7.7</v>
      </c>
      <c r="AL1014">
        <v>-0.8</v>
      </c>
      <c r="AM1014">
        <v>5</v>
      </c>
      <c r="AN1014">
        <v>6</v>
      </c>
      <c r="AO1014">
        <v>2</v>
      </c>
      <c r="AP1014">
        <v>5</v>
      </c>
      <c r="AQ1014" t="s">
        <v>3510</v>
      </c>
      <c r="AR1014">
        <v>8</v>
      </c>
      <c r="AS1014" t="s">
        <v>36</v>
      </c>
      <c r="AT1014" t="s">
        <v>35</v>
      </c>
      <c r="AU1014" s="4">
        <f>HYPERLINK("http://mlb.mlb.com/team/player.jsp?player_id=621330",621330)</f>
        <v>621330</v>
      </c>
      <c r="AV1014">
        <v>0</v>
      </c>
      <c r="AW1014">
        <v>0</v>
      </c>
      <c r="AX1014">
        <v>0</v>
      </c>
    </row>
    <row r="1015" spans="1:50" x14ac:dyDescent="0.3">
      <c r="A1015" s="4">
        <f>HYPERLINK("http://legacy.baseballprospectus.com/p/107113",107113)</f>
        <v>107113</v>
      </c>
      <c r="B1015" t="s">
        <v>2150</v>
      </c>
      <c r="C1015" t="s">
        <v>767</v>
      </c>
      <c r="D1015" s="10">
        <v>34523</v>
      </c>
      <c r="E1015" t="s">
        <v>33</v>
      </c>
      <c r="F1015" t="s">
        <v>33</v>
      </c>
      <c r="G1015">
        <v>78</v>
      </c>
      <c r="H1015">
        <v>240</v>
      </c>
      <c r="I1015">
        <v>2018</v>
      </c>
      <c r="J1015" s="4" t="str">
        <f>HYPERLINK("http://legacy.baseballprospectus.com/fantasy/dc/index.php?tm=ATL","ATL")</f>
        <v>ATL</v>
      </c>
      <c r="K1015" t="s">
        <v>100</v>
      </c>
      <c r="L1015" t="s">
        <v>34</v>
      </c>
      <c r="M1015">
        <v>23</v>
      </c>
      <c r="N1015">
        <v>3.9</v>
      </c>
      <c r="O1015">
        <v>5.8</v>
      </c>
      <c r="P1015">
        <v>4.8</v>
      </c>
      <c r="Q1015">
        <v>0</v>
      </c>
      <c r="R1015">
        <v>0</v>
      </c>
      <c r="S1015">
        <v>0</v>
      </c>
      <c r="T1015">
        <v>14.6</v>
      </c>
      <c r="U1015">
        <v>14.6</v>
      </c>
      <c r="V1015" s="9">
        <v>74.666700000000006</v>
      </c>
      <c r="W1015">
        <v>324</v>
      </c>
      <c r="X1015">
        <v>79</v>
      </c>
      <c r="Y1015">
        <v>18</v>
      </c>
      <c r="Z1015">
        <v>32</v>
      </c>
      <c r="AA1015" t="s">
        <v>1680</v>
      </c>
      <c r="AB1015">
        <v>5</v>
      </c>
      <c r="AC1015">
        <v>73</v>
      </c>
      <c r="AD1015">
        <v>3.9</v>
      </c>
      <c r="AE1015">
        <v>8.8000000000000007</v>
      </c>
      <c r="AF1015" s="5">
        <v>0.43818444013595498</v>
      </c>
      <c r="AG1015">
        <v>0.311</v>
      </c>
      <c r="AH1015">
        <v>1.48</v>
      </c>
      <c r="AI1015">
        <v>5.69</v>
      </c>
      <c r="AJ1015">
        <v>6.56</v>
      </c>
      <c r="AK1015">
        <v>-7.3</v>
      </c>
      <c r="AL1015">
        <v>-0.8</v>
      </c>
      <c r="AM1015">
        <v>5</v>
      </c>
      <c r="AN1015">
        <v>14</v>
      </c>
      <c r="AO1015">
        <v>7</v>
      </c>
      <c r="AP1015">
        <v>14</v>
      </c>
      <c r="AQ1015" t="s">
        <v>3226</v>
      </c>
      <c r="AR1015">
        <v>26</v>
      </c>
      <c r="AS1015" t="s">
        <v>36</v>
      </c>
      <c r="AT1015" t="s">
        <v>35</v>
      </c>
      <c r="AU1015" s="4">
        <f>HYPERLINK("http://mlb.mlb.com/team/player.jsp?player_id=622256",622256)</f>
        <v>622256</v>
      </c>
      <c r="AV1015">
        <v>1729</v>
      </c>
      <c r="AW1015">
        <v>729</v>
      </c>
      <c r="AX1015">
        <v>0</v>
      </c>
    </row>
    <row r="1016" spans="1:50" x14ac:dyDescent="0.3">
      <c r="A1016" s="4">
        <f>HYPERLINK("http://legacy.baseballprospectus.com/p/108850",108850)</f>
        <v>108850</v>
      </c>
      <c r="B1016" t="s">
        <v>1077</v>
      </c>
      <c r="C1016" t="s">
        <v>706</v>
      </c>
      <c r="D1016" s="10">
        <v>34671</v>
      </c>
      <c r="E1016" t="s">
        <v>33</v>
      </c>
      <c r="F1016" t="s">
        <v>33</v>
      </c>
      <c r="G1016">
        <v>76</v>
      </c>
      <c r="H1016">
        <v>185</v>
      </c>
      <c r="I1016">
        <v>2018</v>
      </c>
      <c r="J1016" s="4" t="str">
        <f>HYPERLINK("http://legacy.baseballprospectus.com/fantasy/dc/index.php?tm=CHN","CHN")</f>
        <v>CHN</v>
      </c>
      <c r="K1016" t="s">
        <v>100</v>
      </c>
      <c r="L1016" t="s">
        <v>34</v>
      </c>
      <c r="M1016">
        <v>23</v>
      </c>
      <c r="N1016">
        <v>2.2000000000000002</v>
      </c>
      <c r="O1016">
        <v>3.6</v>
      </c>
      <c r="P1016">
        <v>2.2000000000000002</v>
      </c>
      <c r="Q1016">
        <v>0</v>
      </c>
      <c r="R1016">
        <v>0</v>
      </c>
      <c r="S1016">
        <v>0</v>
      </c>
      <c r="T1016">
        <v>9.6</v>
      </c>
      <c r="U1016">
        <v>9.6</v>
      </c>
      <c r="V1016" s="9">
        <v>39.333300000000001</v>
      </c>
      <c r="W1016">
        <v>177</v>
      </c>
      <c r="X1016">
        <v>45</v>
      </c>
      <c r="Y1016">
        <v>11</v>
      </c>
      <c r="Z1016">
        <v>20</v>
      </c>
      <c r="AA1016" t="s">
        <v>1680</v>
      </c>
      <c r="AB1016">
        <v>2</v>
      </c>
      <c r="AC1016">
        <v>36</v>
      </c>
      <c r="AD1016">
        <v>4.7</v>
      </c>
      <c r="AE1016">
        <v>8.4</v>
      </c>
      <c r="AF1016" s="5">
        <v>0.414815664291381</v>
      </c>
      <c r="AG1016">
        <v>0.32100000000000001</v>
      </c>
      <c r="AH1016">
        <v>1.67</v>
      </c>
      <c r="AI1016">
        <v>6.63</v>
      </c>
      <c r="AJ1016">
        <v>7.34</v>
      </c>
      <c r="AK1016">
        <v>-7</v>
      </c>
      <c r="AL1016">
        <v>-0.8</v>
      </c>
      <c r="AM1016">
        <v>1</v>
      </c>
      <c r="AN1016">
        <v>1</v>
      </c>
      <c r="AO1016">
        <v>0</v>
      </c>
      <c r="AP1016">
        <v>0</v>
      </c>
      <c r="AQ1016" t="s">
        <v>3456</v>
      </c>
      <c r="AR1016">
        <v>1</v>
      </c>
      <c r="AS1016" t="s">
        <v>36</v>
      </c>
      <c r="AT1016" t="s">
        <v>35</v>
      </c>
      <c r="AU1016" s="4">
        <f>HYPERLINK("http://mlb.mlb.com/team/player.jsp?player_id=641457",641457)</f>
        <v>641457</v>
      </c>
      <c r="AV1016">
        <v>0</v>
      </c>
      <c r="AW1016">
        <v>0</v>
      </c>
      <c r="AX1016">
        <v>0</v>
      </c>
    </row>
    <row r="1017" spans="1:50" x14ac:dyDescent="0.3">
      <c r="A1017" s="4">
        <f>HYPERLINK("http://legacy.baseballprospectus.com/p/109141",109141)</f>
        <v>109141</v>
      </c>
      <c r="B1017" t="s">
        <v>500</v>
      </c>
      <c r="C1017" t="s">
        <v>134</v>
      </c>
      <c r="D1017" s="10">
        <v>35976</v>
      </c>
      <c r="E1017" t="s">
        <v>33</v>
      </c>
      <c r="F1017" t="s">
        <v>33</v>
      </c>
      <c r="G1017">
        <v>74</v>
      </c>
      <c r="H1017">
        <v>165</v>
      </c>
      <c r="I1017">
        <v>2018</v>
      </c>
      <c r="J1017" s="4" t="str">
        <f>HYPERLINK("http://legacy.baseballprospectus.com/fantasy/dc/index.php?tm=NYA","NYA")</f>
        <v>NYA</v>
      </c>
      <c r="K1017" t="s">
        <v>95</v>
      </c>
      <c r="L1017" t="s">
        <v>34</v>
      </c>
      <c r="M1017">
        <v>20</v>
      </c>
      <c r="N1017">
        <v>1.5</v>
      </c>
      <c r="O1017">
        <v>3.5</v>
      </c>
      <c r="P1017">
        <v>1</v>
      </c>
      <c r="Q1017">
        <v>0</v>
      </c>
      <c r="R1017">
        <v>0</v>
      </c>
      <c r="S1017">
        <v>0</v>
      </c>
      <c r="T1017">
        <v>8.5</v>
      </c>
      <c r="U1017">
        <v>8.5</v>
      </c>
      <c r="V1017" s="9">
        <v>31.666699999999999</v>
      </c>
      <c r="W1017">
        <v>150</v>
      </c>
      <c r="X1017">
        <v>37</v>
      </c>
      <c r="Y1017">
        <v>10</v>
      </c>
      <c r="Z1017">
        <v>19</v>
      </c>
      <c r="AA1017" t="s">
        <v>1680</v>
      </c>
      <c r="AB1017">
        <v>2</v>
      </c>
      <c r="AC1017">
        <v>28</v>
      </c>
      <c r="AD1017">
        <v>5.4</v>
      </c>
      <c r="AE1017">
        <v>8</v>
      </c>
      <c r="AF1017" s="5">
        <v>0.42037516832351601</v>
      </c>
      <c r="AG1017">
        <v>0.3</v>
      </c>
      <c r="AH1017">
        <v>1.79</v>
      </c>
      <c r="AI1017">
        <v>7.51</v>
      </c>
      <c r="AJ1017">
        <v>7.95</v>
      </c>
      <c r="AK1017">
        <v>-7.4</v>
      </c>
      <c r="AL1017">
        <v>-0.8</v>
      </c>
      <c r="AM1017">
        <v>0</v>
      </c>
      <c r="AN1017">
        <v>0</v>
      </c>
      <c r="AO1017">
        <v>0</v>
      </c>
      <c r="AP1017">
        <v>0</v>
      </c>
      <c r="AQ1017" t="s">
        <v>3458</v>
      </c>
      <c r="AR1017">
        <v>0</v>
      </c>
      <c r="AS1017" t="s">
        <v>36</v>
      </c>
      <c r="AT1017" t="s">
        <v>35</v>
      </c>
      <c r="AU1017" s="4">
        <f>HYPERLINK("http://mlb.mlb.com/team/player.jsp?player_id=669228",669228)</f>
        <v>669228</v>
      </c>
      <c r="AV1017">
        <v>0</v>
      </c>
      <c r="AW1017">
        <v>0</v>
      </c>
      <c r="AX1017">
        <v>0</v>
      </c>
    </row>
    <row r="1018" spans="1:50" x14ac:dyDescent="0.3">
      <c r="A1018" s="4">
        <f>HYPERLINK("http://legacy.baseballprospectus.com/p/110622",110622)</f>
        <v>110622</v>
      </c>
      <c r="B1018" t="s">
        <v>3316</v>
      </c>
      <c r="C1018" t="s">
        <v>108</v>
      </c>
      <c r="D1018" s="10">
        <v>35045</v>
      </c>
      <c r="E1018" t="s">
        <v>33</v>
      </c>
      <c r="F1018" t="s">
        <v>9</v>
      </c>
      <c r="G1018">
        <v>72</v>
      </c>
      <c r="H1018">
        <v>215</v>
      </c>
      <c r="I1018">
        <v>2018</v>
      </c>
      <c r="J1018" s="4" t="str">
        <f>HYPERLINK("http://legacy.baseballprospectus.com/fantasy/dc/index.php?tm=WAS","WAS")</f>
        <v>WAS</v>
      </c>
      <c r="K1018" t="s">
        <v>100</v>
      </c>
      <c r="L1018" t="s">
        <v>34</v>
      </c>
      <c r="M1018">
        <v>22</v>
      </c>
      <c r="N1018">
        <v>1.8</v>
      </c>
      <c r="O1018">
        <v>3.1</v>
      </c>
      <c r="P1018">
        <v>1.6</v>
      </c>
      <c r="Q1018">
        <v>0</v>
      </c>
      <c r="R1018">
        <v>0</v>
      </c>
      <c r="S1018">
        <v>0</v>
      </c>
      <c r="T1018">
        <v>7.5</v>
      </c>
      <c r="U1018">
        <v>7.5</v>
      </c>
      <c r="V1018" s="9">
        <v>34.666699999999999</v>
      </c>
      <c r="W1018">
        <v>153</v>
      </c>
      <c r="X1018">
        <v>45</v>
      </c>
      <c r="Y1018">
        <v>10</v>
      </c>
      <c r="Z1018">
        <v>12</v>
      </c>
      <c r="AA1018" t="s">
        <v>1680</v>
      </c>
      <c r="AB1018">
        <v>1</v>
      </c>
      <c r="AC1018">
        <v>23</v>
      </c>
      <c r="AD1018">
        <v>3.1</v>
      </c>
      <c r="AE1018">
        <v>6</v>
      </c>
      <c r="AF1018" s="5">
        <v>0.493705153465271</v>
      </c>
      <c r="AG1018">
        <v>0.32200000000000001</v>
      </c>
      <c r="AH1018">
        <v>1.64</v>
      </c>
      <c r="AI1018">
        <v>6.65</v>
      </c>
      <c r="AJ1018">
        <v>7.58</v>
      </c>
      <c r="AK1018">
        <v>-7</v>
      </c>
      <c r="AL1018">
        <v>-0.8</v>
      </c>
      <c r="AM1018">
        <v>0</v>
      </c>
      <c r="AN1018">
        <v>0</v>
      </c>
      <c r="AO1018">
        <v>0</v>
      </c>
      <c r="AP1018">
        <v>0</v>
      </c>
      <c r="AQ1018" t="s">
        <v>3317</v>
      </c>
      <c r="AR1018">
        <v>0</v>
      </c>
      <c r="AS1018" t="s">
        <v>36</v>
      </c>
      <c r="AT1018" t="s">
        <v>35</v>
      </c>
      <c r="AU1018" s="4">
        <f>HYPERLINK("http://mlb.mlb.com/team/player.jsp?player_id=675919",675919)</f>
        <v>675919</v>
      </c>
      <c r="AV1018">
        <v>0</v>
      </c>
      <c r="AW1018">
        <v>0</v>
      </c>
      <c r="AX1018">
        <v>0</v>
      </c>
    </row>
    <row r="1019" spans="1:50" x14ac:dyDescent="0.3">
      <c r="A1019" s="4">
        <f>HYPERLINK("http://legacy.baseballprospectus.com/p/111145",111145)</f>
        <v>111145</v>
      </c>
      <c r="B1019" t="s">
        <v>3479</v>
      </c>
      <c r="C1019" t="s">
        <v>104</v>
      </c>
      <c r="D1019" s="10">
        <v>36181</v>
      </c>
      <c r="E1019" t="s">
        <v>33</v>
      </c>
      <c r="F1019" t="s">
        <v>33</v>
      </c>
      <c r="G1019">
        <v>76</v>
      </c>
      <c r="H1019">
        <v>195</v>
      </c>
      <c r="I1019">
        <v>2018</v>
      </c>
      <c r="J1019" s="4" t="str">
        <f>HYPERLINK("http://legacy.baseballprospectus.com/fantasy/dc/index.php?tm=NYA","NYA")</f>
        <v>NYA</v>
      </c>
      <c r="K1019" t="s">
        <v>95</v>
      </c>
      <c r="L1019" t="s">
        <v>34</v>
      </c>
      <c r="M1019">
        <v>19</v>
      </c>
      <c r="N1019">
        <v>1.4</v>
      </c>
      <c r="O1019">
        <v>3.4</v>
      </c>
      <c r="P1019">
        <v>0.7</v>
      </c>
      <c r="Q1019">
        <v>0</v>
      </c>
      <c r="R1019">
        <v>0</v>
      </c>
      <c r="S1019">
        <v>0</v>
      </c>
      <c r="T1019">
        <v>7.9</v>
      </c>
      <c r="U1019">
        <v>7.9</v>
      </c>
      <c r="V1019" s="9">
        <v>30.666699999999999</v>
      </c>
      <c r="W1019">
        <v>150</v>
      </c>
      <c r="X1019">
        <v>36</v>
      </c>
      <c r="Y1019">
        <v>9</v>
      </c>
      <c r="Z1019">
        <v>23</v>
      </c>
      <c r="AA1019" t="s">
        <v>1680</v>
      </c>
      <c r="AB1019">
        <v>1</v>
      </c>
      <c r="AC1019">
        <v>27</v>
      </c>
      <c r="AD1019">
        <v>6.7</v>
      </c>
      <c r="AE1019">
        <v>7.9</v>
      </c>
      <c r="AF1019" s="5">
        <v>0.44212129712104797</v>
      </c>
      <c r="AG1019">
        <v>0.30099999999999999</v>
      </c>
      <c r="AH1019">
        <v>1.92</v>
      </c>
      <c r="AI1019">
        <v>7.72</v>
      </c>
      <c r="AJ1019">
        <v>8.18</v>
      </c>
      <c r="AK1019">
        <v>-7.9</v>
      </c>
      <c r="AL1019">
        <v>-0.8</v>
      </c>
      <c r="AM1019">
        <v>0</v>
      </c>
      <c r="AN1019">
        <v>0</v>
      </c>
      <c r="AO1019">
        <v>0</v>
      </c>
      <c r="AP1019">
        <v>0</v>
      </c>
      <c r="AQ1019" t="s">
        <v>3480</v>
      </c>
      <c r="AR1019">
        <v>0</v>
      </c>
      <c r="AS1019" t="s">
        <v>36</v>
      </c>
      <c r="AT1019" t="s">
        <v>35</v>
      </c>
      <c r="AU1019" s="4">
        <f>HYPERLINK("http://mlb.mlb.com/team/player.jsp?player_id=669422",669422)</f>
        <v>669422</v>
      </c>
      <c r="AV1019">
        <v>193</v>
      </c>
      <c r="AW1019">
        <v>1193</v>
      </c>
      <c r="AX1019">
        <v>0</v>
      </c>
    </row>
    <row r="1020" spans="1:50" x14ac:dyDescent="0.3">
      <c r="A1020" s="4">
        <f>HYPERLINK("http://legacy.baseballprospectus.com/p/102670",102670)</f>
        <v>102670</v>
      </c>
      <c r="B1020" t="s">
        <v>1525</v>
      </c>
      <c r="C1020" t="s">
        <v>177</v>
      </c>
      <c r="D1020" s="10">
        <v>34841</v>
      </c>
      <c r="E1020" t="s">
        <v>33</v>
      </c>
      <c r="F1020" t="s">
        <v>33</v>
      </c>
      <c r="G1020">
        <v>79</v>
      </c>
      <c r="H1020">
        <v>190</v>
      </c>
      <c r="I1020">
        <v>2018</v>
      </c>
      <c r="J1020" s="4" t="str">
        <f>HYPERLINK("http://legacy.baseballprospectus.com/fantasy/dc/index.php?tm=OAK","OAK")</f>
        <v>OAK</v>
      </c>
      <c r="K1020" t="s">
        <v>95</v>
      </c>
      <c r="L1020" t="s">
        <v>34</v>
      </c>
      <c r="M1020">
        <v>23</v>
      </c>
      <c r="N1020">
        <v>5.7</v>
      </c>
      <c r="O1020">
        <v>8.6999999999999993</v>
      </c>
      <c r="P1020">
        <v>6</v>
      </c>
      <c r="Q1020">
        <v>0</v>
      </c>
      <c r="R1020">
        <v>0</v>
      </c>
      <c r="S1020">
        <v>0</v>
      </c>
      <c r="T1020">
        <v>21.4</v>
      </c>
      <c r="U1020">
        <v>21.4</v>
      </c>
      <c r="V1020" s="9">
        <v>109.33329999999999</v>
      </c>
      <c r="W1020">
        <v>488</v>
      </c>
      <c r="X1020">
        <v>118</v>
      </c>
      <c r="Y1020">
        <v>28</v>
      </c>
      <c r="Z1020">
        <v>46</v>
      </c>
      <c r="AA1020" t="s">
        <v>1680</v>
      </c>
      <c r="AB1020">
        <v>5</v>
      </c>
      <c r="AC1020">
        <v>105</v>
      </c>
      <c r="AD1020">
        <v>3.8</v>
      </c>
      <c r="AE1020">
        <v>8.6</v>
      </c>
      <c r="AF1020" s="5">
        <v>0.36482226848602201</v>
      </c>
      <c r="AG1020">
        <v>0.29499999999999998</v>
      </c>
      <c r="AH1020">
        <v>1.49</v>
      </c>
      <c r="AI1020">
        <v>6.12</v>
      </c>
      <c r="AJ1020">
        <v>6.42</v>
      </c>
      <c r="AK1020">
        <v>-8.1</v>
      </c>
      <c r="AL1020">
        <v>-0.9</v>
      </c>
      <c r="AM1020">
        <v>10</v>
      </c>
      <c r="AN1020">
        <v>12</v>
      </c>
      <c r="AO1020">
        <v>1</v>
      </c>
      <c r="AP1020">
        <v>12</v>
      </c>
      <c r="AQ1020" t="s">
        <v>3216</v>
      </c>
      <c r="AR1020">
        <v>15</v>
      </c>
      <c r="AS1020" t="s">
        <v>36</v>
      </c>
      <c r="AT1020" t="s">
        <v>35</v>
      </c>
      <c r="AU1020" s="4">
        <f>HYPERLINK("http://mlb.mlb.com/team/player.jsp?player_id=641861",641861)</f>
        <v>641861</v>
      </c>
      <c r="AV1020">
        <v>0</v>
      </c>
      <c r="AW1020">
        <v>0</v>
      </c>
      <c r="AX1020">
        <v>0</v>
      </c>
    </row>
    <row r="1021" spans="1:50" x14ac:dyDescent="0.3">
      <c r="A1021" s="4">
        <f>HYPERLINK("http://legacy.baseballprospectus.com/p/103945",103945)</f>
        <v>103945</v>
      </c>
      <c r="B1021" t="s">
        <v>1659</v>
      </c>
      <c r="C1021" t="s">
        <v>1660</v>
      </c>
      <c r="D1021" s="10">
        <v>34875</v>
      </c>
      <c r="E1021" t="s">
        <v>33</v>
      </c>
      <c r="F1021" t="s">
        <v>33</v>
      </c>
      <c r="G1021">
        <v>78</v>
      </c>
      <c r="H1021">
        <v>175</v>
      </c>
      <c r="I1021">
        <v>2018</v>
      </c>
      <c r="J1021" s="4" t="str">
        <f>HYPERLINK("http://legacy.baseballprospectus.com/fantasy/dc/index.php?tm=PHI","PHI")</f>
        <v>PHI</v>
      </c>
      <c r="K1021" t="s">
        <v>100</v>
      </c>
      <c r="L1021" t="s">
        <v>34</v>
      </c>
      <c r="M1021">
        <v>23</v>
      </c>
      <c r="N1021">
        <v>5.6</v>
      </c>
      <c r="O1021">
        <v>8.1</v>
      </c>
      <c r="P1021">
        <v>7</v>
      </c>
      <c r="Q1021">
        <v>0</v>
      </c>
      <c r="R1021">
        <v>0</v>
      </c>
      <c r="S1021">
        <v>0</v>
      </c>
      <c r="T1021">
        <v>21</v>
      </c>
      <c r="U1021">
        <v>21</v>
      </c>
      <c r="V1021" s="9">
        <v>103.33329999999999</v>
      </c>
      <c r="W1021">
        <v>453</v>
      </c>
      <c r="X1021">
        <v>115</v>
      </c>
      <c r="Y1021">
        <v>24</v>
      </c>
      <c r="Z1021">
        <v>48</v>
      </c>
      <c r="AA1021" t="s">
        <v>1680</v>
      </c>
      <c r="AB1021">
        <v>3</v>
      </c>
      <c r="AC1021">
        <v>99</v>
      </c>
      <c r="AD1021">
        <v>4.2</v>
      </c>
      <c r="AE1021">
        <v>8.6</v>
      </c>
      <c r="AF1021" s="5">
        <v>0.43975177407264698</v>
      </c>
      <c r="AG1021">
        <v>0.32700000000000001</v>
      </c>
      <c r="AH1021">
        <v>1.58</v>
      </c>
      <c r="AI1021">
        <v>5.75</v>
      </c>
      <c r="AJ1021">
        <v>6.42</v>
      </c>
      <c r="AK1021">
        <v>-8.6</v>
      </c>
      <c r="AL1021">
        <v>-0.9</v>
      </c>
      <c r="AM1021">
        <v>4</v>
      </c>
      <c r="AN1021">
        <v>5</v>
      </c>
      <c r="AO1021">
        <v>3</v>
      </c>
      <c r="AP1021">
        <v>5</v>
      </c>
      <c r="AQ1021" t="s">
        <v>3293</v>
      </c>
      <c r="AR1021">
        <v>9</v>
      </c>
      <c r="AS1021" t="s">
        <v>36</v>
      </c>
      <c r="AT1021" t="s">
        <v>35</v>
      </c>
      <c r="AU1021" s="4">
        <f>HYPERLINK("http://mlb.mlb.com/team/player.jsp?player_id=642584",642584)</f>
        <v>642584</v>
      </c>
      <c r="AV1021">
        <v>1187</v>
      </c>
      <c r="AW1021">
        <v>187</v>
      </c>
      <c r="AX1021">
        <v>0</v>
      </c>
    </row>
    <row r="1022" spans="1:50" x14ac:dyDescent="0.3">
      <c r="A1022" s="4">
        <f>HYPERLINK("http://legacy.baseballprospectus.com/p/104168",104168)</f>
        <v>104168</v>
      </c>
      <c r="B1022" t="s">
        <v>420</v>
      </c>
      <c r="C1022" t="s">
        <v>3462</v>
      </c>
      <c r="D1022" s="10">
        <v>35416</v>
      </c>
      <c r="E1022" t="s">
        <v>9</v>
      </c>
      <c r="F1022" t="s">
        <v>9</v>
      </c>
      <c r="G1022">
        <v>74</v>
      </c>
      <c r="H1022">
        <v>185</v>
      </c>
      <c r="I1022">
        <v>2018</v>
      </c>
      <c r="J1022" s="4" t="str">
        <f>HYPERLINK("http://legacy.baseballprospectus.com/fantasy/dc/index.php?tm=BOS","BOS")</f>
        <v>BOS</v>
      </c>
      <c r="K1022" t="s">
        <v>95</v>
      </c>
      <c r="L1022" t="s">
        <v>34</v>
      </c>
      <c r="M1022">
        <v>21</v>
      </c>
      <c r="N1022">
        <v>3.8</v>
      </c>
      <c r="O1022">
        <v>6</v>
      </c>
      <c r="P1022">
        <v>4.5</v>
      </c>
      <c r="Q1022">
        <v>0</v>
      </c>
      <c r="R1022">
        <v>0.3</v>
      </c>
      <c r="S1022">
        <v>0</v>
      </c>
      <c r="T1022">
        <v>24.8</v>
      </c>
      <c r="U1022">
        <v>15.4</v>
      </c>
      <c r="V1022" s="9">
        <v>75.333299999999994</v>
      </c>
      <c r="W1022">
        <v>353</v>
      </c>
      <c r="X1022">
        <v>83</v>
      </c>
      <c r="Y1022">
        <v>17</v>
      </c>
      <c r="Z1022">
        <v>46</v>
      </c>
      <c r="AA1022" t="s">
        <v>1680</v>
      </c>
      <c r="AB1022">
        <v>4</v>
      </c>
      <c r="AC1022">
        <v>80</v>
      </c>
      <c r="AD1022">
        <v>5.4</v>
      </c>
      <c r="AE1022">
        <v>9.6</v>
      </c>
      <c r="AF1022" s="5">
        <v>0.45331549644470198</v>
      </c>
      <c r="AG1022">
        <v>0.32</v>
      </c>
      <c r="AH1022">
        <v>1.7</v>
      </c>
      <c r="AI1022">
        <v>6.05</v>
      </c>
      <c r="AJ1022">
        <v>6.59</v>
      </c>
      <c r="AK1022">
        <v>-8.1</v>
      </c>
      <c r="AL1022">
        <v>-0.9</v>
      </c>
      <c r="AM1022">
        <v>1</v>
      </c>
      <c r="AN1022">
        <v>4</v>
      </c>
      <c r="AO1022">
        <v>0</v>
      </c>
      <c r="AP1022">
        <v>4</v>
      </c>
      <c r="AQ1022" t="s">
        <v>3463</v>
      </c>
      <c r="AR1022">
        <v>5</v>
      </c>
      <c r="AS1022" t="s">
        <v>36</v>
      </c>
      <c r="AT1022" t="s">
        <v>35</v>
      </c>
      <c r="AU1022" s="4">
        <f>HYPERLINK("http://mlb.mlb.com/team/player.jsp?player_id=650382",650382)</f>
        <v>650382</v>
      </c>
      <c r="AV1022">
        <v>0</v>
      </c>
      <c r="AW1022">
        <v>0</v>
      </c>
      <c r="AX1022">
        <v>0</v>
      </c>
    </row>
    <row r="1023" spans="1:50" x14ac:dyDescent="0.3">
      <c r="A1023" s="4">
        <f>HYPERLINK("http://legacy.baseballprospectus.com/p/104406",104406)</f>
        <v>104406</v>
      </c>
      <c r="B1023" t="s">
        <v>324</v>
      </c>
      <c r="C1023" t="s">
        <v>304</v>
      </c>
      <c r="D1023" s="10">
        <v>35215</v>
      </c>
      <c r="E1023" t="s">
        <v>33</v>
      </c>
      <c r="F1023" t="s">
        <v>33</v>
      </c>
      <c r="G1023">
        <v>73</v>
      </c>
      <c r="H1023">
        <v>155</v>
      </c>
      <c r="I1023">
        <v>2018</v>
      </c>
      <c r="J1023" s="4" t="str">
        <f>HYPERLINK("http://legacy.baseballprospectus.com/fantasy/dc/index.php?tm=PIT","PIT")</f>
        <v>PIT</v>
      </c>
      <c r="K1023" t="s">
        <v>100</v>
      </c>
      <c r="L1023" t="s">
        <v>34</v>
      </c>
      <c r="M1023">
        <v>22</v>
      </c>
      <c r="N1023">
        <v>5.5</v>
      </c>
      <c r="O1023">
        <v>8.1</v>
      </c>
      <c r="P1023">
        <v>7.2</v>
      </c>
      <c r="Q1023">
        <v>0</v>
      </c>
      <c r="R1023">
        <v>0</v>
      </c>
      <c r="S1023">
        <v>0</v>
      </c>
      <c r="T1023">
        <v>21.8</v>
      </c>
      <c r="U1023">
        <v>21.8</v>
      </c>
      <c r="V1023" s="9">
        <v>101</v>
      </c>
      <c r="W1023">
        <v>442</v>
      </c>
      <c r="X1023">
        <v>106</v>
      </c>
      <c r="Y1023">
        <v>24</v>
      </c>
      <c r="Z1023">
        <v>49</v>
      </c>
      <c r="AA1023" t="s">
        <v>1680</v>
      </c>
      <c r="AB1023">
        <v>6</v>
      </c>
      <c r="AC1023">
        <v>107</v>
      </c>
      <c r="AD1023">
        <v>4.3</v>
      </c>
      <c r="AE1023">
        <v>9.5</v>
      </c>
      <c r="AF1023" s="5">
        <v>0.39704978466033902</v>
      </c>
      <c r="AG1023">
        <v>0.31900000000000001</v>
      </c>
      <c r="AH1023">
        <v>1.53</v>
      </c>
      <c r="AI1023">
        <v>5.77</v>
      </c>
      <c r="AJ1023">
        <v>6.45</v>
      </c>
      <c r="AK1023">
        <v>-8.6999999999999993</v>
      </c>
      <c r="AL1023">
        <v>-0.9</v>
      </c>
      <c r="AM1023">
        <v>5</v>
      </c>
      <c r="AN1023">
        <v>7</v>
      </c>
      <c r="AO1023">
        <v>5</v>
      </c>
      <c r="AP1023">
        <v>11</v>
      </c>
      <c r="AQ1023" t="s">
        <v>3445</v>
      </c>
      <c r="AR1023">
        <v>13</v>
      </c>
      <c r="AS1023" t="s">
        <v>36</v>
      </c>
      <c r="AT1023" t="s">
        <v>35</v>
      </c>
      <c r="AU1023" s="4">
        <f>HYPERLINK("http://mlb.mlb.com/team/player.jsp?player_id=650813",650813)</f>
        <v>650813</v>
      </c>
      <c r="AV1023">
        <v>1198</v>
      </c>
      <c r="AW1023">
        <v>198</v>
      </c>
      <c r="AX1023">
        <v>0</v>
      </c>
    </row>
    <row r="1024" spans="1:50" x14ac:dyDescent="0.3">
      <c r="A1024" s="4">
        <f>HYPERLINK("http://legacy.baseballprospectus.com/p/104823",104823)</f>
        <v>104823</v>
      </c>
      <c r="B1024" t="s">
        <v>1515</v>
      </c>
      <c r="C1024" t="s">
        <v>258</v>
      </c>
      <c r="D1024" s="10">
        <v>35048</v>
      </c>
      <c r="E1024" t="s">
        <v>33</v>
      </c>
      <c r="F1024" t="s">
        <v>33</v>
      </c>
      <c r="G1024">
        <v>77</v>
      </c>
      <c r="H1024">
        <v>260</v>
      </c>
      <c r="I1024">
        <v>2018</v>
      </c>
      <c r="J1024" s="4" t="str">
        <f>HYPERLINK("http://legacy.baseballprospectus.com/fantasy/dc/index.php?tm=MIA","MIA")</f>
        <v>MIA</v>
      </c>
      <c r="K1024" t="s">
        <v>100</v>
      </c>
      <c r="L1024" t="s">
        <v>34</v>
      </c>
      <c r="M1024">
        <v>22</v>
      </c>
      <c r="N1024">
        <v>1.2</v>
      </c>
      <c r="O1024">
        <v>3.4</v>
      </c>
      <c r="P1024">
        <v>1.2</v>
      </c>
      <c r="Q1024">
        <v>0</v>
      </c>
      <c r="R1024">
        <v>0</v>
      </c>
      <c r="S1024">
        <v>0</v>
      </c>
      <c r="T1024">
        <v>8</v>
      </c>
      <c r="U1024">
        <v>8</v>
      </c>
      <c r="V1024" s="9">
        <v>29.666699999999999</v>
      </c>
      <c r="W1024">
        <v>150</v>
      </c>
      <c r="X1024">
        <v>34</v>
      </c>
      <c r="Y1024">
        <v>5</v>
      </c>
      <c r="Z1024">
        <v>28</v>
      </c>
      <c r="AA1024" t="s">
        <v>1680</v>
      </c>
      <c r="AB1024">
        <v>6</v>
      </c>
      <c r="AC1024">
        <v>21</v>
      </c>
      <c r="AD1024">
        <v>8.5</v>
      </c>
      <c r="AE1024">
        <v>6.4</v>
      </c>
      <c r="AF1024" s="5">
        <v>0.48707568645477201</v>
      </c>
      <c r="AG1024">
        <v>0.32</v>
      </c>
      <c r="AH1024">
        <v>2.0699999999999998</v>
      </c>
      <c r="AI1024">
        <v>7.31</v>
      </c>
      <c r="AJ1024">
        <v>8.33</v>
      </c>
      <c r="AK1024">
        <v>-8.4</v>
      </c>
      <c r="AL1024">
        <v>-0.9</v>
      </c>
      <c r="AM1024">
        <v>3</v>
      </c>
      <c r="AN1024">
        <v>3</v>
      </c>
      <c r="AO1024">
        <v>1</v>
      </c>
      <c r="AP1024">
        <v>2</v>
      </c>
      <c r="AQ1024" t="s">
        <v>3520</v>
      </c>
      <c r="AR1024">
        <v>4</v>
      </c>
      <c r="AS1024" t="s">
        <v>36</v>
      </c>
      <c r="AT1024" t="s">
        <v>35</v>
      </c>
      <c r="AU1024" s="4">
        <f>HYPERLINK("http://mlb.mlb.com/team/player.jsp?player_id=656626",656626)</f>
        <v>656626</v>
      </c>
      <c r="AV1024">
        <v>1224</v>
      </c>
      <c r="AW1024">
        <v>224</v>
      </c>
      <c r="AX1024">
        <v>0</v>
      </c>
    </row>
    <row r="1025" spans="1:50" x14ac:dyDescent="0.3">
      <c r="A1025" s="4">
        <f>HYPERLINK("http://legacy.baseballprospectus.com/p/105831",105831)</f>
        <v>105831</v>
      </c>
      <c r="B1025" t="s">
        <v>777</v>
      </c>
      <c r="C1025" t="s">
        <v>1652</v>
      </c>
      <c r="D1025" s="10">
        <v>35058</v>
      </c>
      <c r="E1025" t="s">
        <v>33</v>
      </c>
      <c r="F1025" t="s">
        <v>33</v>
      </c>
      <c r="G1025">
        <v>75</v>
      </c>
      <c r="H1025">
        <v>170</v>
      </c>
      <c r="I1025">
        <v>2018</v>
      </c>
      <c r="J1025" s="4" t="str">
        <f>HYPERLINK("http://legacy.baseballprospectus.com/fantasy/dc/index.php?tm=PHI","PHI")</f>
        <v>PHI</v>
      </c>
      <c r="K1025" t="s">
        <v>100</v>
      </c>
      <c r="L1025" t="s">
        <v>34</v>
      </c>
      <c r="M1025">
        <v>22</v>
      </c>
      <c r="N1025">
        <v>5.8</v>
      </c>
      <c r="O1025">
        <v>9.6999999999999993</v>
      </c>
      <c r="P1025">
        <v>8.5</v>
      </c>
      <c r="Q1025">
        <v>0</v>
      </c>
      <c r="R1025">
        <v>0</v>
      </c>
      <c r="S1025">
        <v>0</v>
      </c>
      <c r="T1025">
        <v>23.3</v>
      </c>
      <c r="U1025">
        <v>23.3</v>
      </c>
      <c r="V1025" s="9">
        <v>120.66670000000001</v>
      </c>
      <c r="W1025">
        <v>511</v>
      </c>
      <c r="X1025">
        <v>120</v>
      </c>
      <c r="Y1025">
        <v>27</v>
      </c>
      <c r="Z1025">
        <v>50</v>
      </c>
      <c r="AA1025" t="s">
        <v>1680</v>
      </c>
      <c r="AB1025">
        <v>5</v>
      </c>
      <c r="AC1025">
        <v>120</v>
      </c>
      <c r="AD1025">
        <v>3.7</v>
      </c>
      <c r="AE1025">
        <v>9</v>
      </c>
      <c r="AF1025" s="5">
        <v>0.42551100254058799</v>
      </c>
      <c r="AG1025">
        <v>0.30099999999999999</v>
      </c>
      <c r="AH1025">
        <v>1.4</v>
      </c>
      <c r="AI1025">
        <v>5.43</v>
      </c>
      <c r="AJ1025">
        <v>6.29</v>
      </c>
      <c r="AK1025">
        <v>-8.4</v>
      </c>
      <c r="AL1025">
        <v>-0.9</v>
      </c>
      <c r="AM1025">
        <v>13</v>
      </c>
      <c r="AN1025">
        <v>21</v>
      </c>
      <c r="AO1025">
        <v>4</v>
      </c>
      <c r="AP1025">
        <v>18</v>
      </c>
      <c r="AQ1025" t="s">
        <v>2813</v>
      </c>
      <c r="AR1025">
        <v>26</v>
      </c>
      <c r="AS1025" t="s">
        <v>36</v>
      </c>
      <c r="AT1025" t="s">
        <v>35</v>
      </c>
      <c r="AU1025" s="4">
        <f>HYPERLINK("http://mlb.mlb.com/team/player.jsp?player_id=660853",660853)</f>
        <v>660853</v>
      </c>
      <c r="AV1025">
        <v>1191</v>
      </c>
      <c r="AW1025">
        <v>191</v>
      </c>
      <c r="AX1025">
        <v>0</v>
      </c>
    </row>
    <row r="1026" spans="1:50" x14ac:dyDescent="0.3">
      <c r="A1026" s="4">
        <f>HYPERLINK("http://legacy.baseballprospectus.com/p/106565",106565)</f>
        <v>106565</v>
      </c>
      <c r="B1026" t="s">
        <v>2145</v>
      </c>
      <c r="C1026" t="s">
        <v>125</v>
      </c>
      <c r="D1026" s="10">
        <v>35073</v>
      </c>
      <c r="E1026" t="s">
        <v>33</v>
      </c>
      <c r="F1026" t="s">
        <v>33</v>
      </c>
      <c r="G1026">
        <v>76</v>
      </c>
      <c r="H1026">
        <v>220</v>
      </c>
      <c r="I1026">
        <v>2018</v>
      </c>
      <c r="J1026" s="4" t="str">
        <f>HYPERLINK("http://legacy.baseballprospectus.com/fantasy/dc/index.php?tm=SDN","SDN")</f>
        <v>SDN</v>
      </c>
      <c r="K1026" t="s">
        <v>100</v>
      </c>
      <c r="L1026" t="s">
        <v>34</v>
      </c>
      <c r="M1026">
        <v>22</v>
      </c>
      <c r="N1026">
        <v>3.9</v>
      </c>
      <c r="O1026">
        <v>7.2</v>
      </c>
      <c r="P1026">
        <v>5.9</v>
      </c>
      <c r="Q1026">
        <v>0</v>
      </c>
      <c r="R1026">
        <v>0</v>
      </c>
      <c r="S1026">
        <v>0</v>
      </c>
      <c r="T1026">
        <v>17.5</v>
      </c>
      <c r="U1026">
        <v>17.5</v>
      </c>
      <c r="V1026" s="9">
        <v>82.666700000000006</v>
      </c>
      <c r="W1026">
        <v>356</v>
      </c>
      <c r="X1026">
        <v>92</v>
      </c>
      <c r="Y1026">
        <v>20</v>
      </c>
      <c r="Z1026">
        <v>30</v>
      </c>
      <c r="AA1026" t="s">
        <v>1680</v>
      </c>
      <c r="AB1026">
        <v>2</v>
      </c>
      <c r="AC1026">
        <v>77</v>
      </c>
      <c r="AD1026">
        <v>3.3</v>
      </c>
      <c r="AE1026">
        <v>8.4</v>
      </c>
      <c r="AF1026" s="5">
        <v>0.44166544079780501</v>
      </c>
      <c r="AG1026">
        <v>0.32</v>
      </c>
      <c r="AH1026">
        <v>1.48</v>
      </c>
      <c r="AI1026">
        <v>5.68</v>
      </c>
      <c r="AJ1026">
        <v>6.6</v>
      </c>
      <c r="AK1026">
        <v>-8.4</v>
      </c>
      <c r="AL1026">
        <v>-0.9</v>
      </c>
      <c r="AM1026">
        <v>7</v>
      </c>
      <c r="AN1026">
        <v>17</v>
      </c>
      <c r="AO1026">
        <v>3</v>
      </c>
      <c r="AP1026">
        <v>17</v>
      </c>
      <c r="AQ1026" t="s">
        <v>2603</v>
      </c>
      <c r="AR1026">
        <v>28</v>
      </c>
      <c r="AS1026" t="s">
        <v>36</v>
      </c>
      <c r="AT1026" t="s">
        <v>35</v>
      </c>
      <c r="AU1026" s="4">
        <f>HYPERLINK("http://mlb.mlb.com/team/player.jsp?player_id=656798",656798)</f>
        <v>656798</v>
      </c>
      <c r="AV1026">
        <v>0</v>
      </c>
      <c r="AW1026">
        <v>0</v>
      </c>
      <c r="AX1026">
        <v>0</v>
      </c>
    </row>
    <row r="1027" spans="1:50" x14ac:dyDescent="0.3">
      <c r="A1027" s="4">
        <f>HYPERLINK("http://legacy.baseballprospectus.com/p/106846",106846)</f>
        <v>106846</v>
      </c>
      <c r="B1027" t="s">
        <v>616</v>
      </c>
      <c r="C1027" t="s">
        <v>2067</v>
      </c>
      <c r="D1027" s="10">
        <v>36005</v>
      </c>
      <c r="E1027" t="s">
        <v>33</v>
      </c>
      <c r="F1027" t="s">
        <v>33</v>
      </c>
      <c r="G1027">
        <v>72</v>
      </c>
      <c r="H1027">
        <v>185</v>
      </c>
      <c r="I1027">
        <v>2018</v>
      </c>
      <c r="J1027" s="4" t="str">
        <f>HYPERLINK("http://legacy.baseballprospectus.com/fantasy/dc/index.php?tm=PHI","PHI")</f>
        <v>PHI</v>
      </c>
      <c r="K1027" t="s">
        <v>100</v>
      </c>
      <c r="L1027" t="s">
        <v>34</v>
      </c>
      <c r="M1027">
        <v>19</v>
      </c>
      <c r="N1027">
        <v>3.5</v>
      </c>
      <c r="O1027">
        <v>5</v>
      </c>
      <c r="P1027">
        <v>3.6</v>
      </c>
      <c r="Q1027">
        <v>0</v>
      </c>
      <c r="R1027">
        <v>0.2</v>
      </c>
      <c r="S1027">
        <v>0</v>
      </c>
      <c r="T1027">
        <v>19</v>
      </c>
      <c r="U1027">
        <v>12.1</v>
      </c>
      <c r="V1027" s="9">
        <v>68.333299999999994</v>
      </c>
      <c r="W1027">
        <v>296</v>
      </c>
      <c r="X1027">
        <v>76</v>
      </c>
      <c r="Y1027">
        <v>18</v>
      </c>
      <c r="Z1027">
        <v>28</v>
      </c>
      <c r="AA1027" t="s">
        <v>1680</v>
      </c>
      <c r="AB1027">
        <v>2</v>
      </c>
      <c r="AC1027">
        <v>65</v>
      </c>
      <c r="AD1027">
        <v>3.7</v>
      </c>
      <c r="AE1027">
        <v>8.6</v>
      </c>
      <c r="AF1027" s="5">
        <v>0.45980590581893899</v>
      </c>
      <c r="AG1027">
        <v>0.314</v>
      </c>
      <c r="AH1027">
        <v>1.52</v>
      </c>
      <c r="AI1027">
        <v>6.04</v>
      </c>
      <c r="AJ1027">
        <v>6.75</v>
      </c>
      <c r="AK1027">
        <v>-8.9</v>
      </c>
      <c r="AL1027">
        <v>-0.9</v>
      </c>
      <c r="AM1027">
        <v>0</v>
      </c>
      <c r="AN1027">
        <v>0</v>
      </c>
      <c r="AO1027">
        <v>0</v>
      </c>
      <c r="AP1027">
        <v>0</v>
      </c>
      <c r="AQ1027" t="s">
        <v>3225</v>
      </c>
      <c r="AR1027">
        <v>0</v>
      </c>
      <c r="AS1027" t="s">
        <v>36</v>
      </c>
      <c r="AT1027" t="s">
        <v>35</v>
      </c>
      <c r="AU1027" s="4">
        <f>HYPERLINK("http://mlb.mlb.com/team/player.jsp?player_id=664350",664350)</f>
        <v>664350</v>
      </c>
      <c r="AV1027">
        <v>1189</v>
      </c>
      <c r="AW1027">
        <v>189</v>
      </c>
      <c r="AX1027">
        <v>0</v>
      </c>
    </row>
    <row r="1028" spans="1:50" x14ac:dyDescent="0.3">
      <c r="A1028" s="4">
        <f>HYPERLINK("http://legacy.baseballprospectus.com/p/107018",107018)</f>
        <v>107018</v>
      </c>
      <c r="B1028" t="s">
        <v>2605</v>
      </c>
      <c r="C1028" t="s">
        <v>1772</v>
      </c>
      <c r="D1028" s="10">
        <v>34242</v>
      </c>
      <c r="E1028" t="s">
        <v>33</v>
      </c>
      <c r="F1028" t="s">
        <v>33</v>
      </c>
      <c r="G1028">
        <v>72</v>
      </c>
      <c r="H1028">
        <v>175</v>
      </c>
      <c r="I1028">
        <v>2018</v>
      </c>
      <c r="J1028" s="4" t="str">
        <f>HYPERLINK("http://legacy.baseballprospectus.com/fantasy/dc/index.php?tm=HOU","HOU")</f>
        <v>HOU</v>
      </c>
      <c r="K1028" t="s">
        <v>95</v>
      </c>
      <c r="L1028" t="s">
        <v>34</v>
      </c>
      <c r="M1028">
        <v>24</v>
      </c>
      <c r="N1028">
        <v>6.2</v>
      </c>
      <c r="O1028">
        <v>8.1999999999999993</v>
      </c>
      <c r="P1028">
        <v>6.3</v>
      </c>
      <c r="Q1028">
        <v>0</v>
      </c>
      <c r="R1028">
        <v>0</v>
      </c>
      <c r="S1028">
        <v>0</v>
      </c>
      <c r="T1028">
        <v>21.2</v>
      </c>
      <c r="U1028">
        <v>21.2</v>
      </c>
      <c r="V1028" s="9">
        <v>110.66670000000001</v>
      </c>
      <c r="W1028">
        <v>493</v>
      </c>
      <c r="X1028">
        <v>131</v>
      </c>
      <c r="Y1028">
        <v>28</v>
      </c>
      <c r="Z1028">
        <v>36</v>
      </c>
      <c r="AA1028" t="s">
        <v>1680</v>
      </c>
      <c r="AB1028">
        <v>4</v>
      </c>
      <c r="AC1028">
        <v>90</v>
      </c>
      <c r="AD1028">
        <v>2.9</v>
      </c>
      <c r="AE1028">
        <v>7.3</v>
      </c>
      <c r="AF1028" s="5">
        <v>0.40578460693359297</v>
      </c>
      <c r="AG1028">
        <v>0.308</v>
      </c>
      <c r="AH1028">
        <v>1.51</v>
      </c>
      <c r="AI1028">
        <v>5.99</v>
      </c>
      <c r="AJ1028">
        <v>6.4</v>
      </c>
      <c r="AK1028">
        <v>-8</v>
      </c>
      <c r="AL1028">
        <v>-0.9</v>
      </c>
      <c r="AM1028">
        <v>18</v>
      </c>
      <c r="AN1028">
        <v>29</v>
      </c>
      <c r="AO1028">
        <v>17</v>
      </c>
      <c r="AP1028">
        <v>38</v>
      </c>
      <c r="AQ1028" t="s">
        <v>2606</v>
      </c>
      <c r="AR1028">
        <v>50</v>
      </c>
      <c r="AS1028" t="s">
        <v>36</v>
      </c>
      <c r="AT1028" t="s">
        <v>35</v>
      </c>
      <c r="AU1028" s="4">
        <f>HYPERLINK("http://mlb.mlb.com/team/player.jsp?player_id=663423",663423)</f>
        <v>663423</v>
      </c>
      <c r="AV1028">
        <v>0</v>
      </c>
      <c r="AW1028">
        <v>0</v>
      </c>
      <c r="AX1028">
        <v>0</v>
      </c>
    </row>
    <row r="1029" spans="1:50" x14ac:dyDescent="0.3">
      <c r="A1029" s="4">
        <f>HYPERLINK("http://legacy.baseballprospectus.com/p/111203",111203)</f>
        <v>111203</v>
      </c>
      <c r="B1029" t="s">
        <v>404</v>
      </c>
      <c r="C1029" t="s">
        <v>3507</v>
      </c>
      <c r="D1029" s="10">
        <v>36057</v>
      </c>
      <c r="E1029" t="s">
        <v>9</v>
      </c>
      <c r="F1029" t="s">
        <v>9</v>
      </c>
      <c r="G1029">
        <v>72</v>
      </c>
      <c r="H1029">
        <v>180</v>
      </c>
      <c r="I1029">
        <v>2018</v>
      </c>
      <c r="J1029" s="4" t="str">
        <f>HYPERLINK("http://legacy.baseballprospectus.com/fantasy/dc/index.php?tm=BAL","BAL")</f>
        <v>BAL</v>
      </c>
      <c r="K1029" t="s">
        <v>95</v>
      </c>
      <c r="L1029" t="s">
        <v>34</v>
      </c>
      <c r="M1029">
        <v>19</v>
      </c>
      <c r="N1029">
        <v>1.1000000000000001</v>
      </c>
      <c r="O1029">
        <v>3.5</v>
      </c>
      <c r="P1029">
        <v>0.4</v>
      </c>
      <c r="Q1029">
        <v>0</v>
      </c>
      <c r="R1029">
        <v>0</v>
      </c>
      <c r="S1029">
        <v>0</v>
      </c>
      <c r="T1029">
        <v>7.4</v>
      </c>
      <c r="U1029">
        <v>7.4</v>
      </c>
      <c r="V1029" s="9">
        <v>29.666699999999999</v>
      </c>
      <c r="W1029">
        <v>150</v>
      </c>
      <c r="X1029">
        <v>36</v>
      </c>
      <c r="Y1029">
        <v>9</v>
      </c>
      <c r="Z1029">
        <v>26</v>
      </c>
      <c r="AA1029" t="s">
        <v>1680</v>
      </c>
      <c r="AB1029">
        <v>2</v>
      </c>
      <c r="AC1029">
        <v>26</v>
      </c>
      <c r="AD1029">
        <v>7.8</v>
      </c>
      <c r="AE1029">
        <v>8</v>
      </c>
      <c r="AF1029" s="5">
        <v>0.50462001562118497</v>
      </c>
      <c r="AG1029">
        <v>0.317</v>
      </c>
      <c r="AH1029">
        <v>2.1</v>
      </c>
      <c r="AI1029">
        <v>8.19</v>
      </c>
      <c r="AJ1029">
        <v>8.42</v>
      </c>
      <c r="AK1029">
        <v>-8.4</v>
      </c>
      <c r="AL1029">
        <v>-0.9</v>
      </c>
      <c r="AM1029">
        <v>0</v>
      </c>
      <c r="AN1029">
        <v>0</v>
      </c>
      <c r="AO1029">
        <v>0</v>
      </c>
      <c r="AP1029">
        <v>0</v>
      </c>
      <c r="AQ1029" t="s">
        <v>3508</v>
      </c>
      <c r="AR1029">
        <v>0</v>
      </c>
      <c r="AS1029" t="s">
        <v>36</v>
      </c>
      <c r="AT1029" t="s">
        <v>35</v>
      </c>
      <c r="AU1029" s="4">
        <f>HYPERLINK("http://mlb.mlb.com/team/player.jsp?player_id=669084",669084)</f>
        <v>669084</v>
      </c>
      <c r="AV1029">
        <v>0</v>
      </c>
      <c r="AW1029">
        <v>0</v>
      </c>
      <c r="AX1029">
        <v>0</v>
      </c>
    </row>
    <row r="1030" spans="1:50" x14ac:dyDescent="0.3">
      <c r="A1030" s="4">
        <f>HYPERLINK("http://legacy.baseballprospectus.com/p/68681",68681)</f>
        <v>68681</v>
      </c>
      <c r="B1030" t="s">
        <v>1657</v>
      </c>
      <c r="C1030" t="s">
        <v>232</v>
      </c>
      <c r="D1030" s="10">
        <v>33748</v>
      </c>
      <c r="E1030" t="s">
        <v>33</v>
      </c>
      <c r="F1030" t="s">
        <v>33</v>
      </c>
      <c r="G1030">
        <v>77</v>
      </c>
      <c r="H1030">
        <v>275</v>
      </c>
      <c r="I1030">
        <v>2018</v>
      </c>
      <c r="J1030" s="4" t="str">
        <f>HYPERLINK("http://legacy.baseballprospectus.com/fantasy/dc/index.php?tm=SFN","SFN")</f>
        <v>SFN</v>
      </c>
      <c r="K1030" t="s">
        <v>100</v>
      </c>
      <c r="L1030" t="s">
        <v>34</v>
      </c>
      <c r="M1030">
        <v>26</v>
      </c>
      <c r="N1030">
        <v>5.9</v>
      </c>
      <c r="O1030">
        <v>5.4</v>
      </c>
      <c r="P1030">
        <v>4.9000000000000004</v>
      </c>
      <c r="Q1030">
        <v>0</v>
      </c>
      <c r="R1030">
        <v>1.3</v>
      </c>
      <c r="S1030">
        <v>0</v>
      </c>
      <c r="T1030">
        <v>57.1</v>
      </c>
      <c r="U1030">
        <v>12</v>
      </c>
      <c r="V1030" s="9">
        <v>116.66670000000001</v>
      </c>
      <c r="W1030">
        <v>497</v>
      </c>
      <c r="X1030">
        <v>126</v>
      </c>
      <c r="Y1030">
        <v>24</v>
      </c>
      <c r="Z1030">
        <v>43</v>
      </c>
      <c r="AA1030" t="s">
        <v>1680</v>
      </c>
      <c r="AB1030">
        <v>3</v>
      </c>
      <c r="AC1030">
        <v>113</v>
      </c>
      <c r="AD1030">
        <v>3.3</v>
      </c>
      <c r="AE1030">
        <v>8.6999999999999993</v>
      </c>
      <c r="AF1030" s="5">
        <v>0.39686146378517101</v>
      </c>
      <c r="AG1030">
        <v>0.32500000000000001</v>
      </c>
      <c r="AH1030">
        <v>1.45</v>
      </c>
      <c r="AI1030">
        <v>5.07</v>
      </c>
      <c r="AJ1030">
        <v>6.13</v>
      </c>
      <c r="AK1030">
        <v>-9.1</v>
      </c>
      <c r="AL1030">
        <v>-1</v>
      </c>
      <c r="AM1030">
        <v>14</v>
      </c>
      <c r="AN1030">
        <v>18</v>
      </c>
      <c r="AO1030">
        <v>5</v>
      </c>
      <c r="AP1030">
        <v>17</v>
      </c>
      <c r="AQ1030" t="s">
        <v>3203</v>
      </c>
      <c r="AR1030">
        <v>24</v>
      </c>
      <c r="AS1030" t="s">
        <v>36</v>
      </c>
      <c r="AT1030" t="s">
        <v>35</v>
      </c>
      <c r="AU1030" s="4">
        <f>HYPERLINK("http://mlb.mlb.com/team/player.jsp?player_id=592753",592753)</f>
        <v>592753</v>
      </c>
      <c r="AV1030">
        <v>1356</v>
      </c>
      <c r="AW1030">
        <v>356</v>
      </c>
      <c r="AX1030">
        <v>1</v>
      </c>
    </row>
    <row r="1031" spans="1:50" x14ac:dyDescent="0.3">
      <c r="A1031" s="4">
        <f>HYPERLINK("http://legacy.baseballprospectus.com/p/103622",103622)</f>
        <v>103622</v>
      </c>
      <c r="B1031" t="s">
        <v>942</v>
      </c>
      <c r="C1031" t="s">
        <v>672</v>
      </c>
      <c r="D1031" s="10">
        <v>33421</v>
      </c>
      <c r="E1031" t="s">
        <v>33</v>
      </c>
      <c r="F1031" t="s">
        <v>33</v>
      </c>
      <c r="G1031">
        <v>75</v>
      </c>
      <c r="H1031">
        <v>190</v>
      </c>
      <c r="I1031">
        <v>2018</v>
      </c>
      <c r="J1031" s="4" t="str">
        <f>HYPERLINK("http://legacy.baseballprospectus.com/fantasy/dc/index.php?tm=ANA","ANA")</f>
        <v>ANA</v>
      </c>
      <c r="K1031" t="s">
        <v>95</v>
      </c>
      <c r="L1031" t="s">
        <v>34</v>
      </c>
      <c r="M1031">
        <v>26</v>
      </c>
      <c r="N1031">
        <v>4</v>
      </c>
      <c r="O1031">
        <v>6.1</v>
      </c>
      <c r="P1031">
        <v>3</v>
      </c>
      <c r="Q1031">
        <v>0</v>
      </c>
      <c r="R1031">
        <v>0</v>
      </c>
      <c r="S1031">
        <v>0</v>
      </c>
      <c r="T1031">
        <v>24</v>
      </c>
      <c r="U1031">
        <v>13</v>
      </c>
      <c r="V1031" s="9">
        <v>80.333299999999994</v>
      </c>
      <c r="W1031">
        <v>358</v>
      </c>
      <c r="X1031">
        <v>85</v>
      </c>
      <c r="Y1031">
        <v>20</v>
      </c>
      <c r="Z1031">
        <v>37</v>
      </c>
      <c r="AA1031">
        <v>2</v>
      </c>
      <c r="AB1031">
        <v>4</v>
      </c>
      <c r="AC1031">
        <v>68</v>
      </c>
      <c r="AD1031">
        <v>4.2</v>
      </c>
      <c r="AE1031">
        <v>7.6</v>
      </c>
      <c r="AF1031" s="5">
        <v>0.372</v>
      </c>
      <c r="AG1031">
        <v>0.28399999999999997</v>
      </c>
      <c r="AH1031">
        <v>1.5</v>
      </c>
      <c r="AI1031">
        <v>6.15</v>
      </c>
      <c r="AJ1031">
        <v>6.55</v>
      </c>
      <c r="AK1031">
        <v>-8.8000000000000007</v>
      </c>
      <c r="AL1031">
        <v>-1</v>
      </c>
      <c r="AM1031">
        <v>15</v>
      </c>
      <c r="AN1031">
        <v>24</v>
      </c>
      <c r="AO1031">
        <v>20</v>
      </c>
      <c r="AP1031">
        <v>37</v>
      </c>
      <c r="AQ1031" t="s">
        <v>3412</v>
      </c>
      <c r="AR1031">
        <v>54</v>
      </c>
      <c r="AS1031" t="s">
        <v>35</v>
      </c>
      <c r="AT1031" t="s">
        <v>35</v>
      </c>
      <c r="AU1031" s="4">
        <f>HYPERLINK("http://mlb.mlb.com/team/player.jsp?player_id=644428",644428)</f>
        <v>644428</v>
      </c>
      <c r="AV1031">
        <v>103</v>
      </c>
      <c r="AW1031">
        <v>1103</v>
      </c>
      <c r="AX1031">
        <v>23.7</v>
      </c>
    </row>
    <row r="1032" spans="1:50" x14ac:dyDescent="0.3">
      <c r="A1032" s="4">
        <f>HYPERLINK("http://legacy.baseballprospectus.com/p/102424",102424)</f>
        <v>102424</v>
      </c>
      <c r="B1032" t="s">
        <v>1320</v>
      </c>
      <c r="C1032" t="s">
        <v>874</v>
      </c>
      <c r="D1032" s="10">
        <v>34512</v>
      </c>
      <c r="E1032" t="s">
        <v>9</v>
      </c>
      <c r="F1032" t="s">
        <v>9</v>
      </c>
      <c r="G1032">
        <v>78</v>
      </c>
      <c r="H1032">
        <v>185</v>
      </c>
      <c r="I1032">
        <v>2018</v>
      </c>
      <c r="J1032" s="4" t="str">
        <f>HYPERLINK("http://legacy.baseballprospectus.com/fantasy/dc/index.php?tm=BOS","BOS")</f>
        <v>BOS</v>
      </c>
      <c r="K1032" t="s">
        <v>95</v>
      </c>
      <c r="L1032" t="s">
        <v>34</v>
      </c>
      <c r="M1032">
        <v>24</v>
      </c>
      <c r="N1032">
        <v>5.3</v>
      </c>
      <c r="O1032">
        <v>8.6</v>
      </c>
      <c r="P1032">
        <v>6.2</v>
      </c>
      <c r="Q1032">
        <v>0</v>
      </c>
      <c r="R1032">
        <v>0</v>
      </c>
      <c r="S1032">
        <v>0</v>
      </c>
      <c r="T1032">
        <v>21.1</v>
      </c>
      <c r="U1032">
        <v>21.1</v>
      </c>
      <c r="V1032" s="9">
        <v>105</v>
      </c>
      <c r="W1032">
        <v>487</v>
      </c>
      <c r="X1032">
        <v>126</v>
      </c>
      <c r="Y1032">
        <v>24</v>
      </c>
      <c r="Z1032">
        <v>51</v>
      </c>
      <c r="AA1032" t="s">
        <v>1680</v>
      </c>
      <c r="AB1032">
        <v>4</v>
      </c>
      <c r="AC1032">
        <v>92</v>
      </c>
      <c r="AD1032">
        <v>4.3</v>
      </c>
      <c r="AE1032">
        <v>7.9</v>
      </c>
      <c r="AF1032" s="5">
        <v>0.42045679688453602</v>
      </c>
      <c r="AG1032">
        <v>0.32500000000000001</v>
      </c>
      <c r="AH1032">
        <v>1.69</v>
      </c>
      <c r="AI1032">
        <v>6.03</v>
      </c>
      <c r="AJ1032">
        <v>6.58</v>
      </c>
      <c r="AK1032">
        <v>-9.6</v>
      </c>
      <c r="AL1032">
        <v>-1</v>
      </c>
      <c r="AM1032">
        <v>2</v>
      </c>
      <c r="AN1032">
        <v>4</v>
      </c>
      <c r="AO1032">
        <v>1</v>
      </c>
      <c r="AP1032">
        <v>3</v>
      </c>
      <c r="AQ1032" t="s">
        <v>3392</v>
      </c>
      <c r="AR1032">
        <v>5</v>
      </c>
      <c r="AS1032" t="s">
        <v>36</v>
      </c>
      <c r="AT1032" t="s">
        <v>35</v>
      </c>
      <c r="AU1032" s="4">
        <f>HYPERLINK("http://mlb.mlb.com/team/player.jsp?player_id=640441",640441)</f>
        <v>640441</v>
      </c>
      <c r="AV1032">
        <v>735</v>
      </c>
      <c r="AW1032">
        <v>1735</v>
      </c>
      <c r="AX1032">
        <v>0</v>
      </c>
    </row>
    <row r="1033" spans="1:50" x14ac:dyDescent="0.3">
      <c r="A1033" s="4">
        <f>HYPERLINK("http://legacy.baseballprospectus.com/p/103055",103055)</f>
        <v>103055</v>
      </c>
      <c r="B1033" t="s">
        <v>420</v>
      </c>
      <c r="C1033" t="s">
        <v>355</v>
      </c>
      <c r="D1033" s="10">
        <v>35252</v>
      </c>
      <c r="E1033" t="s">
        <v>33</v>
      </c>
      <c r="F1033" t="s">
        <v>33</v>
      </c>
      <c r="G1033">
        <v>74</v>
      </c>
      <c r="H1033">
        <v>175</v>
      </c>
      <c r="I1033">
        <v>2018</v>
      </c>
      <c r="J1033" s="4" t="str">
        <f>HYPERLINK("http://legacy.baseballprospectus.com/fantasy/dc/index.php?tm=TEX","TEX")</f>
        <v>TEX</v>
      </c>
      <c r="K1033" t="s">
        <v>95</v>
      </c>
      <c r="L1033" t="s">
        <v>34</v>
      </c>
      <c r="M1033">
        <v>21</v>
      </c>
      <c r="N1033">
        <v>4.5999999999999996</v>
      </c>
      <c r="O1033">
        <v>7.7</v>
      </c>
      <c r="P1033">
        <v>4.3</v>
      </c>
      <c r="Q1033">
        <v>0</v>
      </c>
      <c r="R1033">
        <v>0</v>
      </c>
      <c r="S1033">
        <v>0</v>
      </c>
      <c r="T1033">
        <v>18.3</v>
      </c>
      <c r="U1033">
        <v>18.3</v>
      </c>
      <c r="V1033" s="9">
        <v>90.666700000000006</v>
      </c>
      <c r="W1033">
        <v>419</v>
      </c>
      <c r="X1033">
        <v>108</v>
      </c>
      <c r="Y1033">
        <v>23</v>
      </c>
      <c r="Z1033">
        <v>45</v>
      </c>
      <c r="AA1033" t="s">
        <v>1680</v>
      </c>
      <c r="AB1033">
        <v>3</v>
      </c>
      <c r="AC1033">
        <v>77</v>
      </c>
      <c r="AD1033">
        <v>4.5</v>
      </c>
      <c r="AE1033">
        <v>7.6</v>
      </c>
      <c r="AF1033" s="5">
        <v>0.43649607896804798</v>
      </c>
      <c r="AG1033">
        <v>0.312</v>
      </c>
      <c r="AH1033">
        <v>1.69</v>
      </c>
      <c r="AI1033">
        <v>6.54</v>
      </c>
      <c r="AJ1033">
        <v>6.66</v>
      </c>
      <c r="AK1033">
        <v>-9</v>
      </c>
      <c r="AL1033">
        <v>-1</v>
      </c>
      <c r="AM1033">
        <v>0</v>
      </c>
      <c r="AN1033">
        <v>0</v>
      </c>
      <c r="AO1033">
        <v>0</v>
      </c>
      <c r="AP1033">
        <v>1</v>
      </c>
      <c r="AQ1033" t="s">
        <v>3393</v>
      </c>
      <c r="AR1033">
        <v>1</v>
      </c>
      <c r="AS1033" t="s">
        <v>36</v>
      </c>
      <c r="AT1033" t="s">
        <v>35</v>
      </c>
      <c r="AU1033" s="4">
        <f>HYPERLINK("http://mlb.mlb.com/team/player.jsp?player_id=642546",642546)</f>
        <v>642546</v>
      </c>
      <c r="AV1033">
        <v>0</v>
      </c>
      <c r="AW1033">
        <v>0</v>
      </c>
      <c r="AX1033">
        <v>0</v>
      </c>
    </row>
    <row r="1034" spans="1:50" x14ac:dyDescent="0.3">
      <c r="A1034" s="4">
        <f>HYPERLINK("http://legacy.baseballprospectus.com/p/104002",104002)</f>
        <v>104002</v>
      </c>
      <c r="B1034" t="s">
        <v>1194</v>
      </c>
      <c r="C1034" t="s">
        <v>927</v>
      </c>
      <c r="D1034" s="10">
        <v>34949</v>
      </c>
      <c r="E1034" t="s">
        <v>33</v>
      </c>
      <c r="F1034" t="s">
        <v>33</v>
      </c>
      <c r="G1034">
        <v>76</v>
      </c>
      <c r="H1034">
        <v>170</v>
      </c>
      <c r="I1034">
        <v>2018</v>
      </c>
      <c r="J1034" s="4" t="str">
        <f>HYPERLINK("http://legacy.baseballprospectus.com/fantasy/dc/index.php?tm=MIA","MIA")</f>
        <v>MIA</v>
      </c>
      <c r="K1034" t="s">
        <v>100</v>
      </c>
      <c r="L1034" t="s">
        <v>34</v>
      </c>
      <c r="M1034">
        <v>22</v>
      </c>
      <c r="N1034">
        <v>5.8</v>
      </c>
      <c r="O1034">
        <v>8.6</v>
      </c>
      <c r="P1034">
        <v>7.3</v>
      </c>
      <c r="Q1034">
        <v>0</v>
      </c>
      <c r="R1034">
        <v>0</v>
      </c>
      <c r="S1034">
        <v>0</v>
      </c>
      <c r="T1034">
        <v>21.3</v>
      </c>
      <c r="U1034">
        <v>21.3</v>
      </c>
      <c r="V1034" s="9">
        <v>113</v>
      </c>
      <c r="W1034">
        <v>492</v>
      </c>
      <c r="X1034">
        <v>120</v>
      </c>
      <c r="Y1034">
        <v>26</v>
      </c>
      <c r="Z1034">
        <v>51</v>
      </c>
      <c r="AA1034" t="s">
        <v>1680</v>
      </c>
      <c r="AB1034">
        <v>6</v>
      </c>
      <c r="AC1034">
        <v>114</v>
      </c>
      <c r="AD1034">
        <v>4.0999999999999996</v>
      </c>
      <c r="AE1034">
        <v>9.1</v>
      </c>
      <c r="AF1034" s="5">
        <v>0.45210078358650202</v>
      </c>
      <c r="AG1034">
        <v>0.31900000000000001</v>
      </c>
      <c r="AH1034">
        <v>1.51</v>
      </c>
      <c r="AI1034">
        <v>5.66</v>
      </c>
      <c r="AJ1034">
        <v>6.4</v>
      </c>
      <c r="AK1034">
        <v>-9.1</v>
      </c>
      <c r="AL1034">
        <v>-1</v>
      </c>
      <c r="AM1034">
        <v>8</v>
      </c>
      <c r="AN1034">
        <v>9</v>
      </c>
      <c r="AO1034">
        <v>3</v>
      </c>
      <c r="AP1034">
        <v>9</v>
      </c>
      <c r="AQ1034" t="s">
        <v>3099</v>
      </c>
      <c r="AR1034">
        <v>12</v>
      </c>
      <c r="AS1034" t="s">
        <v>36</v>
      </c>
      <c r="AT1034" t="s">
        <v>35</v>
      </c>
      <c r="AU1034" s="4">
        <f>HYPERLINK("http://mlb.mlb.com/team/player.jsp?player_id=645261",645261)</f>
        <v>645261</v>
      </c>
      <c r="AV1034">
        <v>1127</v>
      </c>
      <c r="AW1034">
        <v>127</v>
      </c>
      <c r="AX1034">
        <v>8.3000000000000007</v>
      </c>
    </row>
    <row r="1035" spans="1:50" x14ac:dyDescent="0.3">
      <c r="A1035" s="4">
        <f>HYPERLINK("http://legacy.baseballprospectus.com/p/104730",104730)</f>
        <v>104730</v>
      </c>
      <c r="B1035" t="s">
        <v>1521</v>
      </c>
      <c r="C1035" t="s">
        <v>262</v>
      </c>
      <c r="D1035" s="10">
        <v>35165</v>
      </c>
      <c r="E1035" t="s">
        <v>33</v>
      </c>
      <c r="F1035" t="s">
        <v>33</v>
      </c>
      <c r="G1035">
        <v>78</v>
      </c>
      <c r="H1035">
        <v>210</v>
      </c>
      <c r="I1035">
        <v>2018</v>
      </c>
      <c r="J1035" s="4" t="str">
        <f>HYPERLINK("http://legacy.baseballprospectus.com/fantasy/dc/index.php?tm=KCA","KCA")</f>
        <v>KCA</v>
      </c>
      <c r="K1035" t="s">
        <v>95</v>
      </c>
      <c r="L1035" t="s">
        <v>34</v>
      </c>
      <c r="M1035">
        <v>22</v>
      </c>
      <c r="N1035">
        <v>5.8</v>
      </c>
      <c r="O1035">
        <v>10.3</v>
      </c>
      <c r="P1035">
        <v>6.7</v>
      </c>
      <c r="Q1035">
        <v>0</v>
      </c>
      <c r="R1035">
        <v>0</v>
      </c>
      <c r="S1035">
        <v>0</v>
      </c>
      <c r="T1035">
        <v>24</v>
      </c>
      <c r="U1035">
        <v>24</v>
      </c>
      <c r="V1035" s="9">
        <v>121</v>
      </c>
      <c r="W1035">
        <v>556</v>
      </c>
      <c r="X1035">
        <v>145</v>
      </c>
      <c r="Y1035">
        <v>29</v>
      </c>
      <c r="Z1035">
        <v>53</v>
      </c>
      <c r="AA1035" t="s">
        <v>1680</v>
      </c>
      <c r="AB1035">
        <v>4</v>
      </c>
      <c r="AC1035">
        <v>105</v>
      </c>
      <c r="AD1035">
        <v>4</v>
      </c>
      <c r="AE1035">
        <v>7.8</v>
      </c>
      <c r="AF1035" s="5">
        <v>0.42479833960533098</v>
      </c>
      <c r="AG1035">
        <v>0.318</v>
      </c>
      <c r="AH1035">
        <v>1.64</v>
      </c>
      <c r="AI1035">
        <v>6.19</v>
      </c>
      <c r="AJ1035">
        <v>6.48</v>
      </c>
      <c r="AK1035">
        <v>-9.8000000000000007</v>
      </c>
      <c r="AL1035">
        <v>-1</v>
      </c>
      <c r="AM1035">
        <v>3</v>
      </c>
      <c r="AN1035">
        <v>4</v>
      </c>
      <c r="AO1035">
        <v>0</v>
      </c>
      <c r="AP1035">
        <v>4</v>
      </c>
      <c r="AQ1035" t="s">
        <v>3221</v>
      </c>
      <c r="AR1035">
        <v>5</v>
      </c>
      <c r="AS1035" t="s">
        <v>36</v>
      </c>
      <c r="AT1035" t="s">
        <v>35</v>
      </c>
      <c r="AU1035" s="4">
        <f>HYPERLINK("http://mlb.mlb.com/team/player.jsp?player_id=656240",656240)</f>
        <v>656240</v>
      </c>
      <c r="AV1035">
        <v>0</v>
      </c>
      <c r="AW1035">
        <v>0</v>
      </c>
      <c r="AX1035">
        <v>0</v>
      </c>
    </row>
    <row r="1036" spans="1:50" x14ac:dyDescent="0.3">
      <c r="A1036" s="4">
        <f>HYPERLINK("http://legacy.baseballprospectus.com/p/105422",105422)</f>
        <v>105422</v>
      </c>
      <c r="B1036" t="s">
        <v>448</v>
      </c>
      <c r="C1036" t="s">
        <v>584</v>
      </c>
      <c r="D1036" s="10">
        <v>35223</v>
      </c>
      <c r="E1036" t="s">
        <v>33</v>
      </c>
      <c r="F1036" t="s">
        <v>9</v>
      </c>
      <c r="G1036">
        <v>75</v>
      </c>
      <c r="H1036">
        <v>245</v>
      </c>
      <c r="I1036">
        <v>2018</v>
      </c>
      <c r="J1036" s="4" t="str">
        <f>HYPERLINK("http://legacy.baseballprospectus.com/fantasy/dc/index.php?tm=ARI","ARI")</f>
        <v>ARI</v>
      </c>
      <c r="K1036" t="s">
        <v>100</v>
      </c>
      <c r="L1036" t="s">
        <v>34</v>
      </c>
      <c r="M1036">
        <v>22</v>
      </c>
      <c r="N1036">
        <v>5.9</v>
      </c>
      <c r="O1036">
        <v>8.3000000000000007</v>
      </c>
      <c r="P1036">
        <v>8.3000000000000007</v>
      </c>
      <c r="Q1036">
        <v>0</v>
      </c>
      <c r="R1036">
        <v>0</v>
      </c>
      <c r="S1036">
        <v>0</v>
      </c>
      <c r="T1036">
        <v>22.9</v>
      </c>
      <c r="U1036">
        <v>22.9</v>
      </c>
      <c r="V1036" s="9">
        <v>105.66670000000001</v>
      </c>
      <c r="W1036">
        <v>451</v>
      </c>
      <c r="X1036">
        <v>109</v>
      </c>
      <c r="Y1036">
        <v>28</v>
      </c>
      <c r="Z1036">
        <v>41</v>
      </c>
      <c r="AA1036" t="s">
        <v>1680</v>
      </c>
      <c r="AB1036">
        <v>4</v>
      </c>
      <c r="AC1036">
        <v>124</v>
      </c>
      <c r="AD1036">
        <v>3.5</v>
      </c>
      <c r="AE1036">
        <v>10.6</v>
      </c>
      <c r="AF1036" s="5">
        <v>0.35569882392883301</v>
      </c>
      <c r="AG1036">
        <v>0.32100000000000001</v>
      </c>
      <c r="AH1036">
        <v>1.42</v>
      </c>
      <c r="AI1036">
        <v>5.49</v>
      </c>
      <c r="AJ1036">
        <v>6.49</v>
      </c>
      <c r="AK1036">
        <v>-9.6</v>
      </c>
      <c r="AL1036">
        <v>-1</v>
      </c>
      <c r="AM1036">
        <v>5</v>
      </c>
      <c r="AN1036">
        <v>7</v>
      </c>
      <c r="AO1036">
        <v>5</v>
      </c>
      <c r="AP1036">
        <v>10</v>
      </c>
      <c r="AQ1036" t="s">
        <v>2601</v>
      </c>
      <c r="AR1036">
        <v>14</v>
      </c>
      <c r="AS1036" t="s">
        <v>36</v>
      </c>
      <c r="AT1036" t="s">
        <v>35</v>
      </c>
      <c r="AU1036" s="4">
        <f>HYPERLINK("http://mlb.mlb.com/team/player.jsp?player_id=656880",656880)</f>
        <v>656880</v>
      </c>
      <c r="AV1036">
        <v>1229</v>
      </c>
      <c r="AW1036">
        <v>229</v>
      </c>
      <c r="AX1036">
        <v>0</v>
      </c>
    </row>
    <row r="1037" spans="1:50" x14ac:dyDescent="0.3">
      <c r="A1037" s="4">
        <f>HYPERLINK("http://legacy.baseballprospectus.com/p/106734",106734)</f>
        <v>106734</v>
      </c>
      <c r="B1037" t="s">
        <v>598</v>
      </c>
      <c r="C1037" t="s">
        <v>337</v>
      </c>
      <c r="D1037" s="10">
        <v>34021</v>
      </c>
      <c r="E1037" t="s">
        <v>33</v>
      </c>
      <c r="F1037" t="s">
        <v>33</v>
      </c>
      <c r="G1037">
        <v>74</v>
      </c>
      <c r="H1037">
        <v>180</v>
      </c>
      <c r="I1037">
        <v>2018</v>
      </c>
      <c r="J1037" s="4" t="str">
        <f>HYPERLINK("http://legacy.baseballprospectus.com/fantasy/dc/index.php?tm=CIN","CIN")</f>
        <v>CIN</v>
      </c>
      <c r="K1037" t="s">
        <v>100</v>
      </c>
      <c r="L1037" t="s">
        <v>34</v>
      </c>
      <c r="M1037">
        <v>25</v>
      </c>
      <c r="N1037">
        <v>5.6</v>
      </c>
      <c r="O1037">
        <v>6.2</v>
      </c>
      <c r="P1037">
        <v>5.2</v>
      </c>
      <c r="Q1037">
        <v>0</v>
      </c>
      <c r="R1037">
        <v>0.9</v>
      </c>
      <c r="S1037">
        <v>0</v>
      </c>
      <c r="T1037">
        <v>41.4</v>
      </c>
      <c r="U1037">
        <v>15.2</v>
      </c>
      <c r="V1037" s="9">
        <v>106.66670000000001</v>
      </c>
      <c r="W1037">
        <v>457</v>
      </c>
      <c r="X1037">
        <v>111</v>
      </c>
      <c r="Y1037">
        <v>22</v>
      </c>
      <c r="Z1037">
        <v>49</v>
      </c>
      <c r="AA1037" t="s">
        <v>1680</v>
      </c>
      <c r="AB1037">
        <v>4</v>
      </c>
      <c r="AC1037">
        <v>92</v>
      </c>
      <c r="AD1037">
        <v>4.0999999999999996</v>
      </c>
      <c r="AE1037">
        <v>7.8</v>
      </c>
      <c r="AF1037" s="5">
        <v>0.53199034929275502</v>
      </c>
      <c r="AG1037">
        <v>0.308</v>
      </c>
      <c r="AH1037">
        <v>1.5</v>
      </c>
      <c r="AI1037">
        <v>5.65</v>
      </c>
      <c r="AJ1037">
        <v>6.1</v>
      </c>
      <c r="AK1037">
        <v>-9.5</v>
      </c>
      <c r="AL1037">
        <v>-1</v>
      </c>
      <c r="AM1037">
        <v>15</v>
      </c>
      <c r="AN1037">
        <v>18</v>
      </c>
      <c r="AO1037">
        <v>3</v>
      </c>
      <c r="AP1037">
        <v>18</v>
      </c>
      <c r="AQ1037" t="s">
        <v>3128</v>
      </c>
      <c r="AR1037">
        <v>22</v>
      </c>
      <c r="AS1037" t="s">
        <v>36</v>
      </c>
      <c r="AT1037" t="s">
        <v>35</v>
      </c>
      <c r="AU1037" s="4">
        <f>HYPERLINK("http://mlb.mlb.com/team/player.jsp?player_id=660875",660875)</f>
        <v>660875</v>
      </c>
      <c r="AV1037">
        <v>0</v>
      </c>
      <c r="AW1037">
        <v>0</v>
      </c>
      <c r="AX1037">
        <v>0</v>
      </c>
    </row>
    <row r="1038" spans="1:50" x14ac:dyDescent="0.3">
      <c r="A1038" s="4">
        <f>HYPERLINK("http://legacy.baseballprospectus.com/p/107814",107814)</f>
        <v>107814</v>
      </c>
      <c r="B1038" t="s">
        <v>348</v>
      </c>
      <c r="C1038" t="s">
        <v>136</v>
      </c>
      <c r="D1038" s="10">
        <v>35705</v>
      </c>
      <c r="E1038" t="s">
        <v>33</v>
      </c>
      <c r="F1038" t="s">
        <v>33</v>
      </c>
      <c r="G1038">
        <v>75</v>
      </c>
      <c r="H1038">
        <v>215</v>
      </c>
      <c r="I1038">
        <v>2018</v>
      </c>
      <c r="J1038" s="4" t="str">
        <f>HYPERLINK("http://legacy.baseballprospectus.com/fantasy/dc/index.php?tm=TBA","TBA")</f>
        <v>TBA</v>
      </c>
      <c r="K1038" t="s">
        <v>95</v>
      </c>
      <c r="L1038" t="s">
        <v>34</v>
      </c>
      <c r="M1038">
        <v>20</v>
      </c>
      <c r="N1038">
        <v>2.1</v>
      </c>
      <c r="O1038">
        <v>4.8</v>
      </c>
      <c r="P1038">
        <v>2.2000000000000002</v>
      </c>
      <c r="Q1038">
        <v>0</v>
      </c>
      <c r="R1038">
        <v>0</v>
      </c>
      <c r="S1038">
        <v>0</v>
      </c>
      <c r="T1038">
        <v>10.4</v>
      </c>
      <c r="U1038">
        <v>10.4</v>
      </c>
      <c r="V1038" s="9">
        <v>49.666699999999999</v>
      </c>
      <c r="W1038">
        <v>229</v>
      </c>
      <c r="X1038">
        <v>54</v>
      </c>
      <c r="Y1038">
        <v>14</v>
      </c>
      <c r="Z1038">
        <v>28</v>
      </c>
      <c r="AA1038" t="s">
        <v>1680</v>
      </c>
      <c r="AB1038">
        <v>2</v>
      </c>
      <c r="AC1038">
        <v>51</v>
      </c>
      <c r="AD1038">
        <v>5.2</v>
      </c>
      <c r="AE1038">
        <v>9.1999999999999993</v>
      </c>
      <c r="AF1038" s="5">
        <v>0.38852682709693898</v>
      </c>
      <c r="AG1038">
        <v>0.29799999999999999</v>
      </c>
      <c r="AH1038">
        <v>1.66</v>
      </c>
      <c r="AI1038">
        <v>6.71</v>
      </c>
      <c r="AJ1038">
        <v>7.44</v>
      </c>
      <c r="AK1038">
        <v>-9</v>
      </c>
      <c r="AL1038">
        <v>-1</v>
      </c>
      <c r="AM1038">
        <v>0</v>
      </c>
      <c r="AN1038">
        <v>0</v>
      </c>
      <c r="AO1038">
        <v>0</v>
      </c>
      <c r="AP1038">
        <v>0</v>
      </c>
      <c r="AQ1038" t="s">
        <v>3452</v>
      </c>
      <c r="AR1038">
        <v>0</v>
      </c>
      <c r="AS1038" t="s">
        <v>36</v>
      </c>
      <c r="AT1038" t="s">
        <v>35</v>
      </c>
      <c r="AU1038" s="4">
        <f>HYPERLINK("http://mlb.mlb.com/team/player.jsp?player_id=669140",669140)</f>
        <v>669140</v>
      </c>
      <c r="AV1038">
        <v>0</v>
      </c>
      <c r="AW1038">
        <v>0</v>
      </c>
      <c r="AX1038">
        <v>0</v>
      </c>
    </row>
    <row r="1039" spans="1:50" x14ac:dyDescent="0.3">
      <c r="A1039" s="4">
        <f>HYPERLINK("http://legacy.baseballprospectus.com/p/108187",108187)</f>
        <v>108187</v>
      </c>
      <c r="B1039" t="s">
        <v>2138</v>
      </c>
      <c r="C1039" t="s">
        <v>142</v>
      </c>
      <c r="D1039" s="10">
        <v>34488</v>
      </c>
      <c r="E1039" t="s">
        <v>33</v>
      </c>
      <c r="F1039" t="s">
        <v>33</v>
      </c>
      <c r="G1039">
        <v>78</v>
      </c>
      <c r="H1039">
        <v>220</v>
      </c>
      <c r="I1039">
        <v>2018</v>
      </c>
      <c r="J1039" s="4" t="str">
        <f>HYPERLINK("http://legacy.baseballprospectus.com/fantasy/dc/index.php?tm=TEX","TEX")</f>
        <v>TEX</v>
      </c>
      <c r="K1039" t="s">
        <v>95</v>
      </c>
      <c r="L1039" t="s">
        <v>34</v>
      </c>
      <c r="M1039">
        <v>24</v>
      </c>
      <c r="N1039">
        <v>2.2000000000000002</v>
      </c>
      <c r="O1039">
        <v>5.3</v>
      </c>
      <c r="P1039">
        <v>1.7</v>
      </c>
      <c r="Q1039">
        <v>0</v>
      </c>
      <c r="R1039">
        <v>0</v>
      </c>
      <c r="S1039">
        <v>0</v>
      </c>
      <c r="T1039">
        <v>12.7</v>
      </c>
      <c r="U1039">
        <v>12.7</v>
      </c>
      <c r="V1039" s="9">
        <v>49</v>
      </c>
      <c r="W1039">
        <v>235</v>
      </c>
      <c r="X1039">
        <v>63</v>
      </c>
      <c r="Y1039">
        <v>14</v>
      </c>
      <c r="Z1039">
        <v>25</v>
      </c>
      <c r="AA1039" t="s">
        <v>1680</v>
      </c>
      <c r="AB1039">
        <v>6</v>
      </c>
      <c r="AC1039">
        <v>36</v>
      </c>
      <c r="AD1039">
        <v>4.5999999999999996</v>
      </c>
      <c r="AE1039">
        <v>6.7</v>
      </c>
      <c r="AF1039" s="5">
        <v>0.44842275977134699</v>
      </c>
      <c r="AG1039">
        <v>0.316</v>
      </c>
      <c r="AH1039">
        <v>1.79</v>
      </c>
      <c r="AI1039">
        <v>7.4</v>
      </c>
      <c r="AJ1039">
        <v>7.56</v>
      </c>
      <c r="AK1039">
        <v>-9.4</v>
      </c>
      <c r="AL1039">
        <v>-1</v>
      </c>
      <c r="AM1039">
        <v>0</v>
      </c>
      <c r="AN1039">
        <v>0</v>
      </c>
      <c r="AO1039">
        <v>1</v>
      </c>
      <c r="AP1039">
        <v>1</v>
      </c>
      <c r="AQ1039" t="s">
        <v>3454</v>
      </c>
      <c r="AR1039">
        <v>1</v>
      </c>
      <c r="AS1039" t="s">
        <v>36</v>
      </c>
      <c r="AT1039" t="s">
        <v>35</v>
      </c>
      <c r="AU1039" s="4">
        <f>HYPERLINK("http://mlb.mlb.com/team/player.jsp?player_id=664055",664055)</f>
        <v>664055</v>
      </c>
      <c r="AV1039">
        <v>705</v>
      </c>
      <c r="AW1039">
        <v>1705</v>
      </c>
      <c r="AX1039">
        <v>0</v>
      </c>
    </row>
    <row r="1040" spans="1:50" x14ac:dyDescent="0.3">
      <c r="A1040" s="4">
        <f>HYPERLINK("http://legacy.baseballprospectus.com/p/108272",108272)</f>
        <v>108272</v>
      </c>
      <c r="B1040" t="s">
        <v>2071</v>
      </c>
      <c r="C1040" t="s">
        <v>182</v>
      </c>
      <c r="D1040" s="10">
        <v>35710</v>
      </c>
      <c r="E1040" t="s">
        <v>33</v>
      </c>
      <c r="F1040" t="s">
        <v>9</v>
      </c>
      <c r="G1040">
        <v>78</v>
      </c>
      <c r="H1040">
        <v>225</v>
      </c>
      <c r="I1040">
        <v>2018</v>
      </c>
      <c r="J1040" s="4" t="str">
        <f>HYPERLINK("http://legacy.baseballprospectus.com/fantasy/dc/index.php?tm=ATL","ATL")</f>
        <v>ATL</v>
      </c>
      <c r="K1040" t="s">
        <v>100</v>
      </c>
      <c r="L1040" t="s">
        <v>34</v>
      </c>
      <c r="M1040">
        <v>20</v>
      </c>
      <c r="N1040">
        <v>1.5</v>
      </c>
      <c r="O1040">
        <v>3.9</v>
      </c>
      <c r="P1040">
        <v>1.5</v>
      </c>
      <c r="Q1040">
        <v>0</v>
      </c>
      <c r="R1040">
        <v>0</v>
      </c>
      <c r="S1040">
        <v>0</v>
      </c>
      <c r="T1040">
        <v>9.1999999999999993</v>
      </c>
      <c r="U1040">
        <v>9.1999999999999993</v>
      </c>
      <c r="V1040" s="9">
        <v>35.666699999999999</v>
      </c>
      <c r="W1040">
        <v>164</v>
      </c>
      <c r="X1040">
        <v>42</v>
      </c>
      <c r="Y1040">
        <v>12</v>
      </c>
      <c r="Z1040">
        <v>21</v>
      </c>
      <c r="AA1040" t="s">
        <v>1680</v>
      </c>
      <c r="AB1040">
        <v>1</v>
      </c>
      <c r="AC1040">
        <v>38</v>
      </c>
      <c r="AD1040">
        <v>5.3</v>
      </c>
      <c r="AE1040">
        <v>9.5</v>
      </c>
      <c r="AF1040" s="5">
        <v>0.44480139017105103</v>
      </c>
      <c r="AG1040">
        <v>0.32900000000000001</v>
      </c>
      <c r="AH1040">
        <v>1.76</v>
      </c>
      <c r="AI1040">
        <v>7.11</v>
      </c>
      <c r="AJ1040">
        <v>8.18</v>
      </c>
      <c r="AK1040">
        <v>-9.5</v>
      </c>
      <c r="AL1040">
        <v>-1</v>
      </c>
      <c r="AM1040">
        <v>0</v>
      </c>
      <c r="AN1040">
        <v>0</v>
      </c>
      <c r="AO1040">
        <v>0</v>
      </c>
      <c r="AP1040">
        <v>1</v>
      </c>
      <c r="AQ1040" t="s">
        <v>3455</v>
      </c>
      <c r="AR1040">
        <v>1</v>
      </c>
      <c r="AS1040" t="s">
        <v>36</v>
      </c>
      <c r="AT1040" t="s">
        <v>35</v>
      </c>
      <c r="AU1040" s="4">
        <f>HYPERLINK("http://mlb.mlb.com/team/player.jsp?player_id=666205",666205)</f>
        <v>666205</v>
      </c>
      <c r="AV1040">
        <v>1160</v>
      </c>
      <c r="AW1040">
        <v>160</v>
      </c>
      <c r="AX1040">
        <v>0</v>
      </c>
    </row>
    <row r="1041" spans="1:50" x14ac:dyDescent="0.3">
      <c r="A1041" s="4">
        <f>HYPERLINK("http://legacy.baseballprospectus.com/p/109066",109066)</f>
        <v>109066</v>
      </c>
      <c r="B1041" t="s">
        <v>2122</v>
      </c>
      <c r="C1041" t="s">
        <v>584</v>
      </c>
      <c r="D1041" s="10">
        <v>34869</v>
      </c>
      <c r="E1041" t="s">
        <v>33</v>
      </c>
      <c r="F1041" t="s">
        <v>33</v>
      </c>
      <c r="G1041">
        <v>75</v>
      </c>
      <c r="H1041">
        <v>190</v>
      </c>
      <c r="I1041">
        <v>2018</v>
      </c>
      <c r="J1041" s="4" t="str">
        <f>HYPERLINK("http://legacy.baseballprospectus.com/fantasy/dc/index.php?tm=BAL","BAL")</f>
        <v>BAL</v>
      </c>
      <c r="K1041" t="s">
        <v>95</v>
      </c>
      <c r="L1041" t="s">
        <v>34</v>
      </c>
      <c r="M1041">
        <v>23</v>
      </c>
      <c r="N1041">
        <v>3.2</v>
      </c>
      <c r="O1041">
        <v>6.6</v>
      </c>
      <c r="P1041">
        <v>3.3</v>
      </c>
      <c r="Q1041">
        <v>0</v>
      </c>
      <c r="R1041">
        <v>0</v>
      </c>
      <c r="S1041">
        <v>0</v>
      </c>
      <c r="T1041">
        <v>16.100000000000001</v>
      </c>
      <c r="U1041">
        <v>16.100000000000001</v>
      </c>
      <c r="V1041" s="9">
        <v>67.333299999999994</v>
      </c>
      <c r="W1041">
        <v>316</v>
      </c>
      <c r="X1041">
        <v>84</v>
      </c>
      <c r="Y1041">
        <v>19</v>
      </c>
      <c r="Z1041">
        <v>34</v>
      </c>
      <c r="AA1041" t="s">
        <v>1680</v>
      </c>
      <c r="AB1041">
        <v>1</v>
      </c>
      <c r="AC1041">
        <v>57</v>
      </c>
      <c r="AD1041">
        <v>4.5999999999999996</v>
      </c>
      <c r="AE1041">
        <v>7.6</v>
      </c>
      <c r="AF1041" s="5">
        <v>0.45717164874076799</v>
      </c>
      <c r="AG1041">
        <v>0.317</v>
      </c>
      <c r="AH1041">
        <v>1.75</v>
      </c>
      <c r="AI1041">
        <v>6.89</v>
      </c>
      <c r="AJ1041">
        <v>7.03</v>
      </c>
      <c r="AK1041">
        <v>-9.3000000000000007</v>
      </c>
      <c r="AL1041">
        <v>-1</v>
      </c>
      <c r="AM1041">
        <v>3</v>
      </c>
      <c r="AN1041">
        <v>6</v>
      </c>
      <c r="AO1041">
        <v>0</v>
      </c>
      <c r="AP1041">
        <v>1</v>
      </c>
      <c r="AQ1041" t="s">
        <v>3435</v>
      </c>
      <c r="AR1041">
        <v>7</v>
      </c>
      <c r="AS1041" t="s">
        <v>36</v>
      </c>
      <c r="AT1041" t="s">
        <v>35</v>
      </c>
      <c r="AU1041" s="4">
        <f>HYPERLINK("http://mlb.mlb.com/team/player.jsp?player_id=642060",642060)</f>
        <v>642060</v>
      </c>
      <c r="AV1041">
        <v>143</v>
      </c>
      <c r="AW1041">
        <v>1143</v>
      </c>
      <c r="AX1041">
        <v>0</v>
      </c>
    </row>
    <row r="1042" spans="1:50" x14ac:dyDescent="0.3">
      <c r="A1042" s="4">
        <f>HYPERLINK("http://legacy.baseballprospectus.com/p/109125",109125)</f>
        <v>109125</v>
      </c>
      <c r="B1042" t="s">
        <v>3363</v>
      </c>
      <c r="C1042" t="s">
        <v>167</v>
      </c>
      <c r="D1042" s="10">
        <v>36218</v>
      </c>
      <c r="E1042" t="s">
        <v>9</v>
      </c>
      <c r="F1042" t="s">
        <v>9</v>
      </c>
      <c r="G1042">
        <v>72</v>
      </c>
      <c r="H1042">
        <v>165</v>
      </c>
      <c r="I1042">
        <v>2018</v>
      </c>
      <c r="J1042" s="4" t="str">
        <f>HYPERLINK("http://legacy.baseballprospectus.com/fantasy/dc/index.php?tm=SDN","SDN")</f>
        <v>SDN</v>
      </c>
      <c r="K1042" t="s">
        <v>100</v>
      </c>
      <c r="L1042" t="s">
        <v>34</v>
      </c>
      <c r="M1042">
        <v>19</v>
      </c>
      <c r="N1042">
        <v>1.7</v>
      </c>
      <c r="O1042">
        <v>4.2</v>
      </c>
      <c r="P1042">
        <v>1.9</v>
      </c>
      <c r="Q1042">
        <v>0</v>
      </c>
      <c r="R1042">
        <v>0</v>
      </c>
      <c r="S1042">
        <v>0</v>
      </c>
      <c r="T1042">
        <v>8.8000000000000007</v>
      </c>
      <c r="U1042">
        <v>8.8000000000000007</v>
      </c>
      <c r="V1042" s="9">
        <v>43</v>
      </c>
      <c r="W1042">
        <v>188</v>
      </c>
      <c r="X1042">
        <v>49</v>
      </c>
      <c r="Y1042">
        <v>14</v>
      </c>
      <c r="Z1042">
        <v>19</v>
      </c>
      <c r="AA1042" t="s">
        <v>1680</v>
      </c>
      <c r="AB1042">
        <v>1</v>
      </c>
      <c r="AC1042">
        <v>43</v>
      </c>
      <c r="AD1042">
        <v>4</v>
      </c>
      <c r="AE1042">
        <v>9</v>
      </c>
      <c r="AF1042" s="5">
        <v>0.34162998199462802</v>
      </c>
      <c r="AG1042">
        <v>0.317</v>
      </c>
      <c r="AH1042">
        <v>1.58</v>
      </c>
      <c r="AI1042">
        <v>6.73</v>
      </c>
      <c r="AJ1042">
        <v>7.81</v>
      </c>
      <c r="AK1042">
        <v>-9.8000000000000007</v>
      </c>
      <c r="AL1042">
        <v>-1</v>
      </c>
      <c r="AM1042">
        <v>0</v>
      </c>
      <c r="AN1042">
        <v>0</v>
      </c>
      <c r="AO1042">
        <v>0</v>
      </c>
      <c r="AP1042">
        <v>0</v>
      </c>
      <c r="AQ1042" t="s">
        <v>3364</v>
      </c>
      <c r="AR1042">
        <v>0</v>
      </c>
      <c r="AS1042" t="s">
        <v>36</v>
      </c>
      <c r="AT1042" t="s">
        <v>35</v>
      </c>
      <c r="AU1042" s="4">
        <f>HYPERLINK("http://mlb.mlb.com/team/player.jsp?player_id=670970",670970)</f>
        <v>670970</v>
      </c>
      <c r="AV1042">
        <v>1208</v>
      </c>
      <c r="AW1042">
        <v>208</v>
      </c>
      <c r="AX1042">
        <v>0</v>
      </c>
    </row>
    <row r="1043" spans="1:50" x14ac:dyDescent="0.3">
      <c r="A1043" s="4">
        <f>HYPERLINK("http://legacy.baseballprospectus.com/p/56987",56987)</f>
        <v>56987</v>
      </c>
      <c r="B1043" t="s">
        <v>988</v>
      </c>
      <c r="C1043" t="s">
        <v>808</v>
      </c>
      <c r="D1043" s="10">
        <v>30924</v>
      </c>
      <c r="E1043" t="s">
        <v>33</v>
      </c>
      <c r="F1043" t="s">
        <v>33</v>
      </c>
      <c r="G1043">
        <v>74</v>
      </c>
      <c r="H1043">
        <v>215</v>
      </c>
      <c r="I1043">
        <v>2018</v>
      </c>
      <c r="J1043" s="4" t="str">
        <f>HYPERLINK("http://legacy.baseballprospectus.com/fantasy/dc/index.php?tm=BOS","BOS")</f>
        <v>BOS</v>
      </c>
      <c r="K1043" t="s">
        <v>95</v>
      </c>
      <c r="L1043" t="s">
        <v>34</v>
      </c>
      <c r="M1043">
        <v>33</v>
      </c>
      <c r="N1043">
        <v>6.4</v>
      </c>
      <c r="O1043">
        <v>8</v>
      </c>
      <c r="P1043">
        <v>6</v>
      </c>
      <c r="Q1043">
        <v>0</v>
      </c>
      <c r="R1043">
        <v>0</v>
      </c>
      <c r="S1043">
        <v>0</v>
      </c>
      <c r="T1043">
        <v>19</v>
      </c>
      <c r="U1043">
        <v>19</v>
      </c>
      <c r="V1043" s="9">
        <v>114</v>
      </c>
      <c r="W1043">
        <v>518</v>
      </c>
      <c r="X1043">
        <v>131</v>
      </c>
      <c r="Y1043">
        <v>22</v>
      </c>
      <c r="Z1043">
        <v>48</v>
      </c>
      <c r="AA1043">
        <v>2</v>
      </c>
      <c r="AB1043">
        <v>7</v>
      </c>
      <c r="AC1043">
        <v>77</v>
      </c>
      <c r="AD1043">
        <v>3.8</v>
      </c>
      <c r="AE1043">
        <v>6</v>
      </c>
      <c r="AF1043" s="5">
        <v>0.44400000000000001</v>
      </c>
      <c r="AG1043">
        <v>0.29799999999999999</v>
      </c>
      <c r="AH1043">
        <v>1.58</v>
      </c>
      <c r="AI1043">
        <v>5.6</v>
      </c>
      <c r="AJ1043">
        <v>6.36</v>
      </c>
      <c r="AK1043">
        <v>-9.8000000000000007</v>
      </c>
      <c r="AL1043">
        <v>-1.1000000000000001</v>
      </c>
      <c r="AM1043">
        <v>16</v>
      </c>
      <c r="AN1043">
        <v>38</v>
      </c>
      <c r="AO1043">
        <v>17</v>
      </c>
      <c r="AP1043">
        <v>7</v>
      </c>
      <c r="AQ1043" t="s">
        <v>3427</v>
      </c>
      <c r="AR1043">
        <v>79</v>
      </c>
      <c r="AS1043" t="s">
        <v>35</v>
      </c>
      <c r="AT1043" t="s">
        <v>36</v>
      </c>
      <c r="AU1043" s="4">
        <f>HYPERLINK("http://mlb.mlb.com/team/player.jsp?player_id=453214",453214)</f>
        <v>453214</v>
      </c>
      <c r="AV1043">
        <v>101</v>
      </c>
      <c r="AW1043">
        <v>1101</v>
      </c>
      <c r="AX1043">
        <v>24</v>
      </c>
    </row>
    <row r="1044" spans="1:50" x14ac:dyDescent="0.3">
      <c r="A1044" s="4">
        <f>HYPERLINK("http://legacy.baseballprospectus.com/p/70676",70676)</f>
        <v>70676</v>
      </c>
      <c r="B1044" t="s">
        <v>3281</v>
      </c>
      <c r="C1044" t="s">
        <v>304</v>
      </c>
      <c r="D1044" s="10">
        <v>33280</v>
      </c>
      <c r="E1044" t="s">
        <v>33</v>
      </c>
      <c r="F1044" t="s">
        <v>33</v>
      </c>
      <c r="G1044">
        <v>72</v>
      </c>
      <c r="H1044">
        <v>185</v>
      </c>
      <c r="I1044">
        <v>2018</v>
      </c>
      <c r="J1044" s="4" t="str">
        <f>HYPERLINK("http://legacy.baseballprospectus.com/fantasy/dc/index.php?tm=TOR","TOR")</f>
        <v>TOR</v>
      </c>
      <c r="K1044" t="s">
        <v>95</v>
      </c>
      <c r="L1044" t="s">
        <v>34</v>
      </c>
      <c r="M1044">
        <v>27</v>
      </c>
      <c r="N1044">
        <v>5.0999999999999996</v>
      </c>
      <c r="O1044">
        <v>7.4</v>
      </c>
      <c r="P1044">
        <v>5</v>
      </c>
      <c r="Q1044">
        <v>0</v>
      </c>
      <c r="R1044">
        <v>0.4</v>
      </c>
      <c r="S1044">
        <v>0</v>
      </c>
      <c r="T1044">
        <v>33.4</v>
      </c>
      <c r="U1044">
        <v>17.2</v>
      </c>
      <c r="V1044" s="9">
        <v>105.66670000000001</v>
      </c>
      <c r="W1044">
        <v>472</v>
      </c>
      <c r="X1044">
        <v>116</v>
      </c>
      <c r="Y1044">
        <v>25</v>
      </c>
      <c r="Z1044">
        <v>44</v>
      </c>
      <c r="AA1044" t="s">
        <v>1680</v>
      </c>
      <c r="AB1044">
        <v>4</v>
      </c>
      <c r="AC1044">
        <v>92</v>
      </c>
      <c r="AD1044">
        <v>3.7</v>
      </c>
      <c r="AE1044">
        <v>7.8</v>
      </c>
      <c r="AF1044" s="5">
        <v>0.37410849332809398</v>
      </c>
      <c r="AG1044">
        <v>0.29599999999999999</v>
      </c>
      <c r="AH1044">
        <v>1.51</v>
      </c>
      <c r="AI1044">
        <v>6.06</v>
      </c>
      <c r="AJ1044">
        <v>6.38</v>
      </c>
      <c r="AK1044">
        <v>-9.9</v>
      </c>
      <c r="AL1044">
        <v>-1.1000000000000001</v>
      </c>
      <c r="AM1044">
        <v>8</v>
      </c>
      <c r="AN1044">
        <v>12</v>
      </c>
      <c r="AO1044">
        <v>6</v>
      </c>
      <c r="AP1044">
        <v>15</v>
      </c>
      <c r="AQ1044" t="s">
        <v>3282</v>
      </c>
      <c r="AR1044">
        <v>22</v>
      </c>
      <c r="AS1044" t="s">
        <v>36</v>
      </c>
      <c r="AT1044" t="s">
        <v>35</v>
      </c>
      <c r="AU1044" s="4">
        <f>HYPERLINK("http://mlb.mlb.com/team/player.jsp?player_id=608601",608601)</f>
        <v>608601</v>
      </c>
      <c r="AV1044">
        <v>0</v>
      </c>
      <c r="AW1044">
        <v>0</v>
      </c>
      <c r="AX1044">
        <v>16.7</v>
      </c>
    </row>
    <row r="1045" spans="1:50" x14ac:dyDescent="0.3">
      <c r="A1045" s="4">
        <f>HYPERLINK("http://legacy.baseballprospectus.com/p/101639",101639)</f>
        <v>101639</v>
      </c>
      <c r="B1045" t="s">
        <v>665</v>
      </c>
      <c r="C1045" t="s">
        <v>2094</v>
      </c>
      <c r="D1045" s="10">
        <v>34771</v>
      </c>
      <c r="E1045" t="s">
        <v>33</v>
      </c>
      <c r="F1045" t="s">
        <v>33</v>
      </c>
      <c r="G1045">
        <v>72</v>
      </c>
      <c r="H1045">
        <v>193</v>
      </c>
      <c r="I1045">
        <v>2018</v>
      </c>
      <c r="J1045" s="4" t="str">
        <f>HYPERLINK("http://legacy.baseballprospectus.com/fantasy/dc/index.php?tm=CHN","CHN")</f>
        <v>CHN</v>
      </c>
      <c r="K1045" t="s">
        <v>100</v>
      </c>
      <c r="L1045" t="s">
        <v>34</v>
      </c>
      <c r="M1045">
        <v>23</v>
      </c>
      <c r="N1045">
        <v>1.5</v>
      </c>
      <c r="O1045">
        <v>0.8</v>
      </c>
      <c r="P1045">
        <v>0.3</v>
      </c>
      <c r="Q1045">
        <v>0</v>
      </c>
      <c r="R1045">
        <v>0.9</v>
      </c>
      <c r="S1045">
        <v>0</v>
      </c>
      <c r="T1045">
        <v>28.6</v>
      </c>
      <c r="U1045">
        <v>1.1000000000000001</v>
      </c>
      <c r="V1045" s="9">
        <v>34.666699999999999</v>
      </c>
      <c r="W1045">
        <v>150</v>
      </c>
      <c r="X1045">
        <v>38</v>
      </c>
      <c r="Y1045">
        <v>11</v>
      </c>
      <c r="Z1045">
        <v>15</v>
      </c>
      <c r="AA1045" t="s">
        <v>1680</v>
      </c>
      <c r="AB1045">
        <v>1</v>
      </c>
      <c r="AC1045">
        <v>36</v>
      </c>
      <c r="AD1045">
        <v>3.8</v>
      </c>
      <c r="AE1045">
        <v>9.5</v>
      </c>
      <c r="AF1045" s="5">
        <v>0.35846033692359902</v>
      </c>
      <c r="AG1045">
        <v>0.31900000000000001</v>
      </c>
      <c r="AH1045">
        <v>1.54</v>
      </c>
      <c r="AI1045">
        <v>6.37</v>
      </c>
      <c r="AJ1045">
        <v>7.04</v>
      </c>
      <c r="AK1045">
        <v>-10</v>
      </c>
      <c r="AL1045">
        <v>-1.1000000000000001</v>
      </c>
      <c r="AM1045">
        <v>0</v>
      </c>
      <c r="AN1045">
        <v>0</v>
      </c>
      <c r="AO1045">
        <v>0</v>
      </c>
      <c r="AP1045">
        <v>0</v>
      </c>
      <c r="AQ1045" t="s">
        <v>3442</v>
      </c>
      <c r="AR1045">
        <v>0</v>
      </c>
      <c r="AS1045" t="s">
        <v>36</v>
      </c>
      <c r="AT1045" t="s">
        <v>35</v>
      </c>
      <c r="AU1045" s="4">
        <f>HYPERLINK("http://mlb.mlb.com/team/player.jsp?player_id=624522",624522)</f>
        <v>624522</v>
      </c>
      <c r="AV1045">
        <v>0</v>
      </c>
      <c r="AW1045">
        <v>0</v>
      </c>
      <c r="AX1045">
        <v>0</v>
      </c>
    </row>
    <row r="1046" spans="1:50" x14ac:dyDescent="0.3">
      <c r="A1046" s="4">
        <f>HYPERLINK("http://legacy.baseballprospectus.com/p/102491",102491)</f>
        <v>102491</v>
      </c>
      <c r="B1046" t="s">
        <v>482</v>
      </c>
      <c r="C1046" t="s">
        <v>618</v>
      </c>
      <c r="D1046" s="10">
        <v>35131</v>
      </c>
      <c r="E1046" t="s">
        <v>33</v>
      </c>
      <c r="F1046" t="s">
        <v>33</v>
      </c>
      <c r="G1046">
        <v>75</v>
      </c>
      <c r="H1046">
        <v>200</v>
      </c>
      <c r="I1046">
        <v>2018</v>
      </c>
      <c r="J1046" s="4" t="str">
        <f>HYPERLINK("http://legacy.baseballprospectus.com/fantasy/dc/index.php?tm=MIA","MIA")</f>
        <v>MIA</v>
      </c>
      <c r="K1046" t="s">
        <v>100</v>
      </c>
      <c r="L1046" t="s">
        <v>34</v>
      </c>
      <c r="M1046">
        <v>22</v>
      </c>
      <c r="N1046">
        <v>5.8</v>
      </c>
      <c r="O1046">
        <v>6.9</v>
      </c>
      <c r="P1046">
        <v>6.3</v>
      </c>
      <c r="Q1046">
        <v>0</v>
      </c>
      <c r="R1046">
        <v>0.8</v>
      </c>
      <c r="S1046">
        <v>0</v>
      </c>
      <c r="T1046">
        <v>39.200000000000003</v>
      </c>
      <c r="U1046">
        <v>17</v>
      </c>
      <c r="V1046" s="9">
        <v>113</v>
      </c>
      <c r="W1046">
        <v>480</v>
      </c>
      <c r="X1046">
        <v>125</v>
      </c>
      <c r="Y1046">
        <v>25</v>
      </c>
      <c r="Z1046">
        <v>35</v>
      </c>
      <c r="AA1046" t="s">
        <v>1680</v>
      </c>
      <c r="AB1046">
        <v>3</v>
      </c>
      <c r="AC1046">
        <v>96</v>
      </c>
      <c r="AD1046">
        <v>2.8</v>
      </c>
      <c r="AE1046">
        <v>7.7</v>
      </c>
      <c r="AF1046" s="5">
        <v>0.47024562954902599</v>
      </c>
      <c r="AG1046">
        <v>0.314</v>
      </c>
      <c r="AH1046">
        <v>1.43</v>
      </c>
      <c r="AI1046">
        <v>5.39</v>
      </c>
      <c r="AJ1046">
        <v>6.09</v>
      </c>
      <c r="AK1046">
        <v>-10.199999999999999</v>
      </c>
      <c r="AL1046">
        <v>-1.1000000000000001</v>
      </c>
      <c r="AM1046">
        <v>10</v>
      </c>
      <c r="AN1046">
        <v>18</v>
      </c>
      <c r="AO1046">
        <v>5</v>
      </c>
      <c r="AP1046">
        <v>15</v>
      </c>
      <c r="AQ1046" t="s">
        <v>2387</v>
      </c>
      <c r="AR1046">
        <v>26</v>
      </c>
      <c r="AS1046" t="s">
        <v>36</v>
      </c>
      <c r="AT1046" t="s">
        <v>35</v>
      </c>
      <c r="AU1046" s="4">
        <f>HYPERLINK("http://mlb.mlb.com/team/player.jsp?player_id=641154",641154)</f>
        <v>641154</v>
      </c>
      <c r="AV1046">
        <v>0</v>
      </c>
      <c r="AW1046">
        <v>0</v>
      </c>
      <c r="AX1046">
        <v>0</v>
      </c>
    </row>
    <row r="1047" spans="1:50" x14ac:dyDescent="0.3">
      <c r="A1047" s="4">
        <f>HYPERLINK("http://legacy.baseballprospectus.com/p/103196",103196)</f>
        <v>103196</v>
      </c>
      <c r="B1047" t="s">
        <v>620</v>
      </c>
      <c r="C1047" t="s">
        <v>2957</v>
      </c>
      <c r="D1047" s="10">
        <v>35167</v>
      </c>
      <c r="E1047" t="s">
        <v>33</v>
      </c>
      <c r="F1047" t="s">
        <v>33</v>
      </c>
      <c r="G1047">
        <v>74</v>
      </c>
      <c r="H1047">
        <v>160</v>
      </c>
      <c r="I1047">
        <v>2018</v>
      </c>
      <c r="J1047" s="4" t="str">
        <f>HYPERLINK("http://legacy.baseballprospectus.com/fantasy/dc/index.php?tm=LAN","LAN")</f>
        <v>LAN</v>
      </c>
      <c r="K1047" t="s">
        <v>100</v>
      </c>
      <c r="L1047" t="s">
        <v>34</v>
      </c>
      <c r="M1047">
        <v>22</v>
      </c>
      <c r="N1047">
        <v>5.8</v>
      </c>
      <c r="O1047">
        <v>5.5</v>
      </c>
      <c r="P1047">
        <v>5.9</v>
      </c>
      <c r="Q1047">
        <v>0</v>
      </c>
      <c r="R1047">
        <v>1.2</v>
      </c>
      <c r="S1047">
        <v>0</v>
      </c>
      <c r="T1047">
        <v>46.1</v>
      </c>
      <c r="U1047">
        <v>15.3</v>
      </c>
      <c r="V1047" s="9">
        <v>102.66670000000001</v>
      </c>
      <c r="W1047">
        <v>439</v>
      </c>
      <c r="X1047">
        <v>97</v>
      </c>
      <c r="Y1047">
        <v>22</v>
      </c>
      <c r="Z1047">
        <v>50</v>
      </c>
      <c r="AA1047" t="s">
        <v>1680</v>
      </c>
      <c r="AB1047">
        <v>5</v>
      </c>
      <c r="AC1047">
        <v>116</v>
      </c>
      <c r="AD1047">
        <v>4.4000000000000004</v>
      </c>
      <c r="AE1047">
        <v>10.199999999999999</v>
      </c>
      <c r="AF1047" s="5">
        <v>0.48296231031417802</v>
      </c>
      <c r="AG1047">
        <v>0.30599999999999999</v>
      </c>
      <c r="AH1047">
        <v>1.44</v>
      </c>
      <c r="AI1047">
        <v>5.25</v>
      </c>
      <c r="AJ1047">
        <v>6.08</v>
      </c>
      <c r="AK1047">
        <v>-10.5</v>
      </c>
      <c r="AL1047">
        <v>-1.1000000000000001</v>
      </c>
      <c r="AM1047">
        <v>11</v>
      </c>
      <c r="AN1047">
        <v>14</v>
      </c>
      <c r="AO1047">
        <v>2</v>
      </c>
      <c r="AP1047">
        <v>10</v>
      </c>
      <c r="AQ1047" t="s">
        <v>2958</v>
      </c>
      <c r="AR1047">
        <v>16</v>
      </c>
      <c r="AS1047" t="s">
        <v>36</v>
      </c>
      <c r="AT1047" t="s">
        <v>35</v>
      </c>
      <c r="AU1047" s="4">
        <f>HYPERLINK("http://mlb.mlb.com/team/player.jsp?player_id=642701",642701)</f>
        <v>642701</v>
      </c>
      <c r="AV1047">
        <v>1178</v>
      </c>
      <c r="AW1047">
        <v>178</v>
      </c>
      <c r="AX1047">
        <v>0</v>
      </c>
    </row>
    <row r="1048" spans="1:50" x14ac:dyDescent="0.3">
      <c r="A1048" s="4">
        <f>HYPERLINK("http://legacy.baseballprospectus.com/p/103722",103722)</f>
        <v>103722</v>
      </c>
      <c r="B1048" t="s">
        <v>616</v>
      </c>
      <c r="C1048" t="s">
        <v>1410</v>
      </c>
      <c r="D1048" s="10">
        <v>35531</v>
      </c>
      <c r="E1048" t="s">
        <v>9</v>
      </c>
      <c r="F1048" t="s">
        <v>9</v>
      </c>
      <c r="G1048">
        <v>71</v>
      </c>
      <c r="H1048">
        <v>170</v>
      </c>
      <c r="I1048">
        <v>2018</v>
      </c>
      <c r="J1048" s="4" t="str">
        <f>HYPERLINK("http://legacy.baseballprospectus.com/fantasy/dc/index.php?tm=ATL","ATL")</f>
        <v>ATL</v>
      </c>
      <c r="K1048" t="s">
        <v>100</v>
      </c>
      <c r="L1048" t="s">
        <v>34</v>
      </c>
      <c r="M1048">
        <v>21</v>
      </c>
      <c r="N1048">
        <v>4.7</v>
      </c>
      <c r="O1048">
        <v>7.8</v>
      </c>
      <c r="P1048">
        <v>6.4</v>
      </c>
      <c r="Q1048">
        <v>0</v>
      </c>
      <c r="R1048">
        <v>0</v>
      </c>
      <c r="S1048">
        <v>0</v>
      </c>
      <c r="T1048">
        <v>20.3</v>
      </c>
      <c r="U1048">
        <v>20.3</v>
      </c>
      <c r="V1048" s="9">
        <v>91</v>
      </c>
      <c r="W1048">
        <v>406</v>
      </c>
      <c r="X1048">
        <v>102</v>
      </c>
      <c r="Y1048">
        <v>22</v>
      </c>
      <c r="Z1048">
        <v>46</v>
      </c>
      <c r="AA1048" t="s">
        <v>1680</v>
      </c>
      <c r="AB1048">
        <v>2</v>
      </c>
      <c r="AC1048">
        <v>91</v>
      </c>
      <c r="AD1048">
        <v>4.5999999999999996</v>
      </c>
      <c r="AE1048">
        <v>9</v>
      </c>
      <c r="AF1048" s="5">
        <v>0.395052939653396</v>
      </c>
      <c r="AG1048">
        <v>0.33</v>
      </c>
      <c r="AH1048">
        <v>1.63</v>
      </c>
      <c r="AI1048">
        <v>5.84</v>
      </c>
      <c r="AJ1048">
        <v>6.74</v>
      </c>
      <c r="AK1048">
        <v>-10.6</v>
      </c>
      <c r="AL1048">
        <v>-1.1000000000000001</v>
      </c>
      <c r="AM1048">
        <v>0</v>
      </c>
      <c r="AN1048">
        <v>0</v>
      </c>
      <c r="AO1048">
        <v>0</v>
      </c>
      <c r="AP1048">
        <v>0</v>
      </c>
      <c r="AQ1048" t="s">
        <v>3414</v>
      </c>
      <c r="AR1048">
        <v>0</v>
      </c>
      <c r="AS1048" t="s">
        <v>36</v>
      </c>
      <c r="AT1048" t="s">
        <v>35</v>
      </c>
      <c r="AU1048" s="4">
        <f>HYPERLINK("http://mlb.mlb.com/team/player.jsp?player_id=645307",645307)</f>
        <v>645307</v>
      </c>
      <c r="AV1048">
        <v>1162</v>
      </c>
      <c r="AW1048">
        <v>162</v>
      </c>
      <c r="AX1048">
        <v>0</v>
      </c>
    </row>
    <row r="1049" spans="1:50" x14ac:dyDescent="0.3">
      <c r="A1049" s="4">
        <f>HYPERLINK("http://legacy.baseballprospectus.com/p/105321",105321)</f>
        <v>105321</v>
      </c>
      <c r="B1049" t="s">
        <v>875</v>
      </c>
      <c r="C1049" t="s">
        <v>1697</v>
      </c>
      <c r="D1049" s="10">
        <v>35417</v>
      </c>
      <c r="E1049" t="s">
        <v>33</v>
      </c>
      <c r="F1049" t="s">
        <v>33</v>
      </c>
      <c r="G1049">
        <v>73</v>
      </c>
      <c r="H1049">
        <v>185</v>
      </c>
      <c r="I1049">
        <v>2018</v>
      </c>
      <c r="J1049" s="4" t="str">
        <f>HYPERLINK("http://legacy.baseballprospectus.com/fantasy/dc/index.php?tm=PHI","PHI")</f>
        <v>PHI</v>
      </c>
      <c r="K1049" t="s">
        <v>100</v>
      </c>
      <c r="L1049" t="s">
        <v>34</v>
      </c>
      <c r="M1049">
        <v>21</v>
      </c>
      <c r="N1049">
        <v>4.7</v>
      </c>
      <c r="O1049">
        <v>7.2</v>
      </c>
      <c r="P1049">
        <v>5.4</v>
      </c>
      <c r="Q1049">
        <v>0</v>
      </c>
      <c r="R1049">
        <v>0</v>
      </c>
      <c r="S1049">
        <v>0</v>
      </c>
      <c r="T1049">
        <v>17.8</v>
      </c>
      <c r="U1049">
        <v>17.8</v>
      </c>
      <c r="V1049" s="9">
        <v>91</v>
      </c>
      <c r="W1049">
        <v>400</v>
      </c>
      <c r="X1049">
        <v>101</v>
      </c>
      <c r="Y1049">
        <v>24</v>
      </c>
      <c r="Z1049">
        <v>40</v>
      </c>
      <c r="AA1049" t="s">
        <v>1680</v>
      </c>
      <c r="AB1049">
        <v>5</v>
      </c>
      <c r="AC1049">
        <v>91</v>
      </c>
      <c r="AD1049">
        <v>4</v>
      </c>
      <c r="AE1049">
        <v>9</v>
      </c>
      <c r="AF1049" s="5">
        <v>0.45667442679405201</v>
      </c>
      <c r="AG1049">
        <v>0.32100000000000001</v>
      </c>
      <c r="AH1049">
        <v>1.55</v>
      </c>
      <c r="AI1049">
        <v>6.03</v>
      </c>
      <c r="AJ1049">
        <v>6.75</v>
      </c>
      <c r="AK1049">
        <v>-10.7</v>
      </c>
      <c r="AL1049">
        <v>-1.1000000000000001</v>
      </c>
      <c r="AM1049">
        <v>1</v>
      </c>
      <c r="AN1049">
        <v>2</v>
      </c>
      <c r="AO1049">
        <v>0</v>
      </c>
      <c r="AP1049">
        <v>3</v>
      </c>
      <c r="AQ1049" t="s">
        <v>3429</v>
      </c>
      <c r="AR1049">
        <v>3</v>
      </c>
      <c r="AS1049" t="s">
        <v>36</v>
      </c>
      <c r="AT1049" t="s">
        <v>35</v>
      </c>
      <c r="AU1049" s="4">
        <f>HYPERLINK("http://mlb.mlb.com/team/player.jsp?player_id=658431",658431)</f>
        <v>658431</v>
      </c>
      <c r="AV1049">
        <v>1190</v>
      </c>
      <c r="AW1049">
        <v>190</v>
      </c>
      <c r="AX1049">
        <v>0</v>
      </c>
    </row>
    <row r="1050" spans="1:50" x14ac:dyDescent="0.3">
      <c r="A1050" s="4">
        <f>HYPERLINK("http://legacy.baseballprospectus.com/p/105329",105329)</f>
        <v>105329</v>
      </c>
      <c r="B1050" t="s">
        <v>1036</v>
      </c>
      <c r="C1050" t="s">
        <v>1075</v>
      </c>
      <c r="D1050" s="10">
        <v>35491</v>
      </c>
      <c r="E1050" t="s">
        <v>33</v>
      </c>
      <c r="F1050" t="s">
        <v>33</v>
      </c>
      <c r="G1050">
        <v>73</v>
      </c>
      <c r="H1050">
        <v>180</v>
      </c>
      <c r="I1050">
        <v>2018</v>
      </c>
      <c r="J1050" s="4" t="str">
        <f>HYPERLINK("http://legacy.baseballprospectus.com/fantasy/dc/index.php?tm=SLN","SLN")</f>
        <v>SLN</v>
      </c>
      <c r="K1050" t="s">
        <v>100</v>
      </c>
      <c r="L1050" t="s">
        <v>34</v>
      </c>
      <c r="M1050">
        <v>21</v>
      </c>
      <c r="N1050">
        <v>4.4000000000000004</v>
      </c>
      <c r="O1050">
        <v>6.1</v>
      </c>
      <c r="P1050">
        <v>4.4000000000000004</v>
      </c>
      <c r="Q1050">
        <v>0</v>
      </c>
      <c r="R1050">
        <v>0</v>
      </c>
      <c r="S1050">
        <v>0</v>
      </c>
      <c r="T1050">
        <v>15.5</v>
      </c>
      <c r="U1050">
        <v>15.5</v>
      </c>
      <c r="V1050" s="9">
        <v>80.666700000000006</v>
      </c>
      <c r="W1050">
        <v>356</v>
      </c>
      <c r="X1050">
        <v>90</v>
      </c>
      <c r="Y1050">
        <v>19</v>
      </c>
      <c r="Z1050">
        <v>40</v>
      </c>
      <c r="AA1050" t="s">
        <v>1680</v>
      </c>
      <c r="AB1050">
        <v>4</v>
      </c>
      <c r="AC1050">
        <v>69</v>
      </c>
      <c r="AD1050">
        <v>4.4000000000000004</v>
      </c>
      <c r="AE1050">
        <v>7.7</v>
      </c>
      <c r="AF1050" s="5">
        <v>0.449709832668304</v>
      </c>
      <c r="AG1050">
        <v>0.316</v>
      </c>
      <c r="AH1050">
        <v>1.61</v>
      </c>
      <c r="AI1050">
        <v>6.14</v>
      </c>
      <c r="AJ1050">
        <v>6.85</v>
      </c>
      <c r="AK1050">
        <v>-10.3</v>
      </c>
      <c r="AL1050">
        <v>-1.1000000000000001</v>
      </c>
      <c r="AM1050">
        <v>1</v>
      </c>
      <c r="AN1050">
        <v>1</v>
      </c>
      <c r="AO1050">
        <v>0</v>
      </c>
      <c r="AP1050">
        <v>1</v>
      </c>
      <c r="AQ1050" t="s">
        <v>3352</v>
      </c>
      <c r="AR1050">
        <v>2</v>
      </c>
      <c r="AS1050" t="s">
        <v>36</v>
      </c>
      <c r="AT1050" t="s">
        <v>35</v>
      </c>
      <c r="AU1050" s="4">
        <f>HYPERLINK("http://mlb.mlb.com/team/player.jsp?player_id=658551",658551)</f>
        <v>658551</v>
      </c>
      <c r="AV1050">
        <v>1202</v>
      </c>
      <c r="AW1050">
        <v>202</v>
      </c>
      <c r="AX1050">
        <v>0</v>
      </c>
    </row>
    <row r="1051" spans="1:50" x14ac:dyDescent="0.3">
      <c r="A1051" s="4">
        <f>HYPERLINK("http://legacy.baseballprospectus.com/p/106550",106550)</f>
        <v>106550</v>
      </c>
      <c r="B1051" t="s">
        <v>2152</v>
      </c>
      <c r="C1051" t="s">
        <v>108</v>
      </c>
      <c r="D1051" s="10">
        <v>35389</v>
      </c>
      <c r="E1051" t="s">
        <v>33</v>
      </c>
      <c r="F1051" t="s">
        <v>33</v>
      </c>
      <c r="G1051">
        <v>73</v>
      </c>
      <c r="H1051">
        <v>180</v>
      </c>
      <c r="I1051">
        <v>2018</v>
      </c>
      <c r="J1051" s="4" t="str">
        <f>HYPERLINK("http://legacy.baseballprospectus.com/fantasy/dc/index.php?tm=MIA","MIA")</f>
        <v>MIA</v>
      </c>
      <c r="K1051" t="s">
        <v>100</v>
      </c>
      <c r="L1051" t="s">
        <v>34</v>
      </c>
      <c r="M1051">
        <v>21</v>
      </c>
      <c r="N1051">
        <v>5.0999999999999996</v>
      </c>
      <c r="O1051">
        <v>8.4</v>
      </c>
      <c r="P1051">
        <v>6.8</v>
      </c>
      <c r="Q1051">
        <v>0</v>
      </c>
      <c r="R1051">
        <v>0</v>
      </c>
      <c r="S1051">
        <v>0</v>
      </c>
      <c r="T1051">
        <v>21.5</v>
      </c>
      <c r="U1051">
        <v>21.5</v>
      </c>
      <c r="V1051" s="9">
        <v>99.666700000000006</v>
      </c>
      <c r="W1051">
        <v>428</v>
      </c>
      <c r="X1051">
        <v>109</v>
      </c>
      <c r="Y1051">
        <v>26</v>
      </c>
      <c r="Z1051">
        <v>37</v>
      </c>
      <c r="AA1051" t="s">
        <v>1680</v>
      </c>
      <c r="AB1051">
        <v>4</v>
      </c>
      <c r="AC1051">
        <v>93</v>
      </c>
      <c r="AD1051">
        <v>3.3</v>
      </c>
      <c r="AE1051">
        <v>8.4</v>
      </c>
      <c r="AF1051" s="5">
        <v>0.44040402770042397</v>
      </c>
      <c r="AG1051">
        <v>0.31</v>
      </c>
      <c r="AH1051">
        <v>1.46</v>
      </c>
      <c r="AI1051">
        <v>5.86</v>
      </c>
      <c r="AJ1051">
        <v>6.62</v>
      </c>
      <c r="AK1051">
        <v>-10.4</v>
      </c>
      <c r="AL1051">
        <v>-1.1000000000000001</v>
      </c>
      <c r="AM1051">
        <v>4</v>
      </c>
      <c r="AN1051">
        <v>4</v>
      </c>
      <c r="AO1051">
        <v>1</v>
      </c>
      <c r="AP1051">
        <v>5</v>
      </c>
      <c r="AQ1051" t="s">
        <v>2815</v>
      </c>
      <c r="AR1051">
        <v>7</v>
      </c>
      <c r="AS1051" t="s">
        <v>36</v>
      </c>
      <c r="AT1051" t="s">
        <v>35</v>
      </c>
      <c r="AU1051" s="4">
        <f>HYPERLINK("http://mlb.mlb.com/team/player.jsp?player_id=663734",663734)</f>
        <v>663734</v>
      </c>
      <c r="AV1051">
        <v>1222</v>
      </c>
      <c r="AW1051">
        <v>222</v>
      </c>
      <c r="AX1051">
        <v>0</v>
      </c>
    </row>
    <row r="1052" spans="1:50" x14ac:dyDescent="0.3">
      <c r="A1052" s="4">
        <f>HYPERLINK("http://legacy.baseballprospectus.com/p/106563",106563)</f>
        <v>106563</v>
      </c>
      <c r="B1052" t="s">
        <v>2133</v>
      </c>
      <c r="C1052" t="s">
        <v>142</v>
      </c>
      <c r="D1052" s="10">
        <v>35324</v>
      </c>
      <c r="E1052" t="s">
        <v>33</v>
      </c>
      <c r="F1052" t="s">
        <v>33</v>
      </c>
      <c r="G1052">
        <v>77</v>
      </c>
      <c r="H1052">
        <v>205</v>
      </c>
      <c r="I1052">
        <v>2018</v>
      </c>
      <c r="J1052" s="4" t="str">
        <f>HYPERLINK("http://legacy.baseballprospectus.com/fantasy/dc/index.php?tm=COL","COL")</f>
        <v>COL</v>
      </c>
      <c r="K1052" t="s">
        <v>100</v>
      </c>
      <c r="L1052" t="s">
        <v>34</v>
      </c>
      <c r="M1052">
        <v>21</v>
      </c>
      <c r="N1052">
        <v>1.2</v>
      </c>
      <c r="O1052">
        <v>3.5</v>
      </c>
      <c r="P1052">
        <v>0.6</v>
      </c>
      <c r="Q1052">
        <v>0</v>
      </c>
      <c r="R1052">
        <v>0</v>
      </c>
      <c r="S1052">
        <v>0</v>
      </c>
      <c r="T1052">
        <v>8</v>
      </c>
      <c r="U1052">
        <v>8</v>
      </c>
      <c r="V1052" s="9">
        <v>29.666699999999999</v>
      </c>
      <c r="W1052">
        <v>150</v>
      </c>
      <c r="X1052">
        <v>39</v>
      </c>
      <c r="Y1052">
        <v>8</v>
      </c>
      <c r="Z1052">
        <v>28</v>
      </c>
      <c r="AA1052" t="s">
        <v>1680</v>
      </c>
      <c r="AB1052">
        <v>1</v>
      </c>
      <c r="AC1052">
        <v>23</v>
      </c>
      <c r="AD1052">
        <v>8.6</v>
      </c>
      <c r="AE1052">
        <v>6.9</v>
      </c>
      <c r="AF1052" s="5">
        <v>0.55409562587738004</v>
      </c>
      <c r="AG1052">
        <v>0.34200000000000003</v>
      </c>
      <c r="AH1052">
        <v>2.25</v>
      </c>
      <c r="AI1052">
        <v>7.97</v>
      </c>
      <c r="AJ1052">
        <v>8.8699999999999992</v>
      </c>
      <c r="AK1052">
        <v>-10</v>
      </c>
      <c r="AL1052">
        <v>-1.1000000000000001</v>
      </c>
      <c r="AM1052">
        <v>0</v>
      </c>
      <c r="AN1052">
        <v>0</v>
      </c>
      <c r="AO1052">
        <v>0</v>
      </c>
      <c r="AP1052">
        <v>0</v>
      </c>
      <c r="AQ1052" t="s">
        <v>3514</v>
      </c>
      <c r="AR1052">
        <v>0</v>
      </c>
      <c r="AS1052" t="s">
        <v>36</v>
      </c>
      <c r="AT1052" t="s">
        <v>35</v>
      </c>
      <c r="AU1052" s="4">
        <f>HYPERLINK("http://mlb.mlb.com/team/player.jsp?player_id=663841",663841)</f>
        <v>663841</v>
      </c>
      <c r="AV1052">
        <v>0</v>
      </c>
      <c r="AW1052">
        <v>0</v>
      </c>
      <c r="AX1052">
        <v>0</v>
      </c>
    </row>
    <row r="1053" spans="1:50" x14ac:dyDescent="0.3">
      <c r="A1053" s="4">
        <f>HYPERLINK("http://legacy.baseballprospectus.com/p/107173",107173)</f>
        <v>107173</v>
      </c>
      <c r="B1053" t="s">
        <v>3129</v>
      </c>
      <c r="C1053" t="s">
        <v>814</v>
      </c>
      <c r="D1053" s="10">
        <v>34505</v>
      </c>
      <c r="E1053" t="s">
        <v>33</v>
      </c>
      <c r="F1053" t="s">
        <v>33</v>
      </c>
      <c r="G1053">
        <v>75</v>
      </c>
      <c r="H1053">
        <v>210</v>
      </c>
      <c r="I1053">
        <v>2018</v>
      </c>
      <c r="J1053" s="4" t="str">
        <f>HYPERLINK("http://legacy.baseballprospectus.com/fantasy/dc/index.php?tm=PHI","PHI")</f>
        <v>PHI</v>
      </c>
      <c r="K1053" t="s">
        <v>100</v>
      </c>
      <c r="L1053" t="s">
        <v>34</v>
      </c>
      <c r="M1053">
        <v>24</v>
      </c>
      <c r="N1053">
        <v>5.9</v>
      </c>
      <c r="O1053">
        <v>8.3000000000000007</v>
      </c>
      <c r="P1053">
        <v>6.5</v>
      </c>
      <c r="Q1053">
        <v>0</v>
      </c>
      <c r="R1053">
        <v>0</v>
      </c>
      <c r="S1053">
        <v>0</v>
      </c>
      <c r="T1053">
        <v>20.399999999999999</v>
      </c>
      <c r="U1053">
        <v>20.399999999999999</v>
      </c>
      <c r="V1053" s="9">
        <v>111.66670000000001</v>
      </c>
      <c r="W1053">
        <v>479</v>
      </c>
      <c r="X1053">
        <v>125</v>
      </c>
      <c r="Y1053">
        <v>27</v>
      </c>
      <c r="Z1053">
        <v>42</v>
      </c>
      <c r="AA1053" t="s">
        <v>1680</v>
      </c>
      <c r="AB1053">
        <v>2</v>
      </c>
      <c r="AC1053">
        <v>91</v>
      </c>
      <c r="AD1053">
        <v>3.4</v>
      </c>
      <c r="AE1053">
        <v>7.4</v>
      </c>
      <c r="AF1053" s="5">
        <v>0.430672347545623</v>
      </c>
      <c r="AG1053">
        <v>0.309</v>
      </c>
      <c r="AH1053">
        <v>1.49</v>
      </c>
      <c r="AI1053">
        <v>5.84</v>
      </c>
      <c r="AJ1053">
        <v>6.51</v>
      </c>
      <c r="AK1053">
        <v>-10.3</v>
      </c>
      <c r="AL1053">
        <v>-1.1000000000000001</v>
      </c>
      <c r="AM1053">
        <v>22</v>
      </c>
      <c r="AN1053">
        <v>35</v>
      </c>
      <c r="AO1053">
        <v>18</v>
      </c>
      <c r="AP1053">
        <v>38</v>
      </c>
      <c r="AQ1053" t="s">
        <v>3130</v>
      </c>
      <c r="AR1053">
        <v>60</v>
      </c>
      <c r="AS1053" t="s">
        <v>36</v>
      </c>
      <c r="AT1053" t="s">
        <v>35</v>
      </c>
      <c r="AU1053" s="4">
        <f>HYPERLINK("http://mlb.mlb.com/team/player.jsp?player_id=664045",664045)</f>
        <v>664045</v>
      </c>
      <c r="AV1053">
        <v>1703</v>
      </c>
      <c r="AW1053">
        <v>703</v>
      </c>
      <c r="AX1053">
        <v>0</v>
      </c>
    </row>
    <row r="1054" spans="1:50" x14ac:dyDescent="0.3">
      <c r="A1054" s="4">
        <f>HYPERLINK("http://legacy.baseballprospectus.com/p/107559",107559)</f>
        <v>107559</v>
      </c>
      <c r="B1054" t="s">
        <v>214</v>
      </c>
      <c r="C1054" t="s">
        <v>2230</v>
      </c>
      <c r="D1054" s="10">
        <v>35898</v>
      </c>
      <c r="E1054" t="s">
        <v>33</v>
      </c>
      <c r="F1054" t="s">
        <v>33</v>
      </c>
      <c r="G1054">
        <v>76</v>
      </c>
      <c r="H1054">
        <v>175</v>
      </c>
      <c r="I1054">
        <v>2018</v>
      </c>
      <c r="J1054" s="4" t="str">
        <f>HYPERLINK("http://legacy.baseballprospectus.com/fantasy/dc/index.php?tm=MIA","MIA")</f>
        <v>MIA</v>
      </c>
      <c r="K1054" t="s">
        <v>100</v>
      </c>
      <c r="L1054" t="s">
        <v>34</v>
      </c>
      <c r="M1054">
        <v>20</v>
      </c>
      <c r="N1054">
        <v>1.5</v>
      </c>
      <c r="O1054">
        <v>2.1</v>
      </c>
      <c r="P1054">
        <v>1.1000000000000001</v>
      </c>
      <c r="Q1054">
        <v>0</v>
      </c>
      <c r="R1054">
        <v>0.4</v>
      </c>
      <c r="S1054">
        <v>0</v>
      </c>
      <c r="T1054">
        <v>17.2</v>
      </c>
      <c r="U1054">
        <v>4.8</v>
      </c>
      <c r="V1054" s="9">
        <v>33.333300000000001</v>
      </c>
      <c r="W1054">
        <v>150</v>
      </c>
      <c r="X1054">
        <v>40</v>
      </c>
      <c r="Y1054">
        <v>9</v>
      </c>
      <c r="Z1054">
        <v>15</v>
      </c>
      <c r="AA1054" t="s">
        <v>1680</v>
      </c>
      <c r="AB1054">
        <v>2</v>
      </c>
      <c r="AC1054">
        <v>27</v>
      </c>
      <c r="AD1054">
        <v>4.0999999999999996</v>
      </c>
      <c r="AE1054">
        <v>7.4</v>
      </c>
      <c r="AF1054" s="5">
        <v>0.428833037614822</v>
      </c>
      <c r="AG1054">
        <v>0.32500000000000001</v>
      </c>
      <c r="AH1054">
        <v>1.67</v>
      </c>
      <c r="AI1054">
        <v>6.63</v>
      </c>
      <c r="AJ1054">
        <v>7.51</v>
      </c>
      <c r="AK1054">
        <v>-10.6</v>
      </c>
      <c r="AL1054">
        <v>-1.1000000000000001</v>
      </c>
      <c r="AM1054">
        <v>0</v>
      </c>
      <c r="AN1054">
        <v>0</v>
      </c>
      <c r="AO1054">
        <v>0</v>
      </c>
      <c r="AP1054">
        <v>0</v>
      </c>
      <c r="AQ1054" t="s">
        <v>3416</v>
      </c>
      <c r="AR1054">
        <v>0</v>
      </c>
      <c r="AS1054" t="s">
        <v>36</v>
      </c>
      <c r="AT1054" t="s">
        <v>35</v>
      </c>
      <c r="AU1054" s="4">
        <f>HYPERLINK("http://mlb.mlb.com/team/player.jsp?player_id=665795",665795)</f>
        <v>665795</v>
      </c>
      <c r="AV1054">
        <v>0</v>
      </c>
      <c r="AW1054">
        <v>0</v>
      </c>
      <c r="AX1054">
        <v>0</v>
      </c>
    </row>
    <row r="1055" spans="1:50" x14ac:dyDescent="0.3">
      <c r="A1055" s="4">
        <f>HYPERLINK("http://legacy.baseballprospectus.com/p/107737",107737)</f>
        <v>107737</v>
      </c>
      <c r="B1055" t="s">
        <v>312</v>
      </c>
      <c r="C1055" t="s">
        <v>254</v>
      </c>
      <c r="D1055" s="10">
        <v>34964</v>
      </c>
      <c r="E1055" t="s">
        <v>33</v>
      </c>
      <c r="F1055" t="s">
        <v>33</v>
      </c>
      <c r="G1055">
        <v>74</v>
      </c>
      <c r="H1055">
        <v>195</v>
      </c>
      <c r="I1055">
        <v>2018</v>
      </c>
      <c r="J1055" s="4" t="str">
        <f>HYPERLINK("http://legacy.baseballprospectus.com/fantasy/dc/index.php?tm=NYN","NYN")</f>
        <v>NYN</v>
      </c>
      <c r="K1055" t="s">
        <v>100</v>
      </c>
      <c r="L1055" t="s">
        <v>34</v>
      </c>
      <c r="M1055">
        <v>22</v>
      </c>
      <c r="N1055">
        <v>3.6</v>
      </c>
      <c r="O1055">
        <v>5.4</v>
      </c>
      <c r="P1055">
        <v>4.3</v>
      </c>
      <c r="Q1055">
        <v>0</v>
      </c>
      <c r="R1055">
        <v>0.4</v>
      </c>
      <c r="S1055">
        <v>0</v>
      </c>
      <c r="T1055">
        <v>26.3</v>
      </c>
      <c r="U1055">
        <v>13.6</v>
      </c>
      <c r="V1055" s="9">
        <v>73</v>
      </c>
      <c r="W1055">
        <v>326</v>
      </c>
      <c r="X1055">
        <v>81</v>
      </c>
      <c r="Y1055">
        <v>17</v>
      </c>
      <c r="Z1055">
        <v>36</v>
      </c>
      <c r="AA1055" t="s">
        <v>1680</v>
      </c>
      <c r="AB1055">
        <v>5</v>
      </c>
      <c r="AC1055">
        <v>72</v>
      </c>
      <c r="AD1055">
        <v>4.5</v>
      </c>
      <c r="AE1055">
        <v>8.8000000000000007</v>
      </c>
      <c r="AF1055" s="5">
        <v>0.40263861417770302</v>
      </c>
      <c r="AG1055">
        <v>0.32800000000000001</v>
      </c>
      <c r="AH1055">
        <v>1.61</v>
      </c>
      <c r="AI1055">
        <v>5.91</v>
      </c>
      <c r="AJ1055">
        <v>6.58</v>
      </c>
      <c r="AK1055">
        <v>-10</v>
      </c>
      <c r="AL1055">
        <v>-1.1000000000000001</v>
      </c>
      <c r="AM1055">
        <v>0</v>
      </c>
      <c r="AN1055">
        <v>0</v>
      </c>
      <c r="AO1055">
        <v>1</v>
      </c>
      <c r="AP1055">
        <v>1</v>
      </c>
      <c r="AQ1055" t="s">
        <v>3432</v>
      </c>
      <c r="AR1055">
        <v>1</v>
      </c>
      <c r="AS1055" t="s">
        <v>36</v>
      </c>
      <c r="AT1055" t="s">
        <v>35</v>
      </c>
      <c r="AU1055" s="4">
        <f>HYPERLINK("http://mlb.mlb.com/team/player.jsp?player_id=643290",643290)</f>
        <v>643290</v>
      </c>
      <c r="AV1055">
        <v>1183</v>
      </c>
      <c r="AW1055">
        <v>183</v>
      </c>
      <c r="AX1055">
        <v>0</v>
      </c>
    </row>
    <row r="1056" spans="1:50" x14ac:dyDescent="0.3">
      <c r="A1056" s="4">
        <f>HYPERLINK("http://legacy.baseballprospectus.com/p/108952",108952)</f>
        <v>108952</v>
      </c>
      <c r="B1056" t="s">
        <v>3417</v>
      </c>
      <c r="C1056" t="s">
        <v>458</v>
      </c>
      <c r="D1056" s="10">
        <v>35632</v>
      </c>
      <c r="E1056" t="s">
        <v>33</v>
      </c>
      <c r="F1056" t="s">
        <v>33</v>
      </c>
      <c r="G1056">
        <v>75</v>
      </c>
      <c r="H1056">
        <v>175</v>
      </c>
      <c r="I1056">
        <v>2018</v>
      </c>
      <c r="J1056" s="4" t="str">
        <f>HYPERLINK("http://legacy.baseballprospectus.com/fantasy/dc/index.php?tm=PIT","PIT")</f>
        <v>PIT</v>
      </c>
      <c r="K1056" t="s">
        <v>100</v>
      </c>
      <c r="L1056" t="s">
        <v>34</v>
      </c>
      <c r="M1056">
        <v>20</v>
      </c>
      <c r="N1056">
        <v>1.4</v>
      </c>
      <c r="O1056">
        <v>2.7</v>
      </c>
      <c r="P1056">
        <v>1</v>
      </c>
      <c r="Q1056">
        <v>0</v>
      </c>
      <c r="R1056">
        <v>0.2</v>
      </c>
      <c r="S1056">
        <v>0</v>
      </c>
      <c r="T1056">
        <v>11.4</v>
      </c>
      <c r="U1056">
        <v>6</v>
      </c>
      <c r="V1056" s="9">
        <v>33</v>
      </c>
      <c r="W1056">
        <v>150</v>
      </c>
      <c r="X1056">
        <v>42</v>
      </c>
      <c r="Y1056">
        <v>10</v>
      </c>
      <c r="Z1056">
        <v>15</v>
      </c>
      <c r="AA1056" t="s">
        <v>1680</v>
      </c>
      <c r="AB1056">
        <v>1</v>
      </c>
      <c r="AC1056">
        <v>26</v>
      </c>
      <c r="AD1056">
        <v>4.0999999999999996</v>
      </c>
      <c r="AE1056">
        <v>7</v>
      </c>
      <c r="AF1056" s="5">
        <v>0.44155120849609297</v>
      </c>
      <c r="AG1056">
        <v>0.32900000000000001</v>
      </c>
      <c r="AH1056">
        <v>1.75</v>
      </c>
      <c r="AI1056">
        <v>7.24</v>
      </c>
      <c r="AJ1056">
        <v>8.1</v>
      </c>
      <c r="AK1056">
        <v>-9.9</v>
      </c>
      <c r="AL1056">
        <v>-1.1000000000000001</v>
      </c>
      <c r="AM1056">
        <v>0</v>
      </c>
      <c r="AN1056">
        <v>0</v>
      </c>
      <c r="AO1056">
        <v>0</v>
      </c>
      <c r="AP1056">
        <v>0</v>
      </c>
      <c r="AQ1056" t="s">
        <v>3418</v>
      </c>
      <c r="AR1056">
        <v>0</v>
      </c>
      <c r="AS1056" t="s">
        <v>36</v>
      </c>
      <c r="AT1056" t="s">
        <v>35</v>
      </c>
      <c r="AU1056" s="4">
        <f>HYPERLINK("http://mlb.mlb.com/team/player.jsp?player_id=668820",668820)</f>
        <v>668820</v>
      </c>
      <c r="AV1056">
        <v>0</v>
      </c>
      <c r="AW1056">
        <v>0</v>
      </c>
      <c r="AX1056">
        <v>0</v>
      </c>
    </row>
    <row r="1057" spans="1:50" x14ac:dyDescent="0.3">
      <c r="A1057" s="4">
        <f>HYPERLINK("http://legacy.baseballprospectus.com/p/108999",108999)</f>
        <v>108999</v>
      </c>
      <c r="B1057" t="s">
        <v>2075</v>
      </c>
      <c r="C1057" t="s">
        <v>2076</v>
      </c>
      <c r="D1057" s="10">
        <v>35641</v>
      </c>
      <c r="E1057" t="s">
        <v>9</v>
      </c>
      <c r="F1057" t="s">
        <v>9</v>
      </c>
      <c r="G1057">
        <v>74</v>
      </c>
      <c r="H1057">
        <v>170</v>
      </c>
      <c r="I1057">
        <v>2018</v>
      </c>
      <c r="J1057" s="4" t="str">
        <f>HYPERLINK("http://legacy.baseballprospectus.com/fantasy/dc/index.php?tm=PIT","PIT")</f>
        <v>PIT</v>
      </c>
      <c r="K1057" t="s">
        <v>100</v>
      </c>
      <c r="L1057" t="s">
        <v>34</v>
      </c>
      <c r="M1057">
        <v>20</v>
      </c>
      <c r="N1057">
        <v>1.3</v>
      </c>
      <c r="O1057">
        <v>3.6</v>
      </c>
      <c r="P1057">
        <v>0.8</v>
      </c>
      <c r="Q1057">
        <v>0</v>
      </c>
      <c r="R1057">
        <v>0</v>
      </c>
      <c r="S1057">
        <v>0</v>
      </c>
      <c r="T1057">
        <v>7.7</v>
      </c>
      <c r="U1057">
        <v>7.7</v>
      </c>
      <c r="V1057" s="9">
        <v>32.333300000000001</v>
      </c>
      <c r="W1057">
        <v>150</v>
      </c>
      <c r="X1057">
        <v>41</v>
      </c>
      <c r="Y1057">
        <v>11</v>
      </c>
      <c r="Z1057">
        <v>19</v>
      </c>
      <c r="AA1057" t="s">
        <v>1680</v>
      </c>
      <c r="AB1057">
        <v>1</v>
      </c>
      <c r="AC1057">
        <v>27</v>
      </c>
      <c r="AD1057">
        <v>5.2</v>
      </c>
      <c r="AE1057">
        <v>7.5</v>
      </c>
      <c r="AF1057" s="5">
        <v>0.445781409740448</v>
      </c>
      <c r="AG1057">
        <v>0.32700000000000001</v>
      </c>
      <c r="AH1057">
        <v>1.85</v>
      </c>
      <c r="AI1057">
        <v>7.73</v>
      </c>
      <c r="AJ1057">
        <v>8.65</v>
      </c>
      <c r="AK1057">
        <v>-10.1</v>
      </c>
      <c r="AL1057">
        <v>-1.1000000000000001</v>
      </c>
      <c r="AM1057">
        <v>0</v>
      </c>
      <c r="AN1057">
        <v>0</v>
      </c>
      <c r="AO1057">
        <v>0</v>
      </c>
      <c r="AP1057">
        <v>0</v>
      </c>
      <c r="AQ1057" t="s">
        <v>3457</v>
      </c>
      <c r="AR1057">
        <v>0</v>
      </c>
      <c r="AS1057" t="s">
        <v>36</v>
      </c>
      <c r="AT1057" t="s">
        <v>35</v>
      </c>
      <c r="AU1057" s="4">
        <f>HYPERLINK("http://mlb.mlb.com/team/player.jsp?player_id=669180",669180)</f>
        <v>669180</v>
      </c>
      <c r="AV1057">
        <v>0</v>
      </c>
      <c r="AW1057">
        <v>0</v>
      </c>
      <c r="AX1057">
        <v>0</v>
      </c>
    </row>
    <row r="1058" spans="1:50" x14ac:dyDescent="0.3">
      <c r="A1058" s="4">
        <f>HYPERLINK("http://legacy.baseballprospectus.com/p/109756",109756)</f>
        <v>109756</v>
      </c>
      <c r="B1058" t="s">
        <v>3467</v>
      </c>
      <c r="C1058" t="s">
        <v>332</v>
      </c>
      <c r="D1058" s="10">
        <v>35186</v>
      </c>
      <c r="E1058" t="s">
        <v>33</v>
      </c>
      <c r="F1058" t="s">
        <v>33</v>
      </c>
      <c r="G1058">
        <v>78</v>
      </c>
      <c r="H1058">
        <v>235</v>
      </c>
      <c r="I1058">
        <v>2018</v>
      </c>
      <c r="J1058" s="4" t="str">
        <f>HYPERLINK("http://legacy.baseballprospectus.com/fantasy/dc/index.php?tm=COL","COL")</f>
        <v>COL</v>
      </c>
      <c r="K1058" t="s">
        <v>100</v>
      </c>
      <c r="L1058" t="s">
        <v>34</v>
      </c>
      <c r="M1058">
        <v>22</v>
      </c>
      <c r="N1058">
        <v>1.2</v>
      </c>
      <c r="O1058">
        <v>0.2</v>
      </c>
      <c r="P1058">
        <v>0</v>
      </c>
      <c r="Q1058">
        <v>0</v>
      </c>
      <c r="R1058">
        <v>0.8</v>
      </c>
      <c r="S1058">
        <v>0</v>
      </c>
      <c r="T1058">
        <v>29.6</v>
      </c>
      <c r="U1058">
        <v>0</v>
      </c>
      <c r="V1058" s="9">
        <v>31.333300000000001</v>
      </c>
      <c r="W1058">
        <v>150</v>
      </c>
      <c r="X1058">
        <v>42</v>
      </c>
      <c r="Y1058">
        <v>10</v>
      </c>
      <c r="Z1058">
        <v>20</v>
      </c>
      <c r="AA1058" t="s">
        <v>1680</v>
      </c>
      <c r="AB1058">
        <v>1</v>
      </c>
      <c r="AC1058">
        <v>26</v>
      </c>
      <c r="AD1058">
        <v>5.9</v>
      </c>
      <c r="AE1058">
        <v>7.4</v>
      </c>
      <c r="AF1058" s="5">
        <v>0.52527219057083097</v>
      </c>
      <c r="AG1058">
        <v>0.34100000000000003</v>
      </c>
      <c r="AH1058">
        <v>1.98</v>
      </c>
      <c r="AI1058">
        <v>7.66</v>
      </c>
      <c r="AJ1058">
        <v>8.49</v>
      </c>
      <c r="AK1058">
        <v>-10.4</v>
      </c>
      <c r="AL1058">
        <v>-1.1000000000000001</v>
      </c>
      <c r="AM1058">
        <v>0</v>
      </c>
      <c r="AN1058">
        <v>0</v>
      </c>
      <c r="AO1058">
        <v>0</v>
      </c>
      <c r="AP1058">
        <v>0</v>
      </c>
      <c r="AQ1058" t="s">
        <v>3468</v>
      </c>
      <c r="AR1058">
        <v>0</v>
      </c>
      <c r="AS1058" t="s">
        <v>36</v>
      </c>
      <c r="AT1058" t="s">
        <v>35</v>
      </c>
      <c r="AU1058" s="4">
        <f>HYPERLINK("http://mlb.mlb.com/team/player.jsp?player_id=656382",656382)</f>
        <v>656382</v>
      </c>
      <c r="AV1058">
        <v>0</v>
      </c>
      <c r="AW1058">
        <v>0</v>
      </c>
      <c r="AX1058">
        <v>0</v>
      </c>
    </row>
    <row r="1059" spans="1:50" x14ac:dyDescent="0.3">
      <c r="A1059" s="4">
        <f>HYPERLINK("http://legacy.baseballprospectus.com/p/110078",110078)</f>
        <v>110078</v>
      </c>
      <c r="B1059" t="s">
        <v>3436</v>
      </c>
      <c r="C1059" t="s">
        <v>897</v>
      </c>
      <c r="D1059" s="10">
        <v>35020</v>
      </c>
      <c r="E1059" t="s">
        <v>9</v>
      </c>
      <c r="F1059" t="s">
        <v>9</v>
      </c>
      <c r="G1059">
        <v>75</v>
      </c>
      <c r="H1059">
        <v>210</v>
      </c>
      <c r="I1059">
        <v>2018</v>
      </c>
      <c r="J1059" s="4" t="str">
        <f>HYPERLINK("http://legacy.baseballprospectus.com/fantasy/dc/index.php?tm=SEA","SEA")</f>
        <v>SEA</v>
      </c>
      <c r="K1059" t="s">
        <v>95</v>
      </c>
      <c r="L1059" t="s">
        <v>34</v>
      </c>
      <c r="M1059">
        <v>22</v>
      </c>
      <c r="N1059">
        <v>1.2</v>
      </c>
      <c r="O1059">
        <v>3.5</v>
      </c>
      <c r="P1059">
        <v>0.4</v>
      </c>
      <c r="Q1059">
        <v>0</v>
      </c>
      <c r="R1059">
        <v>0.1</v>
      </c>
      <c r="S1059">
        <v>0</v>
      </c>
      <c r="T1059">
        <v>12.1</v>
      </c>
      <c r="U1059">
        <v>7.5</v>
      </c>
      <c r="V1059" s="9">
        <v>32</v>
      </c>
      <c r="W1059">
        <v>150</v>
      </c>
      <c r="X1059">
        <v>40</v>
      </c>
      <c r="Y1059">
        <v>13</v>
      </c>
      <c r="Z1059">
        <v>16</v>
      </c>
      <c r="AA1059" t="s">
        <v>1680</v>
      </c>
      <c r="AB1059">
        <v>0</v>
      </c>
      <c r="AC1059">
        <v>30</v>
      </c>
      <c r="AD1059">
        <v>4.4000000000000004</v>
      </c>
      <c r="AE1059">
        <v>8.5</v>
      </c>
      <c r="AF1059" s="5">
        <v>0.39697220921516402</v>
      </c>
      <c r="AG1059">
        <v>0.30499999999999999</v>
      </c>
      <c r="AH1059">
        <v>1.75</v>
      </c>
      <c r="AI1059">
        <v>8.07</v>
      </c>
      <c r="AJ1059">
        <v>8.69</v>
      </c>
      <c r="AK1059">
        <v>-10.3</v>
      </c>
      <c r="AL1059">
        <v>-1.1000000000000001</v>
      </c>
      <c r="AM1059">
        <v>1</v>
      </c>
      <c r="AN1059">
        <v>1</v>
      </c>
      <c r="AO1059">
        <v>0</v>
      </c>
      <c r="AP1059">
        <v>0</v>
      </c>
      <c r="AQ1059" t="s">
        <v>3437</v>
      </c>
      <c r="AR1059">
        <v>1</v>
      </c>
      <c r="AS1059" t="s">
        <v>36</v>
      </c>
      <c r="AT1059" t="s">
        <v>35</v>
      </c>
      <c r="AU1059" s="4">
        <f>HYPERLINK("http://mlb.mlb.com/team/player.jsp?player_id=674069",674069)</f>
        <v>674069</v>
      </c>
      <c r="AV1059">
        <v>0</v>
      </c>
      <c r="AW1059">
        <v>0</v>
      </c>
      <c r="AX1059">
        <v>0</v>
      </c>
    </row>
    <row r="1060" spans="1:50" x14ac:dyDescent="0.3">
      <c r="A1060" s="4">
        <f>HYPERLINK("http://legacy.baseballprospectus.com/p/110681",110681)</f>
        <v>110681</v>
      </c>
      <c r="B1060" t="s">
        <v>607</v>
      </c>
      <c r="C1060" t="s">
        <v>3521</v>
      </c>
      <c r="D1060" s="10">
        <v>35499</v>
      </c>
      <c r="E1060" t="s">
        <v>33</v>
      </c>
      <c r="F1060" t="s">
        <v>33</v>
      </c>
      <c r="G1060">
        <v>76</v>
      </c>
      <c r="H1060">
        <v>205</v>
      </c>
      <c r="I1060">
        <v>2018</v>
      </c>
      <c r="J1060" s="4" t="str">
        <f>HYPERLINK("http://legacy.baseballprospectus.com/fantasy/dc/index.php?tm=HOU","HOU")</f>
        <v>HOU</v>
      </c>
      <c r="K1060" t="s">
        <v>95</v>
      </c>
      <c r="L1060" t="s">
        <v>34</v>
      </c>
      <c r="M1060">
        <v>21</v>
      </c>
      <c r="N1060">
        <v>1</v>
      </c>
      <c r="O1060">
        <v>3.5</v>
      </c>
      <c r="P1060">
        <v>0</v>
      </c>
      <c r="Q1060">
        <v>0</v>
      </c>
      <c r="R1060">
        <v>0</v>
      </c>
      <c r="S1060">
        <v>0</v>
      </c>
      <c r="T1060">
        <v>7.4</v>
      </c>
      <c r="U1060">
        <v>7.4</v>
      </c>
      <c r="V1060" s="9">
        <v>28</v>
      </c>
      <c r="W1060">
        <v>150</v>
      </c>
      <c r="X1060">
        <v>34</v>
      </c>
      <c r="Y1060">
        <v>7</v>
      </c>
      <c r="Z1060">
        <v>31</v>
      </c>
      <c r="AA1060" t="s">
        <v>1680</v>
      </c>
      <c r="AB1060">
        <v>4</v>
      </c>
      <c r="AC1060">
        <v>22</v>
      </c>
      <c r="AD1060">
        <v>10.1</v>
      </c>
      <c r="AE1060">
        <v>7.2</v>
      </c>
      <c r="AF1060" s="5">
        <v>0.54692542552947998</v>
      </c>
      <c r="AG1060">
        <v>0.316</v>
      </c>
      <c r="AH1060">
        <v>2.33</v>
      </c>
      <c r="AI1060">
        <v>8.6</v>
      </c>
      <c r="AJ1060">
        <v>9.1999999999999993</v>
      </c>
      <c r="AK1060">
        <v>-10.1</v>
      </c>
      <c r="AL1060">
        <v>-1.1000000000000001</v>
      </c>
      <c r="AM1060">
        <v>0</v>
      </c>
      <c r="AN1060">
        <v>0</v>
      </c>
      <c r="AO1060">
        <v>0</v>
      </c>
      <c r="AP1060">
        <v>0</v>
      </c>
      <c r="AQ1060" t="s">
        <v>3522</v>
      </c>
      <c r="AR1060">
        <v>0</v>
      </c>
      <c r="AS1060" t="s">
        <v>36</v>
      </c>
      <c r="AT1060" t="s">
        <v>35</v>
      </c>
      <c r="AU1060" s="4">
        <f>HYPERLINK("http://mlb.mlb.com/team/player.jsp?player_id=677080",677080)</f>
        <v>677080</v>
      </c>
      <c r="AV1060">
        <v>217</v>
      </c>
      <c r="AW1060">
        <v>1217</v>
      </c>
      <c r="AX1060">
        <v>0</v>
      </c>
    </row>
    <row r="1061" spans="1:50" x14ac:dyDescent="0.3">
      <c r="A1061" s="4">
        <f>HYPERLINK("http://legacy.baseballprospectus.com/p/106113",106113)</f>
        <v>106113</v>
      </c>
      <c r="B1061" t="s">
        <v>410</v>
      </c>
      <c r="C1061" t="s">
        <v>355</v>
      </c>
      <c r="D1061" s="10">
        <v>34258</v>
      </c>
      <c r="E1061" t="s">
        <v>33</v>
      </c>
      <c r="F1061" t="s">
        <v>33</v>
      </c>
      <c r="G1061">
        <v>76</v>
      </c>
      <c r="H1061">
        <v>175</v>
      </c>
      <c r="I1061">
        <v>2018</v>
      </c>
      <c r="J1061" s="4" t="str">
        <f>HYPERLINK("http://legacy.baseballprospectus.com/fantasy/dc/index.php?tm=TOR","TOR")</f>
        <v>TOR</v>
      </c>
      <c r="K1061" t="s">
        <v>95</v>
      </c>
      <c r="L1061" t="s">
        <v>34</v>
      </c>
      <c r="M1061">
        <v>24</v>
      </c>
      <c r="N1061">
        <v>5.7</v>
      </c>
      <c r="O1061">
        <v>9.9</v>
      </c>
      <c r="P1061">
        <v>6.2</v>
      </c>
      <c r="Q1061">
        <v>0</v>
      </c>
      <c r="R1061">
        <v>0</v>
      </c>
      <c r="S1061">
        <v>0</v>
      </c>
      <c r="T1061">
        <v>23.1</v>
      </c>
      <c r="U1061">
        <v>23.1</v>
      </c>
      <c r="V1061" s="9">
        <v>117.66670000000001</v>
      </c>
      <c r="W1061">
        <v>537</v>
      </c>
      <c r="X1061">
        <v>141</v>
      </c>
      <c r="Y1061">
        <v>29</v>
      </c>
      <c r="Z1061">
        <v>49</v>
      </c>
      <c r="AA1061" t="s">
        <v>1680</v>
      </c>
      <c r="AB1061">
        <v>4</v>
      </c>
      <c r="AC1061">
        <v>96</v>
      </c>
      <c r="AD1061">
        <v>3.8</v>
      </c>
      <c r="AE1061">
        <v>7.3</v>
      </c>
      <c r="AF1061" s="5">
        <v>0.42132884263992298</v>
      </c>
      <c r="AG1061">
        <v>0.312</v>
      </c>
      <c r="AH1061">
        <v>1.62</v>
      </c>
      <c r="AI1061">
        <v>6.28</v>
      </c>
      <c r="AJ1061">
        <v>6.61</v>
      </c>
      <c r="AK1061">
        <v>-11.1</v>
      </c>
      <c r="AL1061">
        <v>-1.2</v>
      </c>
      <c r="AM1061">
        <v>6</v>
      </c>
      <c r="AN1061">
        <v>13</v>
      </c>
      <c r="AO1061">
        <v>3</v>
      </c>
      <c r="AP1061">
        <v>12</v>
      </c>
      <c r="AQ1061" t="s">
        <v>3223</v>
      </c>
      <c r="AR1061">
        <v>16</v>
      </c>
      <c r="AS1061" t="s">
        <v>36</v>
      </c>
      <c r="AT1061" t="s">
        <v>35</v>
      </c>
      <c r="AU1061" s="4">
        <f>HYPERLINK("http://mlb.mlb.com/team/player.jsp?player_id=622247",622247)</f>
        <v>622247</v>
      </c>
      <c r="AV1061">
        <v>0</v>
      </c>
      <c r="AW1061">
        <v>0</v>
      </c>
      <c r="AX1061">
        <v>0</v>
      </c>
    </row>
    <row r="1062" spans="1:50" x14ac:dyDescent="0.3">
      <c r="A1062" s="4">
        <f>HYPERLINK("http://legacy.baseballprospectus.com/p/109638",109638)</f>
        <v>109638</v>
      </c>
      <c r="B1062" t="s">
        <v>3517</v>
      </c>
      <c r="C1062" t="s">
        <v>638</v>
      </c>
      <c r="D1062" s="10">
        <v>36102</v>
      </c>
      <c r="E1062" t="s">
        <v>9</v>
      </c>
      <c r="F1062" t="s">
        <v>9</v>
      </c>
      <c r="G1062">
        <v>74</v>
      </c>
      <c r="H1062">
        <v>195</v>
      </c>
      <c r="I1062">
        <v>2018</v>
      </c>
      <c r="J1062" s="4" t="str">
        <f>HYPERLINK("http://legacy.baseballprospectus.com/fantasy/dc/index.php?tm=SFN","SFN")</f>
        <v>SFN</v>
      </c>
      <c r="K1062" t="s">
        <v>100</v>
      </c>
      <c r="L1062" t="s">
        <v>34</v>
      </c>
      <c r="M1062">
        <v>19</v>
      </c>
      <c r="N1062">
        <v>1.1000000000000001</v>
      </c>
      <c r="O1062">
        <v>3.3</v>
      </c>
      <c r="P1062">
        <v>0.8</v>
      </c>
      <c r="Q1062">
        <v>0</v>
      </c>
      <c r="R1062">
        <v>0.1</v>
      </c>
      <c r="S1062">
        <v>0</v>
      </c>
      <c r="T1062">
        <v>11.7</v>
      </c>
      <c r="U1062">
        <v>7.4</v>
      </c>
      <c r="V1062" s="9">
        <v>30.333300000000001</v>
      </c>
      <c r="W1062">
        <v>150</v>
      </c>
      <c r="X1062">
        <v>36</v>
      </c>
      <c r="Y1062">
        <v>8</v>
      </c>
      <c r="Z1062">
        <v>28</v>
      </c>
      <c r="AA1062" t="s">
        <v>1680</v>
      </c>
      <c r="AB1062">
        <v>2</v>
      </c>
      <c r="AC1062">
        <v>28</v>
      </c>
      <c r="AD1062">
        <v>8.1999999999999993</v>
      </c>
      <c r="AE1062">
        <v>8.1</v>
      </c>
      <c r="AF1062" s="5">
        <v>0.449847251176834</v>
      </c>
      <c r="AG1062">
        <v>0.33100000000000002</v>
      </c>
      <c r="AH1062">
        <v>2.1</v>
      </c>
      <c r="AI1062">
        <v>7.72</v>
      </c>
      <c r="AJ1062">
        <v>9.2200000000000006</v>
      </c>
      <c r="AK1062">
        <v>-11.5</v>
      </c>
      <c r="AL1062">
        <v>-1.2</v>
      </c>
      <c r="AM1062">
        <v>0</v>
      </c>
      <c r="AN1062">
        <v>0</v>
      </c>
      <c r="AO1062">
        <v>0</v>
      </c>
      <c r="AP1062">
        <v>0</v>
      </c>
      <c r="AQ1062" t="s">
        <v>3518</v>
      </c>
      <c r="AR1062">
        <v>0</v>
      </c>
      <c r="AS1062" t="s">
        <v>36</v>
      </c>
      <c r="AT1062" t="s">
        <v>35</v>
      </c>
      <c r="AU1062" s="4">
        <f>HYPERLINK("http://mlb.mlb.com/team/player.jsp?player_id=671288",671288)</f>
        <v>671288</v>
      </c>
      <c r="AV1062">
        <v>0</v>
      </c>
      <c r="AW1062">
        <v>0</v>
      </c>
      <c r="AX1062">
        <v>0</v>
      </c>
    </row>
    <row r="1063" spans="1:50" x14ac:dyDescent="0.3">
      <c r="A1063" s="4">
        <f>HYPERLINK("http://legacy.baseballprospectus.com/p/70342",70342)</f>
        <v>70342</v>
      </c>
      <c r="B1063" t="s">
        <v>3279</v>
      </c>
      <c r="C1063" t="s">
        <v>584</v>
      </c>
      <c r="D1063" s="10">
        <v>34545</v>
      </c>
      <c r="E1063" t="s">
        <v>33</v>
      </c>
      <c r="F1063" t="s">
        <v>33</v>
      </c>
      <c r="G1063">
        <v>73</v>
      </c>
      <c r="H1063">
        <v>190</v>
      </c>
      <c r="I1063">
        <v>2018</v>
      </c>
      <c r="J1063" s="4" t="str">
        <f>HYPERLINK("http://legacy.baseballprospectus.com/fantasy/dc/index.php?tm=MIA","MIA")</f>
        <v>MIA</v>
      </c>
      <c r="K1063" t="s">
        <v>100</v>
      </c>
      <c r="L1063" t="s">
        <v>34</v>
      </c>
      <c r="M1063">
        <v>23</v>
      </c>
      <c r="N1063">
        <v>3.9</v>
      </c>
      <c r="O1063">
        <v>7.1</v>
      </c>
      <c r="P1063">
        <v>4.8</v>
      </c>
      <c r="Q1063">
        <v>0</v>
      </c>
      <c r="R1063">
        <v>0</v>
      </c>
      <c r="S1063">
        <v>0</v>
      </c>
      <c r="T1063">
        <v>17.3</v>
      </c>
      <c r="U1063">
        <v>17.3</v>
      </c>
      <c r="V1063" s="9">
        <v>81</v>
      </c>
      <c r="W1063">
        <v>361</v>
      </c>
      <c r="X1063">
        <v>95</v>
      </c>
      <c r="Y1063">
        <v>20</v>
      </c>
      <c r="Z1063">
        <v>34</v>
      </c>
      <c r="AA1063" t="s">
        <v>1680</v>
      </c>
      <c r="AB1063">
        <v>5</v>
      </c>
      <c r="AC1063">
        <v>66</v>
      </c>
      <c r="AD1063">
        <v>3.8</v>
      </c>
      <c r="AE1063">
        <v>7.3</v>
      </c>
      <c r="AF1063" s="5">
        <v>0.467587500810623</v>
      </c>
      <c r="AG1063">
        <v>0.31900000000000001</v>
      </c>
      <c r="AH1063">
        <v>1.6</v>
      </c>
      <c r="AI1063">
        <v>6.2</v>
      </c>
      <c r="AJ1063">
        <v>7.02</v>
      </c>
      <c r="AK1063">
        <v>-11.8</v>
      </c>
      <c r="AL1063">
        <v>-1.3</v>
      </c>
      <c r="AM1063">
        <v>3</v>
      </c>
      <c r="AN1063">
        <v>3</v>
      </c>
      <c r="AO1063">
        <v>0</v>
      </c>
      <c r="AP1063">
        <v>4</v>
      </c>
      <c r="AQ1063" t="s">
        <v>3280</v>
      </c>
      <c r="AR1063">
        <v>5</v>
      </c>
      <c r="AS1063" t="s">
        <v>36</v>
      </c>
      <c r="AT1063" t="s">
        <v>35</v>
      </c>
      <c r="AU1063" s="4">
        <f>HYPERLINK("http://mlb.mlb.com/team/player.jsp?player_id=547001",547001)</f>
        <v>547001</v>
      </c>
      <c r="AV1063">
        <v>0</v>
      </c>
      <c r="AW1063">
        <v>0</v>
      </c>
      <c r="AX1063">
        <v>0</v>
      </c>
    </row>
    <row r="1064" spans="1:50" x14ac:dyDescent="0.3">
      <c r="A1064" s="4">
        <f>HYPERLINK("http://legacy.baseballprospectus.com/p/100374",100374)</f>
        <v>100374</v>
      </c>
      <c r="B1064" t="s">
        <v>237</v>
      </c>
      <c r="C1064" t="s">
        <v>337</v>
      </c>
      <c r="D1064" s="10">
        <v>34938</v>
      </c>
      <c r="E1064" t="s">
        <v>33</v>
      </c>
      <c r="F1064" t="s">
        <v>33</v>
      </c>
      <c r="G1064">
        <v>74</v>
      </c>
      <c r="H1064">
        <v>165</v>
      </c>
      <c r="I1064">
        <v>2018</v>
      </c>
      <c r="J1064" s="4" t="str">
        <f>HYPERLINK("http://legacy.baseballprospectus.com/fantasy/dc/index.php?tm=ANA","ANA")</f>
        <v>ANA</v>
      </c>
      <c r="K1064" t="s">
        <v>95</v>
      </c>
      <c r="L1064" t="s">
        <v>34</v>
      </c>
      <c r="M1064">
        <v>22</v>
      </c>
      <c r="N1064">
        <v>4.2</v>
      </c>
      <c r="O1064">
        <v>6.9</v>
      </c>
      <c r="P1064">
        <v>4</v>
      </c>
      <c r="Q1064">
        <v>0</v>
      </c>
      <c r="R1064">
        <v>0.5</v>
      </c>
      <c r="S1064">
        <v>0</v>
      </c>
      <c r="T1064">
        <v>31.7</v>
      </c>
      <c r="U1064">
        <v>15.7</v>
      </c>
      <c r="V1064" s="9">
        <v>91.333299999999994</v>
      </c>
      <c r="W1064">
        <v>411</v>
      </c>
      <c r="X1064">
        <v>103</v>
      </c>
      <c r="Y1064">
        <v>23</v>
      </c>
      <c r="Z1064">
        <v>39</v>
      </c>
      <c r="AA1064" t="s">
        <v>1680</v>
      </c>
      <c r="AB1064">
        <v>4</v>
      </c>
      <c r="AC1064">
        <v>79</v>
      </c>
      <c r="AD1064">
        <v>3.9</v>
      </c>
      <c r="AE1064">
        <v>7.8</v>
      </c>
      <c r="AF1064" s="5">
        <v>0.46398729085922202</v>
      </c>
      <c r="AG1064">
        <v>0.29899999999999999</v>
      </c>
      <c r="AH1064">
        <v>1.56</v>
      </c>
      <c r="AI1064">
        <v>6.38</v>
      </c>
      <c r="AJ1064">
        <v>6.67</v>
      </c>
      <c r="AK1064">
        <v>-11.9</v>
      </c>
      <c r="AL1064">
        <v>-1.3</v>
      </c>
      <c r="AM1064">
        <v>11</v>
      </c>
      <c r="AN1064">
        <v>12</v>
      </c>
      <c r="AO1064">
        <v>2</v>
      </c>
      <c r="AP1064">
        <v>12</v>
      </c>
      <c r="AQ1064" t="s">
        <v>3283</v>
      </c>
      <c r="AR1064">
        <v>14</v>
      </c>
      <c r="AS1064" t="s">
        <v>36</v>
      </c>
      <c r="AT1064" t="s">
        <v>35</v>
      </c>
      <c r="AU1064" s="4">
        <f>HYPERLINK("http://mlb.mlb.com/team/player.jsp?player_id=612792",612792)</f>
        <v>612792</v>
      </c>
      <c r="AV1064">
        <v>0</v>
      </c>
      <c r="AW1064">
        <v>0</v>
      </c>
      <c r="AX1064">
        <v>0</v>
      </c>
    </row>
    <row r="1065" spans="1:50" x14ac:dyDescent="0.3">
      <c r="A1065" s="4">
        <f>HYPERLINK("http://legacy.baseballprospectus.com/p/102555",102555)</f>
        <v>102555</v>
      </c>
      <c r="B1065" t="s">
        <v>2529</v>
      </c>
      <c r="C1065" t="s">
        <v>2530</v>
      </c>
      <c r="D1065" s="10">
        <v>34678</v>
      </c>
      <c r="E1065" t="s">
        <v>33</v>
      </c>
      <c r="F1065" t="s">
        <v>9</v>
      </c>
      <c r="G1065">
        <v>71</v>
      </c>
      <c r="H1065">
        <v>205</v>
      </c>
      <c r="I1065">
        <v>2018</v>
      </c>
      <c r="J1065" s="4" t="str">
        <f>HYPERLINK("http://legacy.baseballprospectus.com/fantasy/dc/index.php?tm=BAL","BAL")</f>
        <v>BAL</v>
      </c>
      <c r="K1065" t="s">
        <v>95</v>
      </c>
      <c r="L1065" t="s">
        <v>34</v>
      </c>
      <c r="M1065">
        <v>23</v>
      </c>
      <c r="N1065">
        <v>3.9</v>
      </c>
      <c r="O1065">
        <v>4.5</v>
      </c>
      <c r="P1065">
        <v>2.7</v>
      </c>
      <c r="Q1065">
        <v>0</v>
      </c>
      <c r="R1065">
        <v>0.9</v>
      </c>
      <c r="S1065">
        <v>0</v>
      </c>
      <c r="T1065">
        <v>38</v>
      </c>
      <c r="U1065">
        <v>9.9</v>
      </c>
      <c r="V1065" s="9">
        <v>81.666700000000006</v>
      </c>
      <c r="W1065">
        <v>362</v>
      </c>
      <c r="X1065">
        <v>87</v>
      </c>
      <c r="Y1065">
        <v>23</v>
      </c>
      <c r="Z1065">
        <v>33</v>
      </c>
      <c r="AA1065" t="s">
        <v>1680</v>
      </c>
      <c r="AB1065">
        <v>3</v>
      </c>
      <c r="AC1065">
        <v>83</v>
      </c>
      <c r="AD1065">
        <v>3.6</v>
      </c>
      <c r="AE1065">
        <v>9.1</v>
      </c>
      <c r="AF1065" s="5">
        <v>0.37222230434417702</v>
      </c>
      <c r="AG1065">
        <v>0.29299999999999998</v>
      </c>
      <c r="AH1065">
        <v>1.47</v>
      </c>
      <c r="AI1065">
        <v>6.28</v>
      </c>
      <c r="AJ1065">
        <v>6.39</v>
      </c>
      <c r="AK1065">
        <v>-12.5</v>
      </c>
      <c r="AL1065">
        <v>-1.3</v>
      </c>
      <c r="AM1065">
        <v>19</v>
      </c>
      <c r="AN1065">
        <v>35</v>
      </c>
      <c r="AO1065">
        <v>16</v>
      </c>
      <c r="AP1065">
        <v>29</v>
      </c>
      <c r="AQ1065" t="s">
        <v>2531</v>
      </c>
      <c r="AR1065">
        <v>56</v>
      </c>
      <c r="AS1065" t="s">
        <v>36</v>
      </c>
      <c r="AT1065" t="s">
        <v>35</v>
      </c>
      <c r="AU1065" s="4">
        <f>HYPERLINK("http://mlb.mlb.com/team/player.jsp?player_id=641482",641482)</f>
        <v>641482</v>
      </c>
      <c r="AV1065">
        <v>147</v>
      </c>
      <c r="AW1065">
        <v>1147</v>
      </c>
      <c r="AX1065">
        <v>0</v>
      </c>
    </row>
    <row r="1066" spans="1:50" x14ac:dyDescent="0.3">
      <c r="A1066" s="4">
        <f>HYPERLINK("http://legacy.baseballprospectus.com/p/106065",106065)</f>
        <v>106065</v>
      </c>
      <c r="B1066" t="s">
        <v>380</v>
      </c>
      <c r="C1066" t="s">
        <v>218</v>
      </c>
      <c r="D1066" s="10">
        <v>34971</v>
      </c>
      <c r="E1066" t="s">
        <v>33</v>
      </c>
      <c r="F1066" t="s">
        <v>33</v>
      </c>
      <c r="G1066">
        <v>75</v>
      </c>
      <c r="H1066">
        <v>185</v>
      </c>
      <c r="I1066">
        <v>2018</v>
      </c>
      <c r="J1066" s="4" t="str">
        <f>HYPERLINK("http://legacy.baseballprospectus.com/fantasy/dc/index.php?tm=BAL","BAL")</f>
        <v>BAL</v>
      </c>
      <c r="K1066" t="s">
        <v>95</v>
      </c>
      <c r="L1066" t="s">
        <v>34</v>
      </c>
      <c r="M1066">
        <v>22</v>
      </c>
      <c r="N1066">
        <v>0.9</v>
      </c>
      <c r="O1066">
        <v>2</v>
      </c>
      <c r="P1066">
        <v>-0.1</v>
      </c>
      <c r="Q1066">
        <v>0</v>
      </c>
      <c r="R1066">
        <v>0.3</v>
      </c>
      <c r="S1066">
        <v>0</v>
      </c>
      <c r="T1066">
        <v>16.2</v>
      </c>
      <c r="U1066">
        <v>3.8</v>
      </c>
      <c r="V1066" s="9">
        <v>28</v>
      </c>
      <c r="W1066">
        <v>150</v>
      </c>
      <c r="X1066">
        <v>37</v>
      </c>
      <c r="Y1066">
        <v>8</v>
      </c>
      <c r="Z1066">
        <v>26</v>
      </c>
      <c r="AA1066" t="s">
        <v>1680</v>
      </c>
      <c r="AB1066">
        <v>5</v>
      </c>
      <c r="AC1066">
        <v>20</v>
      </c>
      <c r="AD1066">
        <v>8.5</v>
      </c>
      <c r="AE1066">
        <v>6.5</v>
      </c>
      <c r="AF1066" s="5">
        <v>0.48663628101348799</v>
      </c>
      <c r="AG1066">
        <v>0.32100000000000001</v>
      </c>
      <c r="AH1066">
        <v>2.2599999999999998</v>
      </c>
      <c r="AI1066">
        <v>8.9700000000000006</v>
      </c>
      <c r="AJ1066">
        <v>9.23</v>
      </c>
      <c r="AK1066">
        <v>-12.6</v>
      </c>
      <c r="AL1066">
        <v>-1.3</v>
      </c>
      <c r="AM1066">
        <v>0</v>
      </c>
      <c r="AN1066">
        <v>0</v>
      </c>
      <c r="AO1066">
        <v>0</v>
      </c>
      <c r="AP1066">
        <v>0</v>
      </c>
      <c r="AQ1066" t="s">
        <v>3516</v>
      </c>
      <c r="AR1066">
        <v>0</v>
      </c>
      <c r="AS1066" t="s">
        <v>36</v>
      </c>
      <c r="AT1066" t="s">
        <v>35</v>
      </c>
      <c r="AU1066" s="4">
        <f>HYPERLINK("http://mlb.mlb.com/team/player.jsp?player_id=660428",660428)</f>
        <v>660428</v>
      </c>
      <c r="AV1066">
        <v>0</v>
      </c>
      <c r="AW1066">
        <v>0</v>
      </c>
      <c r="AX1066">
        <v>0</v>
      </c>
    </row>
    <row r="1067" spans="1:50" x14ac:dyDescent="0.3">
      <c r="A1067" s="4">
        <f>HYPERLINK("http://legacy.baseballprospectus.com/p/106323",106323)</f>
        <v>106323</v>
      </c>
      <c r="B1067" t="s">
        <v>2132</v>
      </c>
      <c r="C1067" t="s">
        <v>1416</v>
      </c>
      <c r="D1067" s="10">
        <v>34481</v>
      </c>
      <c r="E1067" t="s">
        <v>33</v>
      </c>
      <c r="F1067" t="s">
        <v>33</v>
      </c>
      <c r="G1067">
        <v>77</v>
      </c>
      <c r="H1067">
        <v>230</v>
      </c>
      <c r="I1067">
        <v>2018</v>
      </c>
      <c r="J1067" s="4" t="str">
        <f>HYPERLINK("http://legacy.baseballprospectus.com/fantasy/dc/index.php?tm=DET","DET")</f>
        <v>DET</v>
      </c>
      <c r="K1067" t="s">
        <v>95</v>
      </c>
      <c r="L1067" t="s">
        <v>34</v>
      </c>
      <c r="M1067">
        <v>24</v>
      </c>
      <c r="N1067">
        <v>4.4000000000000004</v>
      </c>
      <c r="O1067">
        <v>9.4</v>
      </c>
      <c r="P1067">
        <v>4.7</v>
      </c>
      <c r="Q1067">
        <v>0</v>
      </c>
      <c r="R1067">
        <v>0</v>
      </c>
      <c r="S1067">
        <v>0</v>
      </c>
      <c r="T1067">
        <v>22.8</v>
      </c>
      <c r="U1067">
        <v>22.8</v>
      </c>
      <c r="V1067" s="9">
        <v>95</v>
      </c>
      <c r="W1067">
        <v>440</v>
      </c>
      <c r="X1067">
        <v>116</v>
      </c>
      <c r="Y1067">
        <v>29</v>
      </c>
      <c r="Z1067">
        <v>43</v>
      </c>
      <c r="AA1067" t="s">
        <v>1680</v>
      </c>
      <c r="AB1067">
        <v>3</v>
      </c>
      <c r="AC1067">
        <v>94</v>
      </c>
      <c r="AD1067">
        <v>4.0999999999999996</v>
      </c>
      <c r="AE1067">
        <v>8.9</v>
      </c>
      <c r="AF1067" s="5">
        <v>0.40000951290130599</v>
      </c>
      <c r="AG1067">
        <v>0.32100000000000001</v>
      </c>
      <c r="AH1067">
        <v>1.67</v>
      </c>
      <c r="AI1067">
        <v>6.83</v>
      </c>
      <c r="AJ1067">
        <v>6.94</v>
      </c>
      <c r="AK1067">
        <v>-12.2</v>
      </c>
      <c r="AL1067">
        <v>-1.3</v>
      </c>
      <c r="AM1067">
        <v>7</v>
      </c>
      <c r="AN1067">
        <v>20</v>
      </c>
      <c r="AO1067">
        <v>12</v>
      </c>
      <c r="AP1067">
        <v>24</v>
      </c>
      <c r="AQ1067" t="s">
        <v>3357</v>
      </c>
      <c r="AR1067">
        <v>38</v>
      </c>
      <c r="AS1067" t="s">
        <v>36</v>
      </c>
      <c r="AT1067" t="s">
        <v>35</v>
      </c>
      <c r="AU1067" s="4">
        <f>HYPERLINK("http://mlb.mlb.com/team/player.jsp?player_id=621047",621047)</f>
        <v>621047</v>
      </c>
      <c r="AV1067">
        <v>743</v>
      </c>
      <c r="AW1067">
        <v>1743</v>
      </c>
      <c r="AX1067">
        <v>0</v>
      </c>
    </row>
    <row r="1068" spans="1:50" x14ac:dyDescent="0.3">
      <c r="A1068" s="4">
        <f>HYPERLINK("http://legacy.baseballprospectus.com/p/107804",107804)</f>
        <v>107804</v>
      </c>
      <c r="B1068" t="s">
        <v>335</v>
      </c>
      <c r="C1068" t="s">
        <v>3450</v>
      </c>
      <c r="D1068" s="10">
        <v>34934</v>
      </c>
      <c r="E1068" t="s">
        <v>9</v>
      </c>
      <c r="F1068" t="s">
        <v>9</v>
      </c>
      <c r="G1068">
        <v>75</v>
      </c>
      <c r="H1068">
        <v>170</v>
      </c>
      <c r="I1068">
        <v>2018</v>
      </c>
      <c r="J1068" s="4" t="str">
        <f>HYPERLINK("http://legacy.baseballprospectus.com/fantasy/dc/index.php?tm=CHA","CHA")</f>
        <v>CHA</v>
      </c>
      <c r="K1068" t="s">
        <v>95</v>
      </c>
      <c r="L1068" t="s">
        <v>34</v>
      </c>
      <c r="M1068">
        <v>22</v>
      </c>
      <c r="N1068">
        <v>3.6</v>
      </c>
      <c r="O1068">
        <v>8</v>
      </c>
      <c r="P1068">
        <v>3.4</v>
      </c>
      <c r="Q1068">
        <v>0</v>
      </c>
      <c r="R1068">
        <v>0</v>
      </c>
      <c r="S1068">
        <v>0</v>
      </c>
      <c r="T1068">
        <v>16.7</v>
      </c>
      <c r="U1068">
        <v>16.7</v>
      </c>
      <c r="V1068" s="9">
        <v>86.666700000000006</v>
      </c>
      <c r="W1068">
        <v>393</v>
      </c>
      <c r="X1068">
        <v>101</v>
      </c>
      <c r="Y1068">
        <v>26</v>
      </c>
      <c r="Z1068">
        <v>34</v>
      </c>
      <c r="AA1068" t="s">
        <v>1680</v>
      </c>
      <c r="AB1068">
        <v>4</v>
      </c>
      <c r="AC1068">
        <v>76</v>
      </c>
      <c r="AD1068">
        <v>3.6</v>
      </c>
      <c r="AE1068">
        <v>7.9</v>
      </c>
      <c r="AF1068" s="5">
        <v>0.477837294340133</v>
      </c>
      <c r="AG1068">
        <v>0.29899999999999999</v>
      </c>
      <c r="AH1068">
        <v>1.56</v>
      </c>
      <c r="AI1068">
        <v>6.75</v>
      </c>
      <c r="AJ1068">
        <v>7.05</v>
      </c>
      <c r="AK1068">
        <v>-12.1</v>
      </c>
      <c r="AL1068">
        <v>-1.3</v>
      </c>
      <c r="AM1068">
        <v>1</v>
      </c>
      <c r="AN1068">
        <v>1</v>
      </c>
      <c r="AO1068">
        <v>0</v>
      </c>
      <c r="AP1068">
        <v>0</v>
      </c>
      <c r="AQ1068" t="s">
        <v>3451</v>
      </c>
      <c r="AR1068">
        <v>1</v>
      </c>
      <c r="AS1068" t="s">
        <v>36</v>
      </c>
      <c r="AT1068" t="s">
        <v>35</v>
      </c>
      <c r="AU1068" s="4">
        <f>HYPERLINK("http://mlb.mlb.com/team/player.jsp?player_id=641576",641576)</f>
        <v>641576</v>
      </c>
      <c r="AV1068">
        <v>0</v>
      </c>
      <c r="AW1068">
        <v>0</v>
      </c>
      <c r="AX1068">
        <v>0</v>
      </c>
    </row>
    <row r="1069" spans="1:50" x14ac:dyDescent="0.3">
      <c r="A1069" s="4">
        <f>HYPERLINK("http://legacy.baseballprospectus.com/p/108755",108755)</f>
        <v>108755</v>
      </c>
      <c r="B1069" t="s">
        <v>1668</v>
      </c>
      <c r="C1069" t="s">
        <v>141</v>
      </c>
      <c r="D1069" s="10">
        <v>35488</v>
      </c>
      <c r="E1069" t="s">
        <v>9</v>
      </c>
      <c r="F1069" t="s">
        <v>9</v>
      </c>
      <c r="G1069">
        <v>73</v>
      </c>
      <c r="H1069">
        <v>190</v>
      </c>
      <c r="I1069">
        <v>2018</v>
      </c>
      <c r="J1069" s="4" t="str">
        <f>HYPERLINK("http://legacy.baseballprospectus.com/fantasy/dc/index.php?tm=BAL","BAL")</f>
        <v>BAL</v>
      </c>
      <c r="K1069" t="s">
        <v>95</v>
      </c>
      <c r="L1069" t="s">
        <v>34</v>
      </c>
      <c r="M1069">
        <v>21</v>
      </c>
      <c r="N1069">
        <v>4.5</v>
      </c>
      <c r="O1069">
        <v>8.1999999999999993</v>
      </c>
      <c r="P1069">
        <v>3.9</v>
      </c>
      <c r="Q1069">
        <v>0</v>
      </c>
      <c r="R1069">
        <v>0</v>
      </c>
      <c r="S1069">
        <v>0</v>
      </c>
      <c r="T1069">
        <v>18.100000000000001</v>
      </c>
      <c r="U1069">
        <v>18.100000000000001</v>
      </c>
      <c r="V1069" s="9">
        <v>95.666700000000006</v>
      </c>
      <c r="W1069">
        <v>426</v>
      </c>
      <c r="X1069">
        <v>115</v>
      </c>
      <c r="Y1069">
        <v>31</v>
      </c>
      <c r="Z1069">
        <v>29</v>
      </c>
      <c r="AA1069" t="s">
        <v>1680</v>
      </c>
      <c r="AB1069">
        <v>2</v>
      </c>
      <c r="AC1069">
        <v>84</v>
      </c>
      <c r="AD1069">
        <v>2.7</v>
      </c>
      <c r="AE1069">
        <v>7.9</v>
      </c>
      <c r="AF1069" s="5">
        <v>0.38455170392990101</v>
      </c>
      <c r="AG1069">
        <v>0.30099999999999999</v>
      </c>
      <c r="AH1069">
        <v>1.51</v>
      </c>
      <c r="AI1069">
        <v>6.81</v>
      </c>
      <c r="AJ1069">
        <v>6.96</v>
      </c>
      <c r="AK1069">
        <v>-12.5</v>
      </c>
      <c r="AL1069">
        <v>-1.3</v>
      </c>
      <c r="AM1069">
        <v>2</v>
      </c>
      <c r="AN1069">
        <v>2</v>
      </c>
      <c r="AO1069">
        <v>2</v>
      </c>
      <c r="AP1069">
        <v>4</v>
      </c>
      <c r="AQ1069" t="s">
        <v>2820</v>
      </c>
      <c r="AR1069">
        <v>5</v>
      </c>
      <c r="AS1069" t="s">
        <v>36</v>
      </c>
      <c r="AT1069" t="s">
        <v>35</v>
      </c>
      <c r="AU1069" s="4">
        <f>HYPERLINK("http://mlb.mlb.com/team/player.jsp?player_id=649144",649144)</f>
        <v>649144</v>
      </c>
      <c r="AV1069">
        <v>0</v>
      </c>
      <c r="AW1069">
        <v>0</v>
      </c>
      <c r="AX1069">
        <v>0</v>
      </c>
    </row>
    <row r="1070" spans="1:50" x14ac:dyDescent="0.3">
      <c r="A1070" s="4">
        <f>HYPERLINK("http://legacy.baseballprospectus.com/p/108962",108962)</f>
        <v>108962</v>
      </c>
      <c r="B1070" t="s">
        <v>2074</v>
      </c>
      <c r="C1070" t="s">
        <v>207</v>
      </c>
      <c r="D1070" s="10">
        <v>35718</v>
      </c>
      <c r="E1070" t="s">
        <v>33</v>
      </c>
      <c r="F1070" t="s">
        <v>33</v>
      </c>
      <c r="G1070">
        <v>75</v>
      </c>
      <c r="H1070">
        <v>180</v>
      </c>
      <c r="I1070">
        <v>2018</v>
      </c>
      <c r="J1070" s="4" t="str">
        <f>HYPERLINK("http://legacy.baseballprospectus.com/fantasy/dc/index.php?tm=PIT","PIT")</f>
        <v>PIT</v>
      </c>
      <c r="K1070" t="s">
        <v>100</v>
      </c>
      <c r="L1070" t="s">
        <v>34</v>
      </c>
      <c r="M1070">
        <v>20</v>
      </c>
      <c r="N1070">
        <v>1.4</v>
      </c>
      <c r="O1070">
        <v>4.2</v>
      </c>
      <c r="P1070">
        <v>0.9</v>
      </c>
      <c r="Q1070">
        <v>0</v>
      </c>
      <c r="R1070">
        <v>0</v>
      </c>
      <c r="S1070">
        <v>0</v>
      </c>
      <c r="T1070">
        <v>9.4</v>
      </c>
      <c r="U1070">
        <v>9.4</v>
      </c>
      <c r="V1070" s="9">
        <v>35.666699999999999</v>
      </c>
      <c r="W1070">
        <v>169</v>
      </c>
      <c r="X1070">
        <v>47</v>
      </c>
      <c r="Y1070">
        <v>11</v>
      </c>
      <c r="Z1070">
        <v>21</v>
      </c>
      <c r="AA1070" t="s">
        <v>1680</v>
      </c>
      <c r="AB1070">
        <v>2</v>
      </c>
      <c r="AC1070">
        <v>27</v>
      </c>
      <c r="AD1070">
        <v>5.3</v>
      </c>
      <c r="AE1070">
        <v>6.8</v>
      </c>
      <c r="AF1070" s="5">
        <v>0.47795313596725397</v>
      </c>
      <c r="AG1070">
        <v>0.33100000000000002</v>
      </c>
      <c r="AH1070">
        <v>1.9</v>
      </c>
      <c r="AI1070">
        <v>7.84</v>
      </c>
      <c r="AJ1070">
        <v>8.7799999999999994</v>
      </c>
      <c r="AK1070">
        <v>-11.7</v>
      </c>
      <c r="AL1070">
        <v>-1.3</v>
      </c>
      <c r="AM1070">
        <v>0</v>
      </c>
      <c r="AN1070">
        <v>0</v>
      </c>
      <c r="AO1070">
        <v>0</v>
      </c>
      <c r="AP1070">
        <v>0</v>
      </c>
      <c r="AQ1070" t="s">
        <v>3478</v>
      </c>
      <c r="AR1070">
        <v>0</v>
      </c>
      <c r="AS1070" t="s">
        <v>36</v>
      </c>
      <c r="AT1070" t="s">
        <v>35</v>
      </c>
      <c r="AU1070" s="4">
        <f>HYPERLINK("http://mlb.mlb.com/team/player.jsp?player_id=669740",669740)</f>
        <v>669740</v>
      </c>
      <c r="AV1070">
        <v>0</v>
      </c>
      <c r="AW1070">
        <v>0</v>
      </c>
      <c r="AX1070">
        <v>0</v>
      </c>
    </row>
    <row r="1071" spans="1:50" x14ac:dyDescent="0.3">
      <c r="A1071" s="4">
        <f>HYPERLINK("http://legacy.baseballprospectus.com/p/109022",109022)</f>
        <v>109022</v>
      </c>
      <c r="B1071" t="s">
        <v>2077</v>
      </c>
      <c r="C1071" t="s">
        <v>1672</v>
      </c>
      <c r="D1071" s="10">
        <v>35740</v>
      </c>
      <c r="E1071" t="s">
        <v>33</v>
      </c>
      <c r="F1071" t="s">
        <v>33</v>
      </c>
      <c r="G1071">
        <v>76</v>
      </c>
      <c r="H1071">
        <v>195</v>
      </c>
      <c r="I1071">
        <v>2018</v>
      </c>
      <c r="J1071" s="4" t="str">
        <f>HYPERLINK("http://legacy.baseballprospectus.com/fantasy/dc/index.php?tm=COL","COL")</f>
        <v>COL</v>
      </c>
      <c r="K1071" t="s">
        <v>100</v>
      </c>
      <c r="L1071" t="s">
        <v>34</v>
      </c>
      <c r="M1071">
        <v>20</v>
      </c>
      <c r="N1071">
        <v>3.7</v>
      </c>
      <c r="O1071">
        <v>6.7</v>
      </c>
      <c r="P1071">
        <v>4.0999999999999996</v>
      </c>
      <c r="Q1071">
        <v>0</v>
      </c>
      <c r="R1071">
        <v>0</v>
      </c>
      <c r="S1071">
        <v>0</v>
      </c>
      <c r="T1071">
        <v>17.5</v>
      </c>
      <c r="U1071">
        <v>17.5</v>
      </c>
      <c r="V1071" s="9">
        <v>71.333299999999994</v>
      </c>
      <c r="W1071">
        <v>335</v>
      </c>
      <c r="X1071">
        <v>84</v>
      </c>
      <c r="Y1071">
        <v>17</v>
      </c>
      <c r="Z1071">
        <v>49</v>
      </c>
      <c r="AA1071" t="s">
        <v>1680</v>
      </c>
      <c r="AB1071">
        <v>4</v>
      </c>
      <c r="AC1071">
        <v>64</v>
      </c>
      <c r="AD1071">
        <v>6.2</v>
      </c>
      <c r="AE1071">
        <v>8.1</v>
      </c>
      <c r="AF1071" s="5">
        <v>0.518163502216339</v>
      </c>
      <c r="AG1071">
        <v>0.33700000000000002</v>
      </c>
      <c r="AH1071">
        <v>1.87</v>
      </c>
      <c r="AI1071">
        <v>6.59</v>
      </c>
      <c r="AJ1071">
        <v>7.3</v>
      </c>
      <c r="AK1071">
        <v>-12.4</v>
      </c>
      <c r="AL1071">
        <v>-1.3</v>
      </c>
      <c r="AM1071">
        <v>0</v>
      </c>
      <c r="AN1071">
        <v>0</v>
      </c>
      <c r="AO1071">
        <v>0</v>
      </c>
      <c r="AP1071">
        <v>0</v>
      </c>
      <c r="AQ1071" t="s">
        <v>3501</v>
      </c>
      <c r="AR1071">
        <v>0</v>
      </c>
      <c r="AS1071" t="s">
        <v>36</v>
      </c>
      <c r="AT1071" t="s">
        <v>35</v>
      </c>
      <c r="AU1071" s="4">
        <f>HYPERLINK("http://mlb.mlb.com/team/player.jsp?player_id=666207",666207)</f>
        <v>666207</v>
      </c>
      <c r="AV1071">
        <v>1220</v>
      </c>
      <c r="AW1071">
        <v>220</v>
      </c>
      <c r="AX1071">
        <v>0</v>
      </c>
    </row>
    <row r="1072" spans="1:50" x14ac:dyDescent="0.3">
      <c r="A1072" s="4">
        <f>HYPERLINK("http://legacy.baseballprospectus.com/p/109417",109417)</f>
        <v>109417</v>
      </c>
      <c r="B1072" t="s">
        <v>3493</v>
      </c>
      <c r="C1072" t="s">
        <v>606</v>
      </c>
      <c r="D1072" s="10">
        <v>36328</v>
      </c>
      <c r="E1072" t="s">
        <v>33</v>
      </c>
      <c r="F1072" t="s">
        <v>33</v>
      </c>
      <c r="G1072">
        <v>75</v>
      </c>
      <c r="H1072">
        <v>190</v>
      </c>
      <c r="I1072">
        <v>2018</v>
      </c>
      <c r="J1072" s="4" t="str">
        <f>HYPERLINK("http://legacy.baseballprospectus.com/fantasy/dc/index.php?tm=PIT","PIT")</f>
        <v>PIT</v>
      </c>
      <c r="K1072" t="s">
        <v>100</v>
      </c>
      <c r="L1072" t="s">
        <v>34</v>
      </c>
      <c r="M1072">
        <v>19</v>
      </c>
      <c r="N1072">
        <v>1.1000000000000001</v>
      </c>
      <c r="O1072">
        <v>4.0999999999999996</v>
      </c>
      <c r="P1072">
        <v>0.2</v>
      </c>
      <c r="Q1072">
        <v>0</v>
      </c>
      <c r="R1072">
        <v>0</v>
      </c>
      <c r="S1072">
        <v>0</v>
      </c>
      <c r="T1072">
        <v>8.6</v>
      </c>
      <c r="U1072">
        <v>8.6</v>
      </c>
      <c r="V1072" s="9">
        <v>31</v>
      </c>
      <c r="W1072">
        <v>150</v>
      </c>
      <c r="X1072">
        <v>40</v>
      </c>
      <c r="Y1072">
        <v>11</v>
      </c>
      <c r="Z1072">
        <v>23</v>
      </c>
      <c r="AA1072" t="s">
        <v>1680</v>
      </c>
      <c r="AB1072">
        <v>1</v>
      </c>
      <c r="AC1072">
        <v>25</v>
      </c>
      <c r="AD1072">
        <v>6.7</v>
      </c>
      <c r="AE1072">
        <v>7.3</v>
      </c>
      <c r="AF1072" s="5">
        <v>0.47402155399322499</v>
      </c>
      <c r="AG1072">
        <v>0.33</v>
      </c>
      <c r="AH1072">
        <v>2.0499999999999998</v>
      </c>
      <c r="AI1072">
        <v>8.43</v>
      </c>
      <c r="AJ1072">
        <v>9.4499999999999993</v>
      </c>
      <c r="AK1072">
        <v>-12.3</v>
      </c>
      <c r="AL1072">
        <v>-1.3</v>
      </c>
      <c r="AM1072">
        <v>0</v>
      </c>
      <c r="AN1072">
        <v>0</v>
      </c>
      <c r="AO1072">
        <v>0</v>
      </c>
      <c r="AP1072">
        <v>0</v>
      </c>
      <c r="AQ1072" t="s">
        <v>3494</v>
      </c>
      <c r="AR1072">
        <v>0</v>
      </c>
      <c r="AS1072" t="s">
        <v>36</v>
      </c>
      <c r="AT1072" t="s">
        <v>35</v>
      </c>
      <c r="AU1072" s="4">
        <f>HYPERLINK("http://mlb.mlb.com/team/player.jsp?player_id=669358",669358)</f>
        <v>669358</v>
      </c>
      <c r="AV1072">
        <v>1199</v>
      </c>
      <c r="AW1072">
        <v>199</v>
      </c>
      <c r="AX1072">
        <v>0</v>
      </c>
    </row>
    <row r="1073" spans="1:50" x14ac:dyDescent="0.3">
      <c r="A1073" s="4">
        <f>HYPERLINK("http://legacy.baseballprospectus.com/p/110348",110348)</f>
        <v>110348</v>
      </c>
      <c r="B1073" t="s">
        <v>3421</v>
      </c>
      <c r="C1073" t="s">
        <v>181</v>
      </c>
      <c r="D1073" s="10">
        <v>36265</v>
      </c>
      <c r="E1073" t="s">
        <v>33</v>
      </c>
      <c r="F1073" t="s">
        <v>33</v>
      </c>
      <c r="G1073">
        <v>76</v>
      </c>
      <c r="H1073">
        <v>160</v>
      </c>
      <c r="I1073">
        <v>2018</v>
      </c>
      <c r="J1073" s="4" t="str">
        <f>HYPERLINK("http://legacy.baseballprospectus.com/fantasy/dc/index.php?tm=TBA","TBA")</f>
        <v>TBA</v>
      </c>
      <c r="K1073" t="s">
        <v>95</v>
      </c>
      <c r="L1073" t="s">
        <v>34</v>
      </c>
      <c r="M1073">
        <v>19</v>
      </c>
      <c r="N1073">
        <v>0.9</v>
      </c>
      <c r="O1073">
        <v>4.2</v>
      </c>
      <c r="P1073">
        <v>0.1</v>
      </c>
      <c r="Q1073">
        <v>0</v>
      </c>
      <c r="R1073">
        <v>0</v>
      </c>
      <c r="S1073">
        <v>0</v>
      </c>
      <c r="T1073">
        <v>8.3000000000000007</v>
      </c>
      <c r="U1073">
        <v>8.3000000000000007</v>
      </c>
      <c r="V1073" s="9">
        <v>31.333300000000001</v>
      </c>
      <c r="W1073">
        <v>150</v>
      </c>
      <c r="X1073">
        <v>41</v>
      </c>
      <c r="Y1073">
        <v>12</v>
      </c>
      <c r="Z1073">
        <v>17</v>
      </c>
      <c r="AA1073" t="s">
        <v>1680</v>
      </c>
      <c r="AB1073">
        <v>0</v>
      </c>
      <c r="AC1073">
        <v>24</v>
      </c>
      <c r="AD1073">
        <v>4.9000000000000004</v>
      </c>
      <c r="AE1073">
        <v>7</v>
      </c>
      <c r="AF1073" s="5">
        <v>0.42068368196487399</v>
      </c>
      <c r="AG1073">
        <v>0.30199999999999999</v>
      </c>
      <c r="AH1073">
        <v>1.86</v>
      </c>
      <c r="AI1073">
        <v>8.4499999999999993</v>
      </c>
      <c r="AJ1073">
        <v>9.39</v>
      </c>
      <c r="AK1073">
        <v>-12</v>
      </c>
      <c r="AL1073">
        <v>-1.3</v>
      </c>
      <c r="AM1073">
        <v>0</v>
      </c>
      <c r="AN1073">
        <v>0</v>
      </c>
      <c r="AO1073">
        <v>0</v>
      </c>
      <c r="AP1073">
        <v>0</v>
      </c>
      <c r="AQ1073" t="s">
        <v>3422</v>
      </c>
      <c r="AR1073">
        <v>0</v>
      </c>
      <c r="AS1073" t="s">
        <v>36</v>
      </c>
      <c r="AT1073" t="s">
        <v>35</v>
      </c>
      <c r="AU1073" s="4">
        <f>HYPERLINK("http://mlb.mlb.com/team/player.jsp?player_id=675650",675650)</f>
        <v>675650</v>
      </c>
      <c r="AV1073">
        <v>734</v>
      </c>
      <c r="AW1073">
        <v>1734</v>
      </c>
      <c r="AX1073">
        <v>0</v>
      </c>
    </row>
    <row r="1074" spans="1:50" x14ac:dyDescent="0.3">
      <c r="A1074" s="4">
        <f>HYPERLINK("http://legacy.baseballprospectus.com/p/111103",111103)</f>
        <v>111103</v>
      </c>
      <c r="B1074" t="s">
        <v>3438</v>
      </c>
      <c r="C1074" t="s">
        <v>535</v>
      </c>
      <c r="D1074" s="10">
        <v>34586</v>
      </c>
      <c r="E1074" t="s">
        <v>33</v>
      </c>
      <c r="F1074" t="s">
        <v>33</v>
      </c>
      <c r="G1074">
        <v>74</v>
      </c>
      <c r="H1074">
        <v>240</v>
      </c>
      <c r="I1074">
        <v>2018</v>
      </c>
      <c r="J1074" s="4" t="str">
        <f>HYPERLINK("http://legacy.baseballprospectus.com/fantasy/dc/index.php?tm=WAS","WAS")</f>
        <v>WAS</v>
      </c>
      <c r="K1074" t="s">
        <v>100</v>
      </c>
      <c r="L1074" t="s">
        <v>34</v>
      </c>
      <c r="M1074">
        <v>23</v>
      </c>
      <c r="N1074">
        <v>1.4</v>
      </c>
      <c r="O1074">
        <v>3.9</v>
      </c>
      <c r="P1074">
        <v>0.6</v>
      </c>
      <c r="Q1074">
        <v>0</v>
      </c>
      <c r="R1074">
        <v>0</v>
      </c>
      <c r="S1074">
        <v>0</v>
      </c>
      <c r="T1074">
        <v>8.8000000000000007</v>
      </c>
      <c r="U1074">
        <v>8.8000000000000007</v>
      </c>
      <c r="V1074" s="9">
        <v>33</v>
      </c>
      <c r="W1074">
        <v>150</v>
      </c>
      <c r="X1074">
        <v>44</v>
      </c>
      <c r="Y1074">
        <v>13</v>
      </c>
      <c r="Z1074">
        <v>13</v>
      </c>
      <c r="AA1074" t="s">
        <v>1680</v>
      </c>
      <c r="AB1074">
        <v>1</v>
      </c>
      <c r="AC1074">
        <v>28</v>
      </c>
      <c r="AD1074">
        <v>3.6</v>
      </c>
      <c r="AE1074">
        <v>7.6</v>
      </c>
      <c r="AF1074" s="5">
        <v>0.43219992518424899</v>
      </c>
      <c r="AG1074">
        <v>0.32300000000000001</v>
      </c>
      <c r="AH1074">
        <v>1.72</v>
      </c>
      <c r="AI1074">
        <v>7.94</v>
      </c>
      <c r="AJ1074">
        <v>9.06</v>
      </c>
      <c r="AK1074">
        <v>-11.8</v>
      </c>
      <c r="AL1074">
        <v>-1.3</v>
      </c>
      <c r="AM1074">
        <v>0</v>
      </c>
      <c r="AN1074">
        <v>0</v>
      </c>
      <c r="AO1074">
        <v>1</v>
      </c>
      <c r="AP1074">
        <v>1</v>
      </c>
      <c r="AQ1074" t="s">
        <v>3439</v>
      </c>
      <c r="AR1074">
        <v>1</v>
      </c>
      <c r="AS1074" t="s">
        <v>36</v>
      </c>
      <c r="AT1074" t="s">
        <v>35</v>
      </c>
      <c r="AU1074" s="4">
        <f>HYPERLINK("http://mlb.mlb.com/team/player.jsp?player_id=640444",640444)</f>
        <v>640444</v>
      </c>
      <c r="AV1074">
        <v>1181</v>
      </c>
      <c r="AW1074">
        <v>181</v>
      </c>
      <c r="AX1074">
        <v>0</v>
      </c>
    </row>
    <row r="1075" spans="1:50" x14ac:dyDescent="0.3">
      <c r="A1075" s="4">
        <f>HYPERLINK("http://legacy.baseballprospectus.com/p/111222",111222)</f>
        <v>111222</v>
      </c>
      <c r="B1075" t="s">
        <v>3470</v>
      </c>
      <c r="C1075" t="s">
        <v>1784</v>
      </c>
      <c r="D1075" s="10">
        <v>35288</v>
      </c>
      <c r="E1075" t="s">
        <v>9</v>
      </c>
      <c r="F1075" t="s">
        <v>9</v>
      </c>
      <c r="G1075">
        <v>73</v>
      </c>
      <c r="H1075">
        <v>195</v>
      </c>
      <c r="I1075">
        <v>2018</v>
      </c>
      <c r="J1075" s="4" t="str">
        <f>HYPERLINK("http://legacy.baseballprospectus.com/fantasy/dc/index.php?tm=CHN","CHN")</f>
        <v>CHN</v>
      </c>
      <c r="K1075" t="s">
        <v>100</v>
      </c>
      <c r="L1075" t="s">
        <v>34</v>
      </c>
      <c r="M1075">
        <v>21</v>
      </c>
      <c r="N1075">
        <v>1.4</v>
      </c>
      <c r="O1075">
        <v>3.7</v>
      </c>
      <c r="P1075">
        <v>0.3</v>
      </c>
      <c r="Q1075">
        <v>0</v>
      </c>
      <c r="R1075">
        <v>0</v>
      </c>
      <c r="S1075">
        <v>0</v>
      </c>
      <c r="T1075">
        <v>8.1</v>
      </c>
      <c r="U1075">
        <v>8.1</v>
      </c>
      <c r="V1075" s="9">
        <v>32</v>
      </c>
      <c r="W1075">
        <v>150</v>
      </c>
      <c r="X1075">
        <v>42</v>
      </c>
      <c r="Y1075">
        <v>12</v>
      </c>
      <c r="Z1075">
        <v>17</v>
      </c>
      <c r="AA1075" t="s">
        <v>1680</v>
      </c>
      <c r="AB1075">
        <v>1</v>
      </c>
      <c r="AC1075">
        <v>26</v>
      </c>
      <c r="AD1075">
        <v>4.9000000000000004</v>
      </c>
      <c r="AE1075">
        <v>7.3</v>
      </c>
      <c r="AF1075" s="5">
        <v>0.38302695751190102</v>
      </c>
      <c r="AG1075">
        <v>0.31900000000000001</v>
      </c>
      <c r="AH1075">
        <v>1.85</v>
      </c>
      <c r="AI1075">
        <v>8.26</v>
      </c>
      <c r="AJ1075">
        <v>9.18</v>
      </c>
      <c r="AK1075">
        <v>-11.9</v>
      </c>
      <c r="AL1075">
        <v>-1.3</v>
      </c>
      <c r="AM1075">
        <v>0</v>
      </c>
      <c r="AN1075">
        <v>0</v>
      </c>
      <c r="AO1075">
        <v>0</v>
      </c>
      <c r="AP1075">
        <v>0</v>
      </c>
      <c r="AQ1075" t="s">
        <v>3471</v>
      </c>
      <c r="AR1075">
        <v>0</v>
      </c>
      <c r="AS1075" t="s">
        <v>36</v>
      </c>
      <c r="AT1075" t="s">
        <v>35</v>
      </c>
      <c r="AU1075" s="4">
        <f>HYPERLINK("http://mlb.mlb.com/team/player.jsp?player_id=663893",663893)</f>
        <v>663893</v>
      </c>
      <c r="AV1075">
        <v>1169</v>
      </c>
      <c r="AW1075">
        <v>169</v>
      </c>
      <c r="AX1075">
        <v>0</v>
      </c>
    </row>
    <row r="1076" spans="1:50" x14ac:dyDescent="0.3">
      <c r="A1076" s="4">
        <f>HYPERLINK("http://legacy.baseballprospectus.com/p/48029",48029)</f>
        <v>48029</v>
      </c>
      <c r="B1076" t="s">
        <v>455</v>
      </c>
      <c r="C1076" t="s">
        <v>182</v>
      </c>
      <c r="D1076" s="10">
        <v>30920</v>
      </c>
      <c r="E1076" t="s">
        <v>33</v>
      </c>
      <c r="F1076" t="s">
        <v>33</v>
      </c>
      <c r="G1076">
        <v>75</v>
      </c>
      <c r="H1076">
        <v>220</v>
      </c>
      <c r="I1076">
        <v>2018</v>
      </c>
      <c r="J1076" s="4" t="str">
        <f>HYPERLINK("http://legacy.baseballprospectus.com/fantasy/dc/index.php?tm=BOS","BOS")</f>
        <v>BOS</v>
      </c>
      <c r="K1076" t="s">
        <v>95</v>
      </c>
      <c r="L1076" t="s">
        <v>34</v>
      </c>
      <c r="M1076">
        <v>33</v>
      </c>
      <c r="N1076">
        <v>4</v>
      </c>
      <c r="O1076">
        <v>7.3</v>
      </c>
      <c r="P1076">
        <v>3.6</v>
      </c>
      <c r="Q1076">
        <v>0</v>
      </c>
      <c r="R1076">
        <v>0</v>
      </c>
      <c r="S1076">
        <v>0</v>
      </c>
      <c r="T1076">
        <v>15.6</v>
      </c>
      <c r="U1076">
        <v>15.6</v>
      </c>
      <c r="V1076" s="9">
        <v>87.333299999999994</v>
      </c>
      <c r="W1076">
        <v>402</v>
      </c>
      <c r="X1076">
        <v>112</v>
      </c>
      <c r="Y1076">
        <v>23</v>
      </c>
      <c r="Z1076">
        <v>31</v>
      </c>
      <c r="AA1076" t="s">
        <v>1680</v>
      </c>
      <c r="AB1076">
        <v>5</v>
      </c>
      <c r="AC1076">
        <v>57</v>
      </c>
      <c r="AD1076">
        <v>3.2</v>
      </c>
      <c r="AE1076">
        <v>5.9</v>
      </c>
      <c r="AF1076" s="5">
        <v>0.43053665757179199</v>
      </c>
      <c r="AG1076">
        <v>0.312</v>
      </c>
      <c r="AH1076">
        <v>1.63</v>
      </c>
      <c r="AI1076">
        <v>6.58</v>
      </c>
      <c r="AJ1076">
        <v>7.19</v>
      </c>
      <c r="AK1076">
        <v>-13.5</v>
      </c>
      <c r="AL1076">
        <v>-1.4</v>
      </c>
      <c r="AM1076">
        <v>10</v>
      </c>
      <c r="AN1076">
        <v>30</v>
      </c>
      <c r="AO1076">
        <v>17</v>
      </c>
      <c r="AP1076">
        <v>16</v>
      </c>
      <c r="AQ1076" t="s">
        <v>3481</v>
      </c>
      <c r="AR1076">
        <v>63</v>
      </c>
      <c r="AS1076" t="s">
        <v>36</v>
      </c>
      <c r="AT1076" t="s">
        <v>36</v>
      </c>
      <c r="AU1076" s="4">
        <f>HYPERLINK("http://mlb.mlb.com/team/player.jsp?player_id=452718",452718)</f>
        <v>452718</v>
      </c>
      <c r="AV1076">
        <v>0</v>
      </c>
      <c r="AW1076">
        <v>0</v>
      </c>
      <c r="AX1076">
        <v>8.3000000000000007</v>
      </c>
    </row>
    <row r="1077" spans="1:50" x14ac:dyDescent="0.3">
      <c r="A1077" s="4">
        <f>HYPERLINK("http://legacy.baseballprospectus.com/p/68645",68645)</f>
        <v>68645</v>
      </c>
      <c r="B1077" t="s">
        <v>1494</v>
      </c>
      <c r="C1077" t="s">
        <v>807</v>
      </c>
      <c r="D1077" s="10">
        <v>33467</v>
      </c>
      <c r="E1077" t="s">
        <v>9</v>
      </c>
      <c r="F1077" t="s">
        <v>9</v>
      </c>
      <c r="G1077">
        <v>74</v>
      </c>
      <c r="H1077">
        <v>175</v>
      </c>
      <c r="I1077">
        <v>2018</v>
      </c>
      <c r="J1077" s="4" t="str">
        <f>HYPERLINK("http://legacy.baseballprospectus.com/fantasy/dc/index.php?tm=SDN","SDN")</f>
        <v>SDN</v>
      </c>
      <c r="K1077" t="s">
        <v>100</v>
      </c>
      <c r="L1077" t="s">
        <v>34</v>
      </c>
      <c r="M1077">
        <v>26</v>
      </c>
      <c r="N1077">
        <v>4.8</v>
      </c>
      <c r="O1077">
        <v>9.3000000000000007</v>
      </c>
      <c r="P1077">
        <v>6.9</v>
      </c>
      <c r="Q1077">
        <v>0</v>
      </c>
      <c r="R1077">
        <v>0</v>
      </c>
      <c r="S1077">
        <v>0</v>
      </c>
      <c r="T1077">
        <v>22</v>
      </c>
      <c r="U1077">
        <v>22</v>
      </c>
      <c r="V1077" s="9">
        <v>105.66670000000001</v>
      </c>
      <c r="W1077">
        <v>456</v>
      </c>
      <c r="X1077">
        <v>120</v>
      </c>
      <c r="Y1077">
        <v>26</v>
      </c>
      <c r="Z1077">
        <v>37</v>
      </c>
      <c r="AA1077" t="s">
        <v>1680</v>
      </c>
      <c r="AB1077">
        <v>3</v>
      </c>
      <c r="AC1077">
        <v>88</v>
      </c>
      <c r="AD1077">
        <v>3.2</v>
      </c>
      <c r="AE1077">
        <v>7.4</v>
      </c>
      <c r="AF1077" s="5">
        <v>0.36952576041221602</v>
      </c>
      <c r="AG1077">
        <v>0.312</v>
      </c>
      <c r="AH1077">
        <v>1.49</v>
      </c>
      <c r="AI1077">
        <v>5.88</v>
      </c>
      <c r="AJ1077">
        <v>6.83</v>
      </c>
      <c r="AK1077">
        <v>-13.3</v>
      </c>
      <c r="AL1077">
        <v>-1.4</v>
      </c>
      <c r="AM1077">
        <v>8</v>
      </c>
      <c r="AN1077">
        <v>10</v>
      </c>
      <c r="AO1077">
        <v>7</v>
      </c>
      <c r="AP1077">
        <v>16</v>
      </c>
      <c r="AQ1077" t="s">
        <v>3277</v>
      </c>
      <c r="AR1077">
        <v>26</v>
      </c>
      <c r="AS1077" t="s">
        <v>36</v>
      </c>
      <c r="AT1077" t="s">
        <v>35</v>
      </c>
      <c r="AU1077" s="4">
        <f>HYPERLINK("http://mlb.mlb.com/team/player.jsp?player_id=592614",592614)</f>
        <v>592614</v>
      </c>
      <c r="AV1077">
        <v>0</v>
      </c>
      <c r="AW1077">
        <v>0</v>
      </c>
      <c r="AX1077">
        <v>23</v>
      </c>
    </row>
    <row r="1078" spans="1:50" x14ac:dyDescent="0.3">
      <c r="A1078" s="4">
        <f>HYPERLINK("http://legacy.baseballprospectus.com/p/101190",101190)</f>
        <v>101190</v>
      </c>
      <c r="B1078" t="s">
        <v>1600</v>
      </c>
      <c r="C1078" t="s">
        <v>337</v>
      </c>
      <c r="D1078" s="10">
        <v>34819</v>
      </c>
      <c r="E1078" t="s">
        <v>33</v>
      </c>
      <c r="F1078" t="s">
        <v>33</v>
      </c>
      <c r="G1078">
        <v>76</v>
      </c>
      <c r="H1078">
        <v>190</v>
      </c>
      <c r="I1078">
        <v>2018</v>
      </c>
      <c r="J1078" s="4" t="str">
        <f>HYPERLINK("http://legacy.baseballprospectus.com/fantasy/dc/index.php?tm=COL","COL")</f>
        <v>COL</v>
      </c>
      <c r="K1078" t="s">
        <v>100</v>
      </c>
      <c r="L1078" t="s">
        <v>34</v>
      </c>
      <c r="M1078">
        <v>23</v>
      </c>
      <c r="N1078">
        <v>6.2</v>
      </c>
      <c r="O1078">
        <v>8.6</v>
      </c>
      <c r="P1078">
        <v>6.2</v>
      </c>
      <c r="Q1078">
        <v>0</v>
      </c>
      <c r="R1078">
        <v>0</v>
      </c>
      <c r="S1078">
        <v>0</v>
      </c>
      <c r="T1078">
        <v>21.5</v>
      </c>
      <c r="U1078">
        <v>21.5</v>
      </c>
      <c r="V1078" s="9">
        <v>113.66670000000001</v>
      </c>
      <c r="W1078">
        <v>509</v>
      </c>
      <c r="X1078">
        <v>143</v>
      </c>
      <c r="Y1078">
        <v>29</v>
      </c>
      <c r="Z1078">
        <v>47</v>
      </c>
      <c r="AA1078" t="s">
        <v>1680</v>
      </c>
      <c r="AB1078">
        <v>3</v>
      </c>
      <c r="AC1078">
        <v>96</v>
      </c>
      <c r="AD1078">
        <v>3.7</v>
      </c>
      <c r="AE1078">
        <v>7.6</v>
      </c>
      <c r="AF1078" s="5">
        <v>0.41284340620040799</v>
      </c>
      <c r="AG1078">
        <v>0.34100000000000003</v>
      </c>
      <c r="AH1078">
        <v>1.67</v>
      </c>
      <c r="AI1078">
        <v>6.07</v>
      </c>
      <c r="AJ1078">
        <v>6.71</v>
      </c>
      <c r="AK1078">
        <v>-12.9</v>
      </c>
      <c r="AL1078">
        <v>-1.4</v>
      </c>
      <c r="AM1078">
        <v>1</v>
      </c>
      <c r="AN1078">
        <v>1</v>
      </c>
      <c r="AO1078">
        <v>0</v>
      </c>
      <c r="AP1078">
        <v>1</v>
      </c>
      <c r="AQ1078" t="s">
        <v>3461</v>
      </c>
      <c r="AR1078">
        <v>1</v>
      </c>
      <c r="AS1078" t="s">
        <v>36</v>
      </c>
      <c r="AT1078" t="s">
        <v>35</v>
      </c>
      <c r="AU1078" s="4">
        <f>HYPERLINK("http://mlb.mlb.com/team/player.jsp?player_id=622786",622786)</f>
        <v>622786</v>
      </c>
      <c r="AV1078">
        <v>0</v>
      </c>
      <c r="AW1078">
        <v>0</v>
      </c>
      <c r="AX1078">
        <v>0</v>
      </c>
    </row>
    <row r="1079" spans="1:50" x14ac:dyDescent="0.3">
      <c r="A1079" s="4">
        <f>HYPERLINK("http://legacy.baseballprospectus.com/p/103078",103078)</f>
        <v>103078</v>
      </c>
      <c r="B1079" t="s">
        <v>380</v>
      </c>
      <c r="C1079" t="s">
        <v>3291</v>
      </c>
      <c r="D1079" s="10">
        <v>34981</v>
      </c>
      <c r="E1079" t="s">
        <v>33</v>
      </c>
      <c r="F1079" t="s">
        <v>33</v>
      </c>
      <c r="G1079">
        <v>72</v>
      </c>
      <c r="H1079">
        <v>216</v>
      </c>
      <c r="I1079">
        <v>2018</v>
      </c>
      <c r="J1079" s="4" t="str">
        <f>HYPERLINK("http://legacy.baseballprospectus.com/fantasy/dc/index.php?tm=MIA","MIA")</f>
        <v>MIA</v>
      </c>
      <c r="K1079" t="s">
        <v>100</v>
      </c>
      <c r="L1079" t="s">
        <v>34</v>
      </c>
      <c r="M1079">
        <v>22</v>
      </c>
      <c r="N1079">
        <v>4.5999999999999996</v>
      </c>
      <c r="O1079">
        <v>7.7</v>
      </c>
      <c r="P1079">
        <v>5.0999999999999996</v>
      </c>
      <c r="Q1079">
        <v>0</v>
      </c>
      <c r="R1079">
        <v>0</v>
      </c>
      <c r="S1079">
        <v>0</v>
      </c>
      <c r="T1079">
        <v>17.8</v>
      </c>
      <c r="U1079">
        <v>17.8</v>
      </c>
      <c r="V1079" s="9">
        <v>95</v>
      </c>
      <c r="W1079">
        <v>412</v>
      </c>
      <c r="X1079">
        <v>104</v>
      </c>
      <c r="Y1079">
        <v>25</v>
      </c>
      <c r="Z1079">
        <v>41</v>
      </c>
      <c r="AA1079" t="s">
        <v>1680</v>
      </c>
      <c r="AB1079">
        <v>3</v>
      </c>
      <c r="AC1079">
        <v>89</v>
      </c>
      <c r="AD1079">
        <v>3.9</v>
      </c>
      <c r="AE1079">
        <v>8.5</v>
      </c>
      <c r="AF1079" s="5">
        <v>0.44380348920822099</v>
      </c>
      <c r="AG1079">
        <v>0.311</v>
      </c>
      <c r="AH1079">
        <v>1.53</v>
      </c>
      <c r="AI1079">
        <v>6.13</v>
      </c>
      <c r="AJ1079">
        <v>6.93</v>
      </c>
      <c r="AK1079">
        <v>-12.9</v>
      </c>
      <c r="AL1079">
        <v>-1.4</v>
      </c>
      <c r="AM1079">
        <v>9</v>
      </c>
      <c r="AN1079">
        <v>12</v>
      </c>
      <c r="AO1079">
        <v>0</v>
      </c>
      <c r="AP1079">
        <v>9</v>
      </c>
      <c r="AQ1079" t="s">
        <v>3292</v>
      </c>
      <c r="AR1079">
        <v>15</v>
      </c>
      <c r="AS1079" t="s">
        <v>36</v>
      </c>
      <c r="AT1079" t="s">
        <v>35</v>
      </c>
      <c r="AU1079" s="4">
        <f>HYPERLINK("http://mlb.mlb.com/team/player.jsp?player_id=642571",642571)</f>
        <v>642571</v>
      </c>
      <c r="AV1079">
        <v>1227</v>
      </c>
      <c r="AW1079">
        <v>227</v>
      </c>
      <c r="AX1079">
        <v>0</v>
      </c>
    </row>
    <row r="1080" spans="1:50" x14ac:dyDescent="0.3">
      <c r="A1080" s="4">
        <f>HYPERLINK("http://legacy.baseballprospectus.com/p/103806",103806)</f>
        <v>103806</v>
      </c>
      <c r="B1080" t="s">
        <v>915</v>
      </c>
      <c r="C1080" t="s">
        <v>202</v>
      </c>
      <c r="D1080" s="10">
        <v>33953</v>
      </c>
      <c r="E1080" t="s">
        <v>33</v>
      </c>
      <c r="F1080" t="s">
        <v>33</v>
      </c>
      <c r="G1080">
        <v>76</v>
      </c>
      <c r="H1080">
        <v>175</v>
      </c>
      <c r="I1080">
        <v>2018</v>
      </c>
      <c r="J1080" s="4" t="str">
        <f>HYPERLINK("http://legacy.baseballprospectus.com/fantasy/dc/index.php?tm=KCA","KCA")</f>
        <v>KCA</v>
      </c>
      <c r="K1080" t="s">
        <v>95</v>
      </c>
      <c r="L1080" t="s">
        <v>34</v>
      </c>
      <c r="M1080">
        <v>25</v>
      </c>
      <c r="N1080">
        <v>5.4</v>
      </c>
      <c r="O1080">
        <v>10.7</v>
      </c>
      <c r="P1080">
        <v>6</v>
      </c>
      <c r="Q1080">
        <v>0</v>
      </c>
      <c r="R1080">
        <v>0</v>
      </c>
      <c r="S1080">
        <v>0</v>
      </c>
      <c r="T1080">
        <v>24.5</v>
      </c>
      <c r="U1080">
        <v>24.5</v>
      </c>
      <c r="V1080" s="9">
        <v>118.66670000000001</v>
      </c>
      <c r="W1080">
        <v>550</v>
      </c>
      <c r="X1080">
        <v>150</v>
      </c>
      <c r="Y1080">
        <v>31</v>
      </c>
      <c r="Z1080">
        <v>48</v>
      </c>
      <c r="AA1080" t="s">
        <v>1680</v>
      </c>
      <c r="AB1080">
        <v>3</v>
      </c>
      <c r="AC1080">
        <v>95</v>
      </c>
      <c r="AD1080">
        <v>3.6</v>
      </c>
      <c r="AE1080">
        <v>7.2</v>
      </c>
      <c r="AF1080" s="5">
        <v>0.427967339754104</v>
      </c>
      <c r="AG1080">
        <v>0.31900000000000001</v>
      </c>
      <c r="AH1080">
        <v>1.67</v>
      </c>
      <c r="AI1080">
        <v>6.48</v>
      </c>
      <c r="AJ1080">
        <v>6.8</v>
      </c>
      <c r="AK1080">
        <v>-13.5</v>
      </c>
      <c r="AL1080">
        <v>-1.4</v>
      </c>
      <c r="AM1080">
        <v>4</v>
      </c>
      <c r="AN1080">
        <v>6</v>
      </c>
      <c r="AO1080">
        <v>2</v>
      </c>
      <c r="AP1080">
        <v>5</v>
      </c>
      <c r="AQ1080" t="s">
        <v>3394</v>
      </c>
      <c r="AR1080">
        <v>8</v>
      </c>
      <c r="AS1080" t="s">
        <v>36</v>
      </c>
      <c r="AT1080" t="s">
        <v>35</v>
      </c>
      <c r="AU1080" s="4">
        <f>HYPERLINK("http://mlb.mlb.com/team/player.jsp?player_id=605436",605436)</f>
        <v>605436</v>
      </c>
      <c r="AV1080">
        <v>0</v>
      </c>
      <c r="AW1080">
        <v>0</v>
      </c>
      <c r="AX1080">
        <v>0</v>
      </c>
    </row>
    <row r="1081" spans="1:50" x14ac:dyDescent="0.3">
      <c r="A1081" s="4">
        <f>HYPERLINK("http://legacy.baseballprospectus.com/p/104481",104481)</f>
        <v>104481</v>
      </c>
      <c r="B1081" t="s">
        <v>214</v>
      </c>
      <c r="C1081" t="s">
        <v>2959</v>
      </c>
      <c r="D1081" s="10">
        <v>35348</v>
      </c>
      <c r="E1081" t="s">
        <v>9</v>
      </c>
      <c r="F1081" t="s">
        <v>9</v>
      </c>
      <c r="G1081">
        <v>73</v>
      </c>
      <c r="H1081">
        <v>170</v>
      </c>
      <c r="I1081">
        <v>2018</v>
      </c>
      <c r="J1081" s="4" t="str">
        <f>HYPERLINK("http://legacy.baseballprospectus.com/fantasy/dc/index.php?tm=TBA","TBA")</f>
        <v>TBA</v>
      </c>
      <c r="K1081" t="s">
        <v>95</v>
      </c>
      <c r="L1081" t="s">
        <v>34</v>
      </c>
      <c r="M1081">
        <v>21</v>
      </c>
      <c r="N1081">
        <v>5</v>
      </c>
      <c r="O1081">
        <v>8</v>
      </c>
      <c r="P1081">
        <v>5.3</v>
      </c>
      <c r="Q1081">
        <v>0</v>
      </c>
      <c r="R1081">
        <v>0.5</v>
      </c>
      <c r="S1081">
        <v>0</v>
      </c>
      <c r="T1081">
        <v>32.1</v>
      </c>
      <c r="U1081">
        <v>17.899999999999999</v>
      </c>
      <c r="V1081" s="9">
        <v>108</v>
      </c>
      <c r="W1081">
        <v>480</v>
      </c>
      <c r="X1081">
        <v>112</v>
      </c>
      <c r="Y1081">
        <v>27</v>
      </c>
      <c r="Z1081">
        <v>50</v>
      </c>
      <c r="AA1081" t="s">
        <v>1680</v>
      </c>
      <c r="AB1081">
        <v>3</v>
      </c>
      <c r="AC1081">
        <v>111</v>
      </c>
      <c r="AD1081">
        <v>4.0999999999999996</v>
      </c>
      <c r="AE1081">
        <v>9.1999999999999993</v>
      </c>
      <c r="AF1081" s="5">
        <v>0.37563496828079201</v>
      </c>
      <c r="AG1081">
        <v>0.29299999999999998</v>
      </c>
      <c r="AH1081">
        <v>1.49</v>
      </c>
      <c r="AI1081">
        <v>5.98</v>
      </c>
      <c r="AJ1081">
        <v>6.64</v>
      </c>
      <c r="AK1081">
        <v>-12.9</v>
      </c>
      <c r="AL1081">
        <v>-1.4</v>
      </c>
      <c r="AM1081">
        <v>3</v>
      </c>
      <c r="AN1081">
        <v>4</v>
      </c>
      <c r="AO1081">
        <v>0</v>
      </c>
      <c r="AP1081">
        <v>4</v>
      </c>
      <c r="AQ1081" t="s">
        <v>2960</v>
      </c>
      <c r="AR1081">
        <v>6</v>
      </c>
      <c r="AS1081" t="s">
        <v>36</v>
      </c>
      <c r="AT1081" t="s">
        <v>35</v>
      </c>
      <c r="AU1081" s="4">
        <f>HYPERLINK("http://mlb.mlb.com/team/player.jsp?player_id=650893",650893)</f>
        <v>650893</v>
      </c>
      <c r="AV1081">
        <v>0</v>
      </c>
      <c r="AW1081">
        <v>0</v>
      </c>
      <c r="AX1081">
        <v>0</v>
      </c>
    </row>
    <row r="1082" spans="1:50" x14ac:dyDescent="0.3">
      <c r="A1082" s="4">
        <f>HYPERLINK("http://legacy.baseballprospectus.com/p/105472",105472)</f>
        <v>105472</v>
      </c>
      <c r="B1082" t="s">
        <v>1323</v>
      </c>
      <c r="C1082" t="s">
        <v>258</v>
      </c>
      <c r="D1082" s="10">
        <v>34529</v>
      </c>
      <c r="E1082" t="s">
        <v>33</v>
      </c>
      <c r="F1082" t="s">
        <v>9</v>
      </c>
      <c r="G1082">
        <v>74</v>
      </c>
      <c r="H1082">
        <v>200</v>
      </c>
      <c r="I1082">
        <v>2018</v>
      </c>
      <c r="J1082" s="4" t="str">
        <f>HYPERLINK("http://legacy.baseballprospectus.com/fantasy/dc/index.php?tm=DET","DET")</f>
        <v>DET</v>
      </c>
      <c r="K1082" t="s">
        <v>95</v>
      </c>
      <c r="L1082" t="s">
        <v>34</v>
      </c>
      <c r="M1082">
        <v>23</v>
      </c>
      <c r="N1082">
        <v>5.3</v>
      </c>
      <c r="O1082">
        <v>10.199999999999999</v>
      </c>
      <c r="P1082">
        <v>5</v>
      </c>
      <c r="Q1082">
        <v>0</v>
      </c>
      <c r="R1082">
        <v>0</v>
      </c>
      <c r="S1082">
        <v>0</v>
      </c>
      <c r="T1082">
        <v>23.2</v>
      </c>
      <c r="U1082">
        <v>23.2</v>
      </c>
      <c r="V1082" s="9">
        <v>113.33329999999999</v>
      </c>
      <c r="W1082">
        <v>521</v>
      </c>
      <c r="X1082">
        <v>149</v>
      </c>
      <c r="Y1082">
        <v>35</v>
      </c>
      <c r="Z1082">
        <v>36</v>
      </c>
      <c r="AA1082" t="s">
        <v>1680</v>
      </c>
      <c r="AB1082">
        <v>4</v>
      </c>
      <c r="AC1082">
        <v>95</v>
      </c>
      <c r="AD1082">
        <v>2.9</v>
      </c>
      <c r="AE1082">
        <v>7.5</v>
      </c>
      <c r="AF1082" s="5">
        <v>0.46042162179946899</v>
      </c>
      <c r="AG1082">
        <v>0.32700000000000001</v>
      </c>
      <c r="AH1082">
        <v>1.63</v>
      </c>
      <c r="AI1082">
        <v>6.72</v>
      </c>
      <c r="AJ1082">
        <v>6.82</v>
      </c>
      <c r="AK1082">
        <v>-13.2</v>
      </c>
      <c r="AL1082">
        <v>-1.4</v>
      </c>
      <c r="AM1082">
        <v>8</v>
      </c>
      <c r="AN1082">
        <v>13</v>
      </c>
      <c r="AO1082">
        <v>9</v>
      </c>
      <c r="AP1082">
        <v>20</v>
      </c>
      <c r="AQ1082" t="s">
        <v>2973</v>
      </c>
      <c r="AR1082">
        <v>25</v>
      </c>
      <c r="AS1082" t="s">
        <v>36</v>
      </c>
      <c r="AT1082" t="s">
        <v>35</v>
      </c>
      <c r="AU1082" s="4">
        <f>HYPERLINK("http://mlb.mlb.com/team/player.jsp?player_id=641302",641302)</f>
        <v>641302</v>
      </c>
      <c r="AV1082">
        <v>0</v>
      </c>
      <c r="AW1082">
        <v>0</v>
      </c>
      <c r="AX1082">
        <v>0</v>
      </c>
    </row>
    <row r="1083" spans="1:50" x14ac:dyDescent="0.3">
      <c r="A1083" s="4">
        <f>HYPERLINK("http://legacy.baseballprospectus.com/p/106652",106652)</f>
        <v>106652</v>
      </c>
      <c r="B1083" t="s">
        <v>568</v>
      </c>
      <c r="C1083" t="s">
        <v>3358</v>
      </c>
      <c r="D1083" s="10">
        <v>35138</v>
      </c>
      <c r="E1083" t="s">
        <v>33</v>
      </c>
      <c r="F1083" t="s">
        <v>33</v>
      </c>
      <c r="G1083">
        <v>80</v>
      </c>
      <c r="H1083">
        <v>190</v>
      </c>
      <c r="I1083">
        <v>2018</v>
      </c>
      <c r="J1083" s="4" t="str">
        <f>HYPERLINK("http://legacy.baseballprospectus.com/fantasy/dc/index.php?tm=NYA","NYA")</f>
        <v>NYA</v>
      </c>
      <c r="K1083" t="s">
        <v>95</v>
      </c>
      <c r="L1083" t="s">
        <v>34</v>
      </c>
      <c r="M1083">
        <v>22</v>
      </c>
      <c r="N1083">
        <v>4.5</v>
      </c>
      <c r="O1083">
        <v>7.7</v>
      </c>
      <c r="P1083">
        <v>3.9</v>
      </c>
      <c r="Q1083">
        <v>0</v>
      </c>
      <c r="R1083">
        <v>0</v>
      </c>
      <c r="S1083">
        <v>0</v>
      </c>
      <c r="T1083">
        <v>18.600000000000001</v>
      </c>
      <c r="U1083">
        <v>18.600000000000001</v>
      </c>
      <c r="V1083" s="9">
        <v>88.333299999999994</v>
      </c>
      <c r="W1083">
        <v>403</v>
      </c>
      <c r="X1083">
        <v>97</v>
      </c>
      <c r="Y1083">
        <v>26</v>
      </c>
      <c r="Z1083">
        <v>43</v>
      </c>
      <c r="AA1083" t="s">
        <v>1680</v>
      </c>
      <c r="AB1083">
        <v>5</v>
      </c>
      <c r="AC1083">
        <v>84</v>
      </c>
      <c r="AD1083">
        <v>4.3</v>
      </c>
      <c r="AE1083">
        <v>8.6</v>
      </c>
      <c r="AF1083" s="5">
        <v>0.38782724738120999</v>
      </c>
      <c r="AG1083">
        <v>0.29099999999999998</v>
      </c>
      <c r="AH1083">
        <v>1.58</v>
      </c>
      <c r="AI1083">
        <v>6.72</v>
      </c>
      <c r="AJ1083">
        <v>7.1</v>
      </c>
      <c r="AK1083">
        <v>-12.8</v>
      </c>
      <c r="AL1083">
        <v>-1.4</v>
      </c>
      <c r="AM1083">
        <v>2</v>
      </c>
      <c r="AN1083">
        <v>2</v>
      </c>
      <c r="AO1083">
        <v>0</v>
      </c>
      <c r="AP1083">
        <v>2</v>
      </c>
      <c r="AQ1083" t="s">
        <v>3359</v>
      </c>
      <c r="AR1083">
        <v>4</v>
      </c>
      <c r="AS1083" t="s">
        <v>36</v>
      </c>
      <c r="AT1083" t="s">
        <v>35</v>
      </c>
      <c r="AU1083" s="4">
        <f>HYPERLINK("http://mlb.mlb.com/team/player.jsp?player_id=661426",661426)</f>
        <v>661426</v>
      </c>
      <c r="AV1083">
        <v>194</v>
      </c>
      <c r="AW1083">
        <v>1194</v>
      </c>
      <c r="AX1083">
        <v>0</v>
      </c>
    </row>
    <row r="1084" spans="1:50" x14ac:dyDescent="0.3">
      <c r="A1084" s="4">
        <f>HYPERLINK("http://legacy.baseballprospectus.com/p/108793",108793)</f>
        <v>108793</v>
      </c>
      <c r="B1084" t="s">
        <v>3475</v>
      </c>
      <c r="C1084" t="s">
        <v>3476</v>
      </c>
      <c r="D1084" s="10">
        <v>35119</v>
      </c>
      <c r="E1084" t="s">
        <v>33</v>
      </c>
      <c r="F1084" t="s">
        <v>33</v>
      </c>
      <c r="G1084">
        <v>74</v>
      </c>
      <c r="H1084">
        <v>190</v>
      </c>
      <c r="I1084">
        <v>2018</v>
      </c>
      <c r="J1084" s="4" t="str">
        <f>HYPERLINK("http://legacy.baseballprospectus.com/fantasy/dc/index.php?tm=TBA","TBA")</f>
        <v>TBA</v>
      </c>
      <c r="K1084" t="s">
        <v>95</v>
      </c>
      <c r="L1084" t="s">
        <v>34</v>
      </c>
      <c r="M1084">
        <v>22</v>
      </c>
      <c r="N1084">
        <v>1.1000000000000001</v>
      </c>
      <c r="O1084">
        <v>3.4</v>
      </c>
      <c r="P1084">
        <v>0.3</v>
      </c>
      <c r="Q1084">
        <v>0</v>
      </c>
      <c r="R1084">
        <v>0.1</v>
      </c>
      <c r="S1084">
        <v>0</v>
      </c>
      <c r="T1084">
        <v>10.3</v>
      </c>
      <c r="U1084">
        <v>5.8</v>
      </c>
      <c r="V1084" s="9">
        <v>36.333300000000001</v>
      </c>
      <c r="W1084">
        <v>168</v>
      </c>
      <c r="X1084">
        <v>45</v>
      </c>
      <c r="Y1084">
        <v>15</v>
      </c>
      <c r="Z1084">
        <v>17</v>
      </c>
      <c r="AA1084" t="s">
        <v>1680</v>
      </c>
      <c r="AB1084">
        <v>1</v>
      </c>
      <c r="AC1084">
        <v>34</v>
      </c>
      <c r="AD1084">
        <v>4.2</v>
      </c>
      <c r="AE1084">
        <v>8.5</v>
      </c>
      <c r="AF1084" s="5">
        <v>0.37868186831474299</v>
      </c>
      <c r="AG1084">
        <v>0.29599999999999999</v>
      </c>
      <c r="AH1084">
        <v>1.7</v>
      </c>
      <c r="AI1084">
        <v>8.16</v>
      </c>
      <c r="AJ1084">
        <v>9.07</v>
      </c>
      <c r="AK1084">
        <v>-13</v>
      </c>
      <c r="AL1084">
        <v>-1.4</v>
      </c>
      <c r="AM1084">
        <v>1</v>
      </c>
      <c r="AN1084">
        <v>1</v>
      </c>
      <c r="AO1084">
        <v>0</v>
      </c>
      <c r="AP1084">
        <v>0</v>
      </c>
      <c r="AQ1084" t="s">
        <v>3477</v>
      </c>
      <c r="AR1084">
        <v>1</v>
      </c>
      <c r="AS1084" t="s">
        <v>36</v>
      </c>
      <c r="AT1084" t="s">
        <v>35</v>
      </c>
      <c r="AU1084" s="4">
        <f>HYPERLINK("http://mlb.mlb.com/team/player.jsp?player_id=668944",668944)</f>
        <v>668944</v>
      </c>
      <c r="AV1084">
        <v>0</v>
      </c>
      <c r="AW1084">
        <v>0</v>
      </c>
      <c r="AX1084">
        <v>0</v>
      </c>
    </row>
    <row r="1085" spans="1:50" x14ac:dyDescent="0.3">
      <c r="A1085" s="4">
        <f>HYPERLINK("http://legacy.baseballprospectus.com/p/109067",109067)</f>
        <v>109067</v>
      </c>
      <c r="B1085" t="s">
        <v>1502</v>
      </c>
      <c r="C1085" t="s">
        <v>109</v>
      </c>
      <c r="D1085" s="10">
        <v>34851</v>
      </c>
      <c r="E1085" t="s">
        <v>33</v>
      </c>
      <c r="F1085" t="s">
        <v>33</v>
      </c>
      <c r="G1085">
        <v>70</v>
      </c>
      <c r="H1085">
        <v>190</v>
      </c>
      <c r="I1085">
        <v>2018</v>
      </c>
      <c r="J1085" s="4" t="str">
        <f>HYPERLINK("http://legacy.baseballprospectus.com/fantasy/dc/index.php?tm=LAN","LAN")</f>
        <v>LAN</v>
      </c>
      <c r="K1085" t="s">
        <v>100</v>
      </c>
      <c r="L1085" t="s">
        <v>34</v>
      </c>
      <c r="M1085">
        <v>23</v>
      </c>
      <c r="N1085">
        <v>4.5999999999999996</v>
      </c>
      <c r="O1085">
        <v>7.2</v>
      </c>
      <c r="P1085">
        <v>5.8</v>
      </c>
      <c r="Q1085">
        <v>0</v>
      </c>
      <c r="R1085">
        <v>0</v>
      </c>
      <c r="S1085">
        <v>0</v>
      </c>
      <c r="T1085">
        <v>20.6</v>
      </c>
      <c r="U1085">
        <v>20.6</v>
      </c>
      <c r="V1085" s="9">
        <v>80.333299999999994</v>
      </c>
      <c r="W1085">
        <v>350</v>
      </c>
      <c r="X1085">
        <v>85</v>
      </c>
      <c r="Y1085">
        <v>22</v>
      </c>
      <c r="Z1085">
        <v>38</v>
      </c>
      <c r="AA1085" t="s">
        <v>1680</v>
      </c>
      <c r="AB1085">
        <v>4</v>
      </c>
      <c r="AC1085">
        <v>84</v>
      </c>
      <c r="AD1085">
        <v>4.3</v>
      </c>
      <c r="AE1085">
        <v>9.5</v>
      </c>
      <c r="AF1085" s="5">
        <v>0.39722248911857599</v>
      </c>
      <c r="AG1085">
        <v>0.31</v>
      </c>
      <c r="AH1085">
        <v>1.53</v>
      </c>
      <c r="AI1085">
        <v>6.18</v>
      </c>
      <c r="AJ1085">
        <v>7.15</v>
      </c>
      <c r="AK1085">
        <v>-12.7</v>
      </c>
      <c r="AL1085">
        <v>-1.4</v>
      </c>
      <c r="AM1085">
        <v>7</v>
      </c>
      <c r="AN1085">
        <v>7</v>
      </c>
      <c r="AO1085">
        <v>1</v>
      </c>
      <c r="AP1085">
        <v>7</v>
      </c>
      <c r="AQ1085" t="s">
        <v>3487</v>
      </c>
      <c r="AR1085">
        <v>8</v>
      </c>
      <c r="AS1085" t="s">
        <v>36</v>
      </c>
      <c r="AT1085" t="s">
        <v>35</v>
      </c>
      <c r="AU1085" s="4">
        <f>HYPERLINK("http://mlb.mlb.com/team/player.jsp?player_id=642068",642068)</f>
        <v>642068</v>
      </c>
      <c r="AV1085">
        <v>1176</v>
      </c>
      <c r="AW1085">
        <v>176</v>
      </c>
      <c r="AX1085">
        <v>0</v>
      </c>
    </row>
    <row r="1086" spans="1:50" x14ac:dyDescent="0.3">
      <c r="A1086" s="4">
        <f>HYPERLINK("http://legacy.baseballprospectus.com/p/110081",110081)</f>
        <v>110081</v>
      </c>
      <c r="B1086" t="s">
        <v>443</v>
      </c>
      <c r="C1086" t="s">
        <v>808</v>
      </c>
      <c r="D1086" s="10">
        <v>36112</v>
      </c>
      <c r="E1086" t="s">
        <v>33</v>
      </c>
      <c r="F1086" t="s">
        <v>33</v>
      </c>
      <c r="G1086">
        <v>74</v>
      </c>
      <c r="H1086">
        <v>175</v>
      </c>
      <c r="I1086">
        <v>2018</v>
      </c>
      <c r="J1086" s="4" t="str">
        <f>HYPERLINK("http://legacy.baseballprospectus.com/fantasy/dc/index.php?tm=PIT","PIT")</f>
        <v>PIT</v>
      </c>
      <c r="K1086" t="s">
        <v>100</v>
      </c>
      <c r="L1086" t="s">
        <v>34</v>
      </c>
      <c r="M1086">
        <v>19</v>
      </c>
      <c r="N1086">
        <v>1</v>
      </c>
      <c r="O1086">
        <v>4.0999999999999996</v>
      </c>
      <c r="P1086">
        <v>0.1</v>
      </c>
      <c r="Q1086">
        <v>0</v>
      </c>
      <c r="R1086">
        <v>0</v>
      </c>
      <c r="S1086">
        <v>0</v>
      </c>
      <c r="T1086">
        <v>8.5</v>
      </c>
      <c r="U1086">
        <v>8.5</v>
      </c>
      <c r="V1086" s="9">
        <v>31.333300000000001</v>
      </c>
      <c r="W1086">
        <v>150</v>
      </c>
      <c r="X1086">
        <v>44</v>
      </c>
      <c r="Y1086">
        <v>11</v>
      </c>
      <c r="Z1086">
        <v>19</v>
      </c>
      <c r="AA1086" t="s">
        <v>1680</v>
      </c>
      <c r="AB1086">
        <v>1</v>
      </c>
      <c r="AC1086">
        <v>20</v>
      </c>
      <c r="AD1086">
        <v>5.5</v>
      </c>
      <c r="AE1086">
        <v>5.8</v>
      </c>
      <c r="AF1086" s="5">
        <v>0.51441937685012795</v>
      </c>
      <c r="AG1086">
        <v>0.32800000000000001</v>
      </c>
      <c r="AH1086">
        <v>2</v>
      </c>
      <c r="AI1086">
        <v>8.5299999999999994</v>
      </c>
      <c r="AJ1086">
        <v>9.57</v>
      </c>
      <c r="AK1086">
        <v>-12.8</v>
      </c>
      <c r="AL1086">
        <v>-1.4</v>
      </c>
      <c r="AM1086">
        <v>0</v>
      </c>
      <c r="AN1086">
        <v>0</v>
      </c>
      <c r="AO1086">
        <v>0</v>
      </c>
      <c r="AP1086">
        <v>0</v>
      </c>
      <c r="AQ1086" t="s">
        <v>3469</v>
      </c>
      <c r="AR1086">
        <v>0</v>
      </c>
      <c r="AS1086" t="s">
        <v>36</v>
      </c>
      <c r="AT1086" t="s">
        <v>35</v>
      </c>
      <c r="AU1086" s="4">
        <f>HYPERLINK("http://mlb.mlb.com/team/player.jsp?player_id=675651",675651)</f>
        <v>675651</v>
      </c>
      <c r="AV1086">
        <v>1200</v>
      </c>
      <c r="AW1086">
        <v>200</v>
      </c>
      <c r="AX1086">
        <v>0</v>
      </c>
    </row>
    <row r="1087" spans="1:50" x14ac:dyDescent="0.3">
      <c r="A1087" s="4">
        <f>HYPERLINK("http://legacy.baseballprospectus.com/p/106763",106763)</f>
        <v>106763</v>
      </c>
      <c r="B1087" t="s">
        <v>1585</v>
      </c>
      <c r="C1087" t="s">
        <v>621</v>
      </c>
      <c r="D1087" s="10">
        <v>35914</v>
      </c>
      <c r="E1087" t="s">
        <v>9</v>
      </c>
      <c r="F1087" t="s">
        <v>9</v>
      </c>
      <c r="G1087">
        <v>74</v>
      </c>
      <c r="H1087">
        <v>170</v>
      </c>
      <c r="I1087">
        <v>2018</v>
      </c>
      <c r="J1087" s="4" t="str">
        <f>HYPERLINK("http://legacy.baseballprospectus.com/fantasy/dc/index.php?tm=PIT","PIT")</f>
        <v>PIT</v>
      </c>
      <c r="K1087" t="s">
        <v>100</v>
      </c>
      <c r="L1087" t="s">
        <v>34</v>
      </c>
      <c r="M1087">
        <v>20</v>
      </c>
      <c r="N1087">
        <v>2.2000000000000002</v>
      </c>
      <c r="O1087">
        <v>5.0999999999999996</v>
      </c>
      <c r="P1087">
        <v>1.7</v>
      </c>
      <c r="Q1087">
        <v>0</v>
      </c>
      <c r="R1087">
        <v>0</v>
      </c>
      <c r="S1087">
        <v>0</v>
      </c>
      <c r="T1087">
        <v>11.1</v>
      </c>
      <c r="U1087">
        <v>11.1</v>
      </c>
      <c r="V1087" s="9">
        <v>52</v>
      </c>
      <c r="W1087">
        <v>239</v>
      </c>
      <c r="X1087">
        <v>68</v>
      </c>
      <c r="Y1087">
        <v>16</v>
      </c>
      <c r="Z1087">
        <v>24</v>
      </c>
      <c r="AA1087" t="s">
        <v>1680</v>
      </c>
      <c r="AB1087">
        <v>2</v>
      </c>
      <c r="AC1087">
        <v>38</v>
      </c>
      <c r="AD1087">
        <v>4.2</v>
      </c>
      <c r="AE1087">
        <v>6.6</v>
      </c>
      <c r="AF1087" s="5">
        <v>0.5071382522583</v>
      </c>
      <c r="AG1087">
        <v>0.32800000000000001</v>
      </c>
      <c r="AH1087">
        <v>1.78</v>
      </c>
      <c r="AI1087">
        <v>7.35</v>
      </c>
      <c r="AJ1087">
        <v>8.2200000000000006</v>
      </c>
      <c r="AK1087">
        <v>-14.1</v>
      </c>
      <c r="AL1087">
        <v>-1.5</v>
      </c>
      <c r="AM1087">
        <v>0</v>
      </c>
      <c r="AN1087">
        <v>0</v>
      </c>
      <c r="AO1087">
        <v>0</v>
      </c>
      <c r="AP1087">
        <v>0</v>
      </c>
      <c r="AQ1087" t="s">
        <v>4951</v>
      </c>
      <c r="AR1087">
        <v>0</v>
      </c>
      <c r="AS1087" t="s">
        <v>36</v>
      </c>
      <c r="AT1087" t="s">
        <v>35</v>
      </c>
      <c r="AU1087" s="4">
        <f>HYPERLINK("http://mlb.mlb.com/team/player.jsp?player_id=660781",660781)</f>
        <v>660781</v>
      </c>
      <c r="AV1087">
        <v>0</v>
      </c>
      <c r="AW1087">
        <v>0</v>
      </c>
      <c r="AX1087">
        <v>0</v>
      </c>
    </row>
    <row r="1088" spans="1:50" x14ac:dyDescent="0.3">
      <c r="A1088" s="4">
        <f>HYPERLINK("http://legacy.baseballprospectus.com/p/106925",106925)</f>
        <v>106925</v>
      </c>
      <c r="B1088" t="s">
        <v>637</v>
      </c>
      <c r="C1088" t="s">
        <v>136</v>
      </c>
      <c r="D1088" s="10">
        <v>35255</v>
      </c>
      <c r="E1088" t="s">
        <v>33</v>
      </c>
      <c r="F1088" t="s">
        <v>33</v>
      </c>
      <c r="G1088">
        <v>76</v>
      </c>
      <c r="H1088">
        <v>220</v>
      </c>
      <c r="I1088">
        <v>2018</v>
      </c>
      <c r="J1088" s="4" t="str">
        <f>HYPERLINK("http://legacy.baseballprospectus.com/fantasy/dc/index.php?tm=SDN","SDN")</f>
        <v>SDN</v>
      </c>
      <c r="K1088" t="s">
        <v>100</v>
      </c>
      <c r="L1088" t="s">
        <v>34</v>
      </c>
      <c r="M1088">
        <v>21</v>
      </c>
      <c r="N1088">
        <v>2.5</v>
      </c>
      <c r="O1088">
        <v>4.2</v>
      </c>
      <c r="P1088">
        <v>2.7</v>
      </c>
      <c r="Q1088">
        <v>0</v>
      </c>
      <c r="R1088">
        <v>0.7</v>
      </c>
      <c r="S1088">
        <v>0</v>
      </c>
      <c r="T1088">
        <v>30.8</v>
      </c>
      <c r="U1088">
        <v>10.199999999999999</v>
      </c>
      <c r="V1088" s="9">
        <v>58</v>
      </c>
      <c r="W1088">
        <v>262</v>
      </c>
      <c r="X1088">
        <v>65</v>
      </c>
      <c r="Y1088">
        <v>13</v>
      </c>
      <c r="Z1088">
        <v>33</v>
      </c>
      <c r="AA1088" t="s">
        <v>1680</v>
      </c>
      <c r="AB1088">
        <v>3</v>
      </c>
      <c r="AC1088">
        <v>52</v>
      </c>
      <c r="AD1088">
        <v>5.2</v>
      </c>
      <c r="AE1088">
        <v>8.1</v>
      </c>
      <c r="AF1088" s="5">
        <v>0.424720138311386</v>
      </c>
      <c r="AG1088">
        <v>0.31900000000000001</v>
      </c>
      <c r="AH1088">
        <v>1.69</v>
      </c>
      <c r="AI1088">
        <v>6.3</v>
      </c>
      <c r="AJ1088">
        <v>7.32</v>
      </c>
      <c r="AK1088">
        <v>-14.3</v>
      </c>
      <c r="AL1088">
        <v>-1.5</v>
      </c>
      <c r="AM1088">
        <v>0</v>
      </c>
      <c r="AN1088">
        <v>0</v>
      </c>
      <c r="AO1088">
        <v>0</v>
      </c>
      <c r="AP1088">
        <v>0</v>
      </c>
      <c r="AQ1088" t="s">
        <v>3500</v>
      </c>
      <c r="AR1088">
        <v>0</v>
      </c>
      <c r="AS1088" t="s">
        <v>36</v>
      </c>
      <c r="AT1088" t="s">
        <v>35</v>
      </c>
      <c r="AU1088" s="4">
        <f>HYPERLINK("http://mlb.mlb.com/team/player.jsp?player_id=663930",663930)</f>
        <v>663930</v>
      </c>
      <c r="AV1088">
        <v>0</v>
      </c>
      <c r="AW1088">
        <v>0</v>
      </c>
      <c r="AX1088">
        <v>0</v>
      </c>
    </row>
    <row r="1089" spans="1:50" x14ac:dyDescent="0.3">
      <c r="A1089" s="4">
        <f>HYPERLINK("http://legacy.baseballprospectus.com/p/109847",109847)</f>
        <v>109847</v>
      </c>
      <c r="B1089" t="s">
        <v>3459</v>
      </c>
      <c r="C1089" t="s">
        <v>515</v>
      </c>
      <c r="D1089" s="10">
        <v>35136</v>
      </c>
      <c r="E1089" t="s">
        <v>33</v>
      </c>
      <c r="F1089" t="s">
        <v>33</v>
      </c>
      <c r="G1089">
        <v>73</v>
      </c>
      <c r="H1089">
        <v>185</v>
      </c>
      <c r="I1089">
        <v>2018</v>
      </c>
      <c r="J1089" s="4" t="str">
        <f>HYPERLINK("http://legacy.baseballprospectus.com/fantasy/dc/index.php?tm=COL","COL")</f>
        <v>COL</v>
      </c>
      <c r="K1089" t="s">
        <v>100</v>
      </c>
      <c r="L1089" t="s">
        <v>34</v>
      </c>
      <c r="M1089">
        <v>22</v>
      </c>
      <c r="N1089">
        <v>1</v>
      </c>
      <c r="O1089">
        <v>3.7</v>
      </c>
      <c r="P1089">
        <v>-0.2</v>
      </c>
      <c r="Q1089">
        <v>0</v>
      </c>
      <c r="R1089">
        <v>0</v>
      </c>
      <c r="S1089">
        <v>0</v>
      </c>
      <c r="T1089">
        <v>6.8</v>
      </c>
      <c r="U1089">
        <v>6.8</v>
      </c>
      <c r="V1089" s="9">
        <v>31.666699999999999</v>
      </c>
      <c r="W1089">
        <v>150</v>
      </c>
      <c r="X1089">
        <v>48</v>
      </c>
      <c r="Y1089">
        <v>14</v>
      </c>
      <c r="Z1089">
        <v>14</v>
      </c>
      <c r="AA1089" t="s">
        <v>1680</v>
      </c>
      <c r="AB1089">
        <v>1</v>
      </c>
      <c r="AC1089">
        <v>22</v>
      </c>
      <c r="AD1089">
        <v>3.9</v>
      </c>
      <c r="AE1089">
        <v>6.4</v>
      </c>
      <c r="AF1089" s="5">
        <v>0.49293872714042603</v>
      </c>
      <c r="AG1089">
        <v>0.34100000000000003</v>
      </c>
      <c r="AH1089">
        <v>1.95</v>
      </c>
      <c r="AI1089">
        <v>8.86</v>
      </c>
      <c r="AJ1089">
        <v>9.81</v>
      </c>
      <c r="AK1089">
        <v>-13.7</v>
      </c>
      <c r="AL1089">
        <v>-1.5</v>
      </c>
      <c r="AM1089">
        <v>0</v>
      </c>
      <c r="AN1089">
        <v>0</v>
      </c>
      <c r="AO1089">
        <v>0</v>
      </c>
      <c r="AP1089">
        <v>0</v>
      </c>
      <c r="AQ1089" t="s">
        <v>3460</v>
      </c>
      <c r="AR1089">
        <v>0</v>
      </c>
      <c r="AS1089" t="s">
        <v>36</v>
      </c>
      <c r="AT1089" t="s">
        <v>35</v>
      </c>
      <c r="AU1089" s="4">
        <f>HYPERLINK("http://mlb.mlb.com/team/player.jsp?player_id=657581",657581)</f>
        <v>657581</v>
      </c>
      <c r="AV1089">
        <v>0</v>
      </c>
      <c r="AW1089">
        <v>0</v>
      </c>
      <c r="AX1089">
        <v>0</v>
      </c>
    </row>
    <row r="1090" spans="1:50" x14ac:dyDescent="0.3">
      <c r="A1090" s="4">
        <f>HYPERLINK("http://legacy.baseballprospectus.com/p/109987",109987)</f>
        <v>109987</v>
      </c>
      <c r="B1090" t="s">
        <v>3498</v>
      </c>
      <c r="C1090" t="s">
        <v>125</v>
      </c>
      <c r="D1090" s="10">
        <v>35935</v>
      </c>
      <c r="E1090" t="s">
        <v>9</v>
      </c>
      <c r="F1090" t="s">
        <v>9</v>
      </c>
      <c r="G1090">
        <v>74</v>
      </c>
      <c r="H1090">
        <v>208</v>
      </c>
      <c r="I1090">
        <v>2018</v>
      </c>
      <c r="J1090" s="4" t="str">
        <f>HYPERLINK("http://legacy.baseballprospectus.com/fantasy/dc/index.php?tm=CIN","CIN")</f>
        <v>CIN</v>
      </c>
      <c r="K1090" t="s">
        <v>100</v>
      </c>
      <c r="L1090" t="s">
        <v>34</v>
      </c>
      <c r="M1090">
        <v>20</v>
      </c>
      <c r="N1090">
        <v>1.3</v>
      </c>
      <c r="O1090">
        <v>2.5</v>
      </c>
      <c r="P1090">
        <v>0.5</v>
      </c>
      <c r="Q1090">
        <v>0</v>
      </c>
      <c r="R1090">
        <v>0.3</v>
      </c>
      <c r="S1090">
        <v>0</v>
      </c>
      <c r="T1090">
        <v>15.3</v>
      </c>
      <c r="U1090">
        <v>5.5</v>
      </c>
      <c r="V1090" s="9">
        <v>31.666699999999999</v>
      </c>
      <c r="W1090">
        <v>150</v>
      </c>
      <c r="X1090">
        <v>39</v>
      </c>
      <c r="Y1090">
        <v>10</v>
      </c>
      <c r="Z1090">
        <v>22</v>
      </c>
      <c r="AA1090" t="s">
        <v>1680</v>
      </c>
      <c r="AB1090">
        <v>1</v>
      </c>
      <c r="AC1090">
        <v>26</v>
      </c>
      <c r="AD1090">
        <v>6.3</v>
      </c>
      <c r="AE1090">
        <v>7.5</v>
      </c>
      <c r="AF1090" s="5">
        <v>0.54295378923416104</v>
      </c>
      <c r="AG1090">
        <v>0.32100000000000001</v>
      </c>
      <c r="AH1090">
        <v>1.93</v>
      </c>
      <c r="AI1090">
        <v>7.86</v>
      </c>
      <c r="AJ1090">
        <v>8.6</v>
      </c>
      <c r="AK1090">
        <v>-14.6</v>
      </c>
      <c r="AL1090">
        <v>-1.6</v>
      </c>
      <c r="AM1090">
        <v>0</v>
      </c>
      <c r="AN1090">
        <v>0</v>
      </c>
      <c r="AO1090">
        <v>0</v>
      </c>
      <c r="AP1090">
        <v>0</v>
      </c>
      <c r="AQ1090" t="s">
        <v>3499</v>
      </c>
      <c r="AR1090">
        <v>0</v>
      </c>
      <c r="AS1090" t="s">
        <v>36</v>
      </c>
      <c r="AT1090" t="s">
        <v>35</v>
      </c>
      <c r="AU1090" s="4">
        <f>HYPERLINK("http://mlb.mlb.com/team/player.jsp?player_id=669436",669436)</f>
        <v>669436</v>
      </c>
      <c r="AV1090">
        <v>0</v>
      </c>
      <c r="AW1090">
        <v>0</v>
      </c>
      <c r="AX1090">
        <v>0</v>
      </c>
    </row>
    <row r="1091" spans="1:50" x14ac:dyDescent="0.3">
      <c r="A1091" s="4">
        <f>HYPERLINK("http://legacy.baseballprospectus.com/p/104164",104164)</f>
        <v>104164</v>
      </c>
      <c r="B1091" t="s">
        <v>566</v>
      </c>
      <c r="C1091" t="s">
        <v>2163</v>
      </c>
      <c r="D1091" s="10">
        <v>35540</v>
      </c>
      <c r="E1091" t="s">
        <v>33</v>
      </c>
      <c r="F1091" t="s">
        <v>33</v>
      </c>
      <c r="G1091">
        <v>77</v>
      </c>
      <c r="H1091">
        <v>195</v>
      </c>
      <c r="I1091">
        <v>2018</v>
      </c>
      <c r="J1091" s="4" t="str">
        <f>HYPERLINK("http://legacy.baseballprospectus.com/fantasy/dc/index.php?tm=BAL","BAL")</f>
        <v>BAL</v>
      </c>
      <c r="K1091" t="s">
        <v>95</v>
      </c>
      <c r="L1091" t="s">
        <v>34</v>
      </c>
      <c r="M1091">
        <v>21</v>
      </c>
      <c r="N1091">
        <v>4</v>
      </c>
      <c r="O1091">
        <v>9.4</v>
      </c>
      <c r="P1091">
        <v>3.7</v>
      </c>
      <c r="Q1091">
        <v>0</v>
      </c>
      <c r="R1091">
        <v>0</v>
      </c>
      <c r="S1091">
        <v>0</v>
      </c>
      <c r="T1091">
        <v>22.3</v>
      </c>
      <c r="U1091">
        <v>22.3</v>
      </c>
      <c r="V1091" s="9">
        <v>88.666700000000006</v>
      </c>
      <c r="W1091">
        <v>432</v>
      </c>
      <c r="X1091">
        <v>103</v>
      </c>
      <c r="Y1091">
        <v>24</v>
      </c>
      <c r="Z1091">
        <v>65</v>
      </c>
      <c r="AA1091" t="s">
        <v>1680</v>
      </c>
      <c r="AB1091">
        <v>5</v>
      </c>
      <c r="AC1091">
        <v>86</v>
      </c>
      <c r="AD1091">
        <v>6.5</v>
      </c>
      <c r="AE1091">
        <v>8.8000000000000007</v>
      </c>
      <c r="AF1091" s="5">
        <v>0.382762640714645</v>
      </c>
      <c r="AG1091">
        <v>0.314</v>
      </c>
      <c r="AH1091">
        <v>1.89</v>
      </c>
      <c r="AI1091">
        <v>7.23</v>
      </c>
      <c r="AJ1091">
        <v>7.4</v>
      </c>
      <c r="AK1091">
        <v>-15.7</v>
      </c>
      <c r="AL1091">
        <v>-1.7</v>
      </c>
      <c r="AM1091">
        <v>0</v>
      </c>
      <c r="AN1091">
        <v>0</v>
      </c>
      <c r="AO1091">
        <v>0</v>
      </c>
      <c r="AP1091">
        <v>0</v>
      </c>
      <c r="AQ1091" t="s">
        <v>3506</v>
      </c>
      <c r="AR1091">
        <v>0</v>
      </c>
      <c r="AS1091" t="s">
        <v>36</v>
      </c>
      <c r="AT1091" t="s">
        <v>35</v>
      </c>
      <c r="AU1091" s="4">
        <f>HYPERLINK("http://mlb.mlb.com/team/player.jsp?player_id=650378",650378)</f>
        <v>650378</v>
      </c>
      <c r="AV1091">
        <v>0</v>
      </c>
      <c r="AW1091">
        <v>0</v>
      </c>
      <c r="AX1091">
        <v>0</v>
      </c>
    </row>
    <row r="1092" spans="1:50" x14ac:dyDescent="0.3">
      <c r="A1092" s="4">
        <f>HYPERLINK("http://legacy.baseballprospectus.com/p/106822",106822)</f>
        <v>106822</v>
      </c>
      <c r="B1092" t="s">
        <v>196</v>
      </c>
      <c r="C1092" t="s">
        <v>2149</v>
      </c>
      <c r="D1092" s="10">
        <v>35305</v>
      </c>
      <c r="E1092" t="s">
        <v>33</v>
      </c>
      <c r="F1092" t="s">
        <v>33</v>
      </c>
      <c r="G1092">
        <v>76</v>
      </c>
      <c r="H1092">
        <v>201</v>
      </c>
      <c r="I1092">
        <v>2018</v>
      </c>
      <c r="J1092" s="4" t="str">
        <f>HYPERLINK("http://legacy.baseballprospectus.com/fantasy/dc/index.php?tm=KCA","KCA")</f>
        <v>KCA</v>
      </c>
      <c r="K1092" t="s">
        <v>95</v>
      </c>
      <c r="L1092" t="s">
        <v>34</v>
      </c>
      <c r="M1092">
        <v>21</v>
      </c>
      <c r="N1092">
        <v>0.2</v>
      </c>
      <c r="O1092">
        <v>4.7</v>
      </c>
      <c r="P1092">
        <v>-1.7</v>
      </c>
      <c r="Q1092">
        <v>0</v>
      </c>
      <c r="R1092">
        <v>0</v>
      </c>
      <c r="S1092">
        <v>0</v>
      </c>
      <c r="T1092">
        <v>7.7</v>
      </c>
      <c r="U1092">
        <v>7.7</v>
      </c>
      <c r="V1092" s="9">
        <v>28</v>
      </c>
      <c r="W1092">
        <v>150</v>
      </c>
      <c r="X1092">
        <v>40</v>
      </c>
      <c r="Y1092">
        <v>12</v>
      </c>
      <c r="Z1092">
        <v>19</v>
      </c>
      <c r="AA1092" t="s">
        <v>1680</v>
      </c>
      <c r="AB1092">
        <v>10</v>
      </c>
      <c r="AC1092">
        <v>21</v>
      </c>
      <c r="AD1092">
        <v>6.1</v>
      </c>
      <c r="AE1092">
        <v>6.9</v>
      </c>
      <c r="AF1092" s="5">
        <v>0.44598066806793202</v>
      </c>
      <c r="AG1092">
        <v>0.318</v>
      </c>
      <c r="AH1092">
        <v>2.11</v>
      </c>
      <c r="AI1092">
        <v>10.57</v>
      </c>
      <c r="AJ1092">
        <v>11.12</v>
      </c>
      <c r="AK1092">
        <v>-15.7</v>
      </c>
      <c r="AL1092">
        <v>-1.7</v>
      </c>
      <c r="AM1092">
        <v>0</v>
      </c>
      <c r="AN1092">
        <v>0</v>
      </c>
      <c r="AO1092">
        <v>0</v>
      </c>
      <c r="AP1092">
        <v>0</v>
      </c>
      <c r="AQ1092" t="s">
        <v>3496</v>
      </c>
      <c r="AR1092">
        <v>0</v>
      </c>
      <c r="AS1092" t="s">
        <v>36</v>
      </c>
      <c r="AT1092" t="s">
        <v>35</v>
      </c>
      <c r="AU1092" s="4">
        <f>HYPERLINK("http://mlb.mlb.com/team/player.jsp?player_id=663872",663872)</f>
        <v>663872</v>
      </c>
      <c r="AV1092">
        <v>0</v>
      </c>
      <c r="AW1092">
        <v>0</v>
      </c>
      <c r="AX1092">
        <v>0</v>
      </c>
    </row>
    <row r="1093" spans="1:50" x14ac:dyDescent="0.3">
      <c r="A1093" s="4">
        <f>HYPERLINK("http://legacy.baseballprospectus.com/p/702",702)</f>
        <v>702</v>
      </c>
      <c r="B1093" t="s">
        <v>701</v>
      </c>
      <c r="C1093" t="s">
        <v>702</v>
      </c>
      <c r="D1093" s="10">
        <v>28180</v>
      </c>
      <c r="E1093" t="s">
        <v>33</v>
      </c>
      <c r="F1093" t="s">
        <v>33</v>
      </c>
      <c r="G1093">
        <v>76</v>
      </c>
      <c r="H1093">
        <v>190</v>
      </c>
      <c r="I1093">
        <v>2018</v>
      </c>
      <c r="J1093" s="4" t="str">
        <f>HYPERLINK("http://legacy.baseballprospectus.com/fantasy/dc/index.php?tm=CIN","CIN")</f>
        <v>CIN</v>
      </c>
      <c r="K1093" t="s">
        <v>100</v>
      </c>
      <c r="L1093" t="s">
        <v>34</v>
      </c>
      <c r="M1093">
        <v>41</v>
      </c>
      <c r="N1093">
        <v>1.7</v>
      </c>
      <c r="O1093">
        <v>4.7</v>
      </c>
      <c r="P1093">
        <v>0.3</v>
      </c>
      <c r="Q1093">
        <v>0</v>
      </c>
      <c r="R1093">
        <v>0</v>
      </c>
      <c r="S1093">
        <v>0</v>
      </c>
      <c r="T1093">
        <v>8.5</v>
      </c>
      <c r="U1093">
        <v>8.5</v>
      </c>
      <c r="V1093" s="9">
        <v>47</v>
      </c>
      <c r="W1093">
        <v>215</v>
      </c>
      <c r="X1093">
        <v>60</v>
      </c>
      <c r="Y1093">
        <v>18</v>
      </c>
      <c r="Z1093">
        <v>22</v>
      </c>
      <c r="AA1093" t="s">
        <v>1680</v>
      </c>
      <c r="AB1093">
        <v>4</v>
      </c>
      <c r="AC1093">
        <v>32</v>
      </c>
      <c r="AD1093">
        <v>4.2</v>
      </c>
      <c r="AE1093">
        <v>6.2</v>
      </c>
      <c r="AF1093" s="5">
        <v>0.40762415528297402</v>
      </c>
      <c r="AG1093">
        <v>0.3</v>
      </c>
      <c r="AH1093">
        <v>1.73</v>
      </c>
      <c r="AI1093">
        <v>8.35</v>
      </c>
      <c r="AJ1093">
        <v>9.14</v>
      </c>
      <c r="AK1093">
        <v>-17.100000000000001</v>
      </c>
      <c r="AL1093">
        <v>-1.8</v>
      </c>
      <c r="AM1093">
        <v>7</v>
      </c>
      <c r="AN1093">
        <v>34</v>
      </c>
      <c r="AO1093">
        <v>13</v>
      </c>
      <c r="AP1093">
        <v>7</v>
      </c>
      <c r="AQ1093" t="s">
        <v>3505</v>
      </c>
      <c r="AR1093">
        <v>68</v>
      </c>
      <c r="AS1093" t="s">
        <v>36</v>
      </c>
      <c r="AT1093" t="s">
        <v>36</v>
      </c>
      <c r="AU1093" s="4">
        <f>HYPERLINK("http://mlb.mlb.com/team/player.jsp?player_id=276520",276520)</f>
        <v>276520</v>
      </c>
      <c r="AV1093">
        <v>0</v>
      </c>
      <c r="AW1093">
        <v>0</v>
      </c>
      <c r="AX1093">
        <v>71</v>
      </c>
    </row>
    <row r="1094" spans="1:50" x14ac:dyDescent="0.3">
      <c r="A1094" s="4">
        <f>HYPERLINK("http://legacy.baseballprospectus.com/p/65757",65757)</f>
        <v>65757</v>
      </c>
      <c r="B1094" t="s">
        <v>1104</v>
      </c>
      <c r="C1094" t="s">
        <v>319</v>
      </c>
      <c r="D1094" s="10">
        <v>32170</v>
      </c>
      <c r="E1094" t="s">
        <v>33</v>
      </c>
      <c r="F1094" t="s">
        <v>33</v>
      </c>
      <c r="G1094">
        <v>77</v>
      </c>
      <c r="H1094">
        <v>230</v>
      </c>
      <c r="I1094">
        <v>2018</v>
      </c>
      <c r="J1094" s="4" t="str">
        <f>HYPERLINK("http://legacy.baseballprospectus.com/fantasy/dc/index.php?tm=TEX","TEX")</f>
        <v>TEX</v>
      </c>
      <c r="K1094" t="s">
        <v>95</v>
      </c>
      <c r="L1094" t="s">
        <v>34</v>
      </c>
      <c r="M1094">
        <v>30</v>
      </c>
      <c r="N1094">
        <v>3.5</v>
      </c>
      <c r="O1094">
        <v>8.1999999999999993</v>
      </c>
      <c r="P1094">
        <v>2.2000000000000002</v>
      </c>
      <c r="Q1094">
        <v>0</v>
      </c>
      <c r="R1094">
        <v>0</v>
      </c>
      <c r="S1094">
        <v>0</v>
      </c>
      <c r="T1094">
        <v>17.7</v>
      </c>
      <c r="U1094">
        <v>17.7</v>
      </c>
      <c r="V1094" s="9">
        <v>82</v>
      </c>
      <c r="W1094">
        <v>373</v>
      </c>
      <c r="X1094">
        <v>93</v>
      </c>
      <c r="Y1094">
        <v>28</v>
      </c>
      <c r="Z1094">
        <v>35</v>
      </c>
      <c r="AA1094" t="s">
        <v>1680</v>
      </c>
      <c r="AB1094">
        <v>5</v>
      </c>
      <c r="AC1094">
        <v>69</v>
      </c>
      <c r="AD1094">
        <v>3.9</v>
      </c>
      <c r="AE1094">
        <v>7.6</v>
      </c>
      <c r="AF1094" s="5">
        <v>0.36108887195587103</v>
      </c>
      <c r="AG1094">
        <v>0.27500000000000002</v>
      </c>
      <c r="AH1094">
        <v>1.56</v>
      </c>
      <c r="AI1094">
        <v>7.53</v>
      </c>
      <c r="AJ1094">
        <v>7.71</v>
      </c>
      <c r="AK1094">
        <v>-17.100000000000001</v>
      </c>
      <c r="AL1094">
        <v>-1.8</v>
      </c>
      <c r="AM1094">
        <v>23</v>
      </c>
      <c r="AN1094">
        <v>40</v>
      </c>
      <c r="AO1094">
        <v>13</v>
      </c>
      <c r="AP1094">
        <v>10</v>
      </c>
      <c r="AQ1094" t="s">
        <v>3378</v>
      </c>
      <c r="AR1094">
        <v>85</v>
      </c>
      <c r="AS1094" t="s">
        <v>36</v>
      </c>
      <c r="AT1094" t="s">
        <v>36</v>
      </c>
      <c r="AU1094" s="4">
        <f>HYPERLINK("http://mlb.mlb.com/team/player.jsp?player_id=456167",456167)</f>
        <v>456167</v>
      </c>
      <c r="AV1094">
        <v>0</v>
      </c>
      <c r="AW1094">
        <v>0</v>
      </c>
      <c r="AX1094">
        <v>77.3</v>
      </c>
    </row>
    <row r="1095" spans="1:50" x14ac:dyDescent="0.3">
      <c r="A1095" s="4">
        <f>HYPERLINK("http://legacy.baseballprospectus.com/p/101134",101134)</f>
        <v>101134</v>
      </c>
      <c r="B1095" t="s">
        <v>556</v>
      </c>
      <c r="C1095" t="s">
        <v>119</v>
      </c>
      <c r="D1095" s="10">
        <v>34798</v>
      </c>
      <c r="E1095" t="s">
        <v>9</v>
      </c>
      <c r="F1095" t="s">
        <v>9</v>
      </c>
      <c r="G1095">
        <v>74</v>
      </c>
      <c r="H1095">
        <v>165</v>
      </c>
      <c r="I1095">
        <v>2018</v>
      </c>
      <c r="J1095" s="4" t="str">
        <f>HYPERLINK("http://legacy.baseballprospectus.com/fantasy/dc/index.php?tm=CHN","CHN")</f>
        <v>CHN</v>
      </c>
      <c r="K1095" t="s">
        <v>100</v>
      </c>
      <c r="L1095" t="s">
        <v>34</v>
      </c>
      <c r="M1095">
        <v>23</v>
      </c>
      <c r="N1095">
        <v>5.2</v>
      </c>
      <c r="O1095">
        <v>6.1</v>
      </c>
      <c r="P1095">
        <v>4.2</v>
      </c>
      <c r="Q1095">
        <v>0</v>
      </c>
      <c r="R1095">
        <v>0.6</v>
      </c>
      <c r="S1095">
        <v>0</v>
      </c>
      <c r="T1095">
        <v>32.299999999999997</v>
      </c>
      <c r="U1095">
        <v>15.3</v>
      </c>
      <c r="V1095" s="9">
        <v>95.666700000000006</v>
      </c>
      <c r="W1095">
        <v>420</v>
      </c>
      <c r="X1095">
        <v>109</v>
      </c>
      <c r="Y1095">
        <v>25</v>
      </c>
      <c r="Z1095">
        <v>40</v>
      </c>
      <c r="AA1095" t="s">
        <v>1680</v>
      </c>
      <c r="AB1095">
        <v>4</v>
      </c>
      <c r="AC1095">
        <v>84</v>
      </c>
      <c r="AD1095">
        <v>3.7</v>
      </c>
      <c r="AE1095">
        <v>7.9</v>
      </c>
      <c r="AF1095" s="5">
        <v>0.45892140269279402</v>
      </c>
      <c r="AG1095">
        <v>0.314</v>
      </c>
      <c r="AH1095">
        <v>1.55</v>
      </c>
      <c r="AI1095">
        <v>6.2</v>
      </c>
      <c r="AJ1095">
        <v>6.84</v>
      </c>
      <c r="AK1095">
        <v>-18.2</v>
      </c>
      <c r="AL1095">
        <v>-1.9</v>
      </c>
      <c r="AM1095">
        <v>1</v>
      </c>
      <c r="AN1095">
        <v>5</v>
      </c>
      <c r="AO1095">
        <v>1</v>
      </c>
      <c r="AP1095">
        <v>5</v>
      </c>
      <c r="AQ1095" t="s">
        <v>3389</v>
      </c>
      <c r="AR1095">
        <v>9</v>
      </c>
      <c r="AS1095" t="s">
        <v>36</v>
      </c>
      <c r="AT1095" t="s">
        <v>35</v>
      </c>
      <c r="AU1095" s="4">
        <f>HYPERLINK("http://mlb.mlb.com/team/player.jsp?player_id=622727",622727)</f>
        <v>622727</v>
      </c>
      <c r="AV1095">
        <v>0</v>
      </c>
      <c r="AW1095">
        <v>0</v>
      </c>
      <c r="AX1095">
        <v>0</v>
      </c>
    </row>
    <row r="1096" spans="1:50" x14ac:dyDescent="0.3">
      <c r="A1096" s="4">
        <f>HYPERLINK("http://legacy.baseballprospectus.com/p/102443",102443)</f>
        <v>102443</v>
      </c>
      <c r="B1096" t="s">
        <v>3288</v>
      </c>
      <c r="C1096" t="s">
        <v>3289</v>
      </c>
      <c r="D1096" s="10">
        <v>34759</v>
      </c>
      <c r="E1096" t="s">
        <v>33</v>
      </c>
      <c r="F1096" t="s">
        <v>33</v>
      </c>
      <c r="G1096">
        <v>72</v>
      </c>
      <c r="H1096">
        <v>179</v>
      </c>
      <c r="I1096">
        <v>2018</v>
      </c>
      <c r="J1096" s="4" t="str">
        <f>HYPERLINK("http://legacy.baseballprospectus.com/fantasy/dc/index.php?tm=CHN","CHN")</f>
        <v>CHN</v>
      </c>
      <c r="K1096" t="s">
        <v>100</v>
      </c>
      <c r="L1096" t="s">
        <v>34</v>
      </c>
      <c r="M1096">
        <v>23</v>
      </c>
      <c r="N1096">
        <v>5.2</v>
      </c>
      <c r="O1096">
        <v>5.6</v>
      </c>
      <c r="P1096">
        <v>4.3</v>
      </c>
      <c r="Q1096">
        <v>0</v>
      </c>
      <c r="R1096">
        <v>0.7</v>
      </c>
      <c r="S1096">
        <v>0</v>
      </c>
      <c r="T1096">
        <v>34.6</v>
      </c>
      <c r="U1096">
        <v>14.4</v>
      </c>
      <c r="V1096" s="9">
        <v>94.666700000000006</v>
      </c>
      <c r="W1096">
        <v>404</v>
      </c>
      <c r="X1096">
        <v>100</v>
      </c>
      <c r="Y1096">
        <v>26</v>
      </c>
      <c r="Z1096">
        <v>35</v>
      </c>
      <c r="AA1096" t="s">
        <v>1680</v>
      </c>
      <c r="AB1096">
        <v>4</v>
      </c>
      <c r="AC1096">
        <v>94</v>
      </c>
      <c r="AD1096">
        <v>3.4</v>
      </c>
      <c r="AE1096">
        <v>8.9</v>
      </c>
      <c r="AF1096" s="5">
        <v>0.37084463238716098</v>
      </c>
      <c r="AG1096">
        <v>0.30199999999999999</v>
      </c>
      <c r="AH1096">
        <v>1.43</v>
      </c>
      <c r="AI1096">
        <v>5.99</v>
      </c>
      <c r="AJ1096">
        <v>6.61</v>
      </c>
      <c r="AK1096">
        <v>-17.3</v>
      </c>
      <c r="AL1096">
        <v>-1.9</v>
      </c>
      <c r="AM1096">
        <v>5</v>
      </c>
      <c r="AN1096">
        <v>7</v>
      </c>
      <c r="AO1096">
        <v>10</v>
      </c>
      <c r="AP1096">
        <v>17</v>
      </c>
      <c r="AQ1096" t="s">
        <v>3290</v>
      </c>
      <c r="AR1096">
        <v>22</v>
      </c>
      <c r="AS1096" t="s">
        <v>36</v>
      </c>
      <c r="AT1096" t="s">
        <v>35</v>
      </c>
      <c r="AU1096" s="4">
        <f>HYPERLINK("http://mlb.mlb.com/team/player.jsp?player_id=640470",640470)</f>
        <v>640470</v>
      </c>
      <c r="AV1096">
        <v>1171</v>
      </c>
      <c r="AW1096">
        <v>171</v>
      </c>
      <c r="AX1096">
        <v>0</v>
      </c>
    </row>
    <row r="1097" spans="1:50" x14ac:dyDescent="0.3">
      <c r="A1097" s="4">
        <f>HYPERLINK("http://legacy.baseballprospectus.com/p/105397",105397)</f>
        <v>105397</v>
      </c>
      <c r="B1097" t="s">
        <v>2161</v>
      </c>
      <c r="C1097" t="s">
        <v>2162</v>
      </c>
      <c r="D1097" s="10">
        <v>35175</v>
      </c>
      <c r="E1097" t="s">
        <v>33</v>
      </c>
      <c r="F1097" t="s">
        <v>33</v>
      </c>
      <c r="G1097">
        <v>76</v>
      </c>
      <c r="H1097">
        <v>210</v>
      </c>
      <c r="I1097">
        <v>2018</v>
      </c>
      <c r="J1097" s="4" t="str">
        <f>HYPERLINK("http://legacy.baseballprospectus.com/fantasy/dc/index.php?tm=PIT","PIT")</f>
        <v>PIT</v>
      </c>
      <c r="K1097" t="s">
        <v>100</v>
      </c>
      <c r="L1097" t="s">
        <v>34</v>
      </c>
      <c r="M1097">
        <v>22</v>
      </c>
      <c r="N1097">
        <v>3.6</v>
      </c>
      <c r="O1097">
        <v>7.3</v>
      </c>
      <c r="P1097">
        <v>3.2</v>
      </c>
      <c r="Q1097">
        <v>0</v>
      </c>
      <c r="R1097">
        <v>0</v>
      </c>
      <c r="S1097">
        <v>0</v>
      </c>
      <c r="T1097">
        <v>16.399999999999999</v>
      </c>
      <c r="U1097">
        <v>16.399999999999999</v>
      </c>
      <c r="V1097" s="9">
        <v>79.333299999999994</v>
      </c>
      <c r="W1097">
        <v>360</v>
      </c>
      <c r="X1097">
        <v>100</v>
      </c>
      <c r="Y1097">
        <v>22</v>
      </c>
      <c r="Z1097">
        <v>37</v>
      </c>
      <c r="AA1097" t="s">
        <v>1680</v>
      </c>
      <c r="AB1097">
        <v>4</v>
      </c>
      <c r="AC1097">
        <v>58</v>
      </c>
      <c r="AD1097">
        <v>4.0999999999999996</v>
      </c>
      <c r="AE1097">
        <v>6.6</v>
      </c>
      <c r="AF1097" s="5">
        <v>0.440297871828079</v>
      </c>
      <c r="AG1097">
        <v>0.32400000000000001</v>
      </c>
      <c r="AH1097">
        <v>1.72</v>
      </c>
      <c r="AI1097">
        <v>6.96</v>
      </c>
      <c r="AJ1097">
        <v>7.8</v>
      </c>
      <c r="AK1097">
        <v>-17.899999999999999</v>
      </c>
      <c r="AL1097">
        <v>-1.9</v>
      </c>
      <c r="AM1097">
        <v>2</v>
      </c>
      <c r="AN1097">
        <v>2</v>
      </c>
      <c r="AO1097">
        <v>0</v>
      </c>
      <c r="AP1097">
        <v>0</v>
      </c>
      <c r="AQ1097" t="s">
        <v>3449</v>
      </c>
      <c r="AR1097">
        <v>2</v>
      </c>
      <c r="AS1097" t="s">
        <v>36</v>
      </c>
      <c r="AT1097" t="s">
        <v>35</v>
      </c>
      <c r="AU1097" s="4">
        <f>HYPERLINK("http://mlb.mlb.com/team/player.jsp?player_id=656543",656543)</f>
        <v>656543</v>
      </c>
      <c r="AV1097">
        <v>0</v>
      </c>
      <c r="AW1097">
        <v>0</v>
      </c>
      <c r="AX1097">
        <v>0</v>
      </c>
    </row>
    <row r="1098" spans="1:50" x14ac:dyDescent="0.3">
      <c r="A1098" s="4">
        <f>HYPERLINK("http://legacy.baseballprospectus.com/p/106280",106280)</f>
        <v>106280</v>
      </c>
      <c r="B1098" t="s">
        <v>2137</v>
      </c>
      <c r="C1098" t="s">
        <v>192</v>
      </c>
      <c r="D1098" s="10">
        <v>35538</v>
      </c>
      <c r="E1098" t="s">
        <v>33</v>
      </c>
      <c r="F1098" t="s">
        <v>33</v>
      </c>
      <c r="G1098">
        <v>74</v>
      </c>
      <c r="H1098">
        <v>185</v>
      </c>
      <c r="I1098">
        <v>2018</v>
      </c>
      <c r="J1098" s="4" t="str">
        <f>HYPERLINK("http://legacy.baseballprospectus.com/fantasy/dc/index.php?tm=COL","COL")</f>
        <v>COL</v>
      </c>
      <c r="K1098" t="s">
        <v>100</v>
      </c>
      <c r="L1098" t="s">
        <v>34</v>
      </c>
      <c r="M1098">
        <v>21</v>
      </c>
      <c r="N1098">
        <v>5.8</v>
      </c>
      <c r="O1098">
        <v>9.3000000000000007</v>
      </c>
      <c r="P1098">
        <v>5.5</v>
      </c>
      <c r="Q1098">
        <v>0</v>
      </c>
      <c r="R1098">
        <v>0</v>
      </c>
      <c r="S1098">
        <v>0</v>
      </c>
      <c r="T1098">
        <v>22.6</v>
      </c>
      <c r="U1098">
        <v>22.6</v>
      </c>
      <c r="V1098" s="9">
        <v>113</v>
      </c>
      <c r="W1098">
        <v>495</v>
      </c>
      <c r="X1098">
        <v>135</v>
      </c>
      <c r="Y1098">
        <v>35</v>
      </c>
      <c r="Z1098">
        <v>46</v>
      </c>
      <c r="AA1098" t="s">
        <v>1680</v>
      </c>
      <c r="AB1098">
        <v>2</v>
      </c>
      <c r="AC1098">
        <v>108</v>
      </c>
      <c r="AD1098">
        <v>3.7</v>
      </c>
      <c r="AE1098">
        <v>8.6</v>
      </c>
      <c r="AF1098" s="5">
        <v>0.43048349022865201</v>
      </c>
      <c r="AG1098">
        <v>0.32800000000000001</v>
      </c>
      <c r="AH1098">
        <v>1.6</v>
      </c>
      <c r="AI1098">
        <v>6.48</v>
      </c>
      <c r="AJ1098">
        <v>7.16</v>
      </c>
      <c r="AK1098">
        <v>-18.100000000000001</v>
      </c>
      <c r="AL1098">
        <v>-1.9</v>
      </c>
      <c r="AM1098">
        <v>4</v>
      </c>
      <c r="AN1098">
        <v>4</v>
      </c>
      <c r="AO1098">
        <v>0</v>
      </c>
      <c r="AP1098">
        <v>4</v>
      </c>
      <c r="AQ1098" t="s">
        <v>2975</v>
      </c>
      <c r="AR1098">
        <v>5</v>
      </c>
      <c r="AS1098" t="s">
        <v>36</v>
      </c>
      <c r="AT1098" t="s">
        <v>35</v>
      </c>
      <c r="AU1098" s="4">
        <f>HYPERLINK("http://mlb.mlb.com/team/player.jsp?player_id=663567",663567)</f>
        <v>663567</v>
      </c>
      <c r="AV1098">
        <v>1218</v>
      </c>
      <c r="AW1098">
        <v>218</v>
      </c>
      <c r="AX1098">
        <v>0</v>
      </c>
    </row>
    <row r="1099" spans="1:50" x14ac:dyDescent="0.3">
      <c r="A1099" s="4">
        <f>HYPERLINK("http://legacy.baseballprospectus.com/p/106864",106864)</f>
        <v>106864</v>
      </c>
      <c r="B1099" t="s">
        <v>2146</v>
      </c>
      <c r="C1099" t="s">
        <v>710</v>
      </c>
      <c r="D1099" s="10">
        <v>35535</v>
      </c>
      <c r="E1099" t="s">
        <v>33</v>
      </c>
      <c r="F1099" t="s">
        <v>33</v>
      </c>
      <c r="G1099">
        <v>75</v>
      </c>
      <c r="H1099">
        <v>240</v>
      </c>
      <c r="I1099">
        <v>2018</v>
      </c>
      <c r="J1099" s="4" t="str">
        <f>HYPERLINK("http://legacy.baseballprospectus.com/fantasy/dc/index.php?tm=CIN","CIN")</f>
        <v>CIN</v>
      </c>
      <c r="K1099" t="s">
        <v>100</v>
      </c>
      <c r="L1099" t="s">
        <v>34</v>
      </c>
      <c r="M1099">
        <v>21</v>
      </c>
      <c r="N1099">
        <v>4.5999999999999996</v>
      </c>
      <c r="O1099">
        <v>8.6999999999999993</v>
      </c>
      <c r="P1099">
        <v>4.2</v>
      </c>
      <c r="Q1099">
        <v>0</v>
      </c>
      <c r="R1099">
        <v>0</v>
      </c>
      <c r="S1099">
        <v>0</v>
      </c>
      <c r="T1099">
        <v>20.5</v>
      </c>
      <c r="U1099">
        <v>20.5</v>
      </c>
      <c r="V1099" s="9">
        <v>94.666700000000006</v>
      </c>
      <c r="W1099">
        <v>425</v>
      </c>
      <c r="X1099">
        <v>102</v>
      </c>
      <c r="Y1099">
        <v>28</v>
      </c>
      <c r="Z1099">
        <v>56</v>
      </c>
      <c r="AA1099" t="s">
        <v>1680</v>
      </c>
      <c r="AB1099">
        <v>3</v>
      </c>
      <c r="AC1099">
        <v>101</v>
      </c>
      <c r="AD1099">
        <v>5.3</v>
      </c>
      <c r="AE1099">
        <v>9.6</v>
      </c>
      <c r="AF1099" s="5">
        <v>0.405948936939239</v>
      </c>
      <c r="AG1099">
        <v>0.313</v>
      </c>
      <c r="AH1099">
        <v>1.67</v>
      </c>
      <c r="AI1099">
        <v>6.83</v>
      </c>
      <c r="AJ1099">
        <v>7.45</v>
      </c>
      <c r="AK1099">
        <v>-18</v>
      </c>
      <c r="AL1099">
        <v>-1.9</v>
      </c>
      <c r="AM1099">
        <v>2</v>
      </c>
      <c r="AN1099">
        <v>4</v>
      </c>
      <c r="AO1099">
        <v>0</v>
      </c>
      <c r="AP1099">
        <v>5</v>
      </c>
      <c r="AQ1099" t="s">
        <v>3497</v>
      </c>
      <c r="AR1099">
        <v>6</v>
      </c>
      <c r="AS1099" t="s">
        <v>36</v>
      </c>
      <c r="AT1099" t="s">
        <v>35</v>
      </c>
      <c r="AU1099" s="4">
        <f>HYPERLINK("http://mlb.mlb.com/team/player.jsp?player_id=663574",663574)</f>
        <v>663574</v>
      </c>
      <c r="AV1099">
        <v>0</v>
      </c>
      <c r="AW1099">
        <v>0</v>
      </c>
      <c r="AX1099">
        <v>0</v>
      </c>
    </row>
    <row r="1100" spans="1:50" x14ac:dyDescent="0.3">
      <c r="A1100" s="4">
        <f>HYPERLINK("http://legacy.baseballprospectus.com/p/103054",103054)</f>
        <v>103054</v>
      </c>
      <c r="B1100" t="s">
        <v>2160</v>
      </c>
      <c r="C1100" t="s">
        <v>803</v>
      </c>
      <c r="D1100" s="10">
        <v>35264</v>
      </c>
      <c r="E1100" t="s">
        <v>33</v>
      </c>
      <c r="F1100" t="s">
        <v>33</v>
      </c>
      <c r="G1100">
        <v>73</v>
      </c>
      <c r="H1100">
        <v>210</v>
      </c>
      <c r="I1100">
        <v>2018</v>
      </c>
      <c r="J1100" s="4" t="str">
        <f>HYPERLINK("http://legacy.baseballprospectus.com/fantasy/dc/index.php?tm=ANA","ANA")</f>
        <v>ANA</v>
      </c>
      <c r="K1100" t="s">
        <v>95</v>
      </c>
      <c r="L1100" t="s">
        <v>34</v>
      </c>
      <c r="M1100">
        <v>21</v>
      </c>
      <c r="N1100">
        <v>4.5</v>
      </c>
      <c r="O1100">
        <v>10.4</v>
      </c>
      <c r="P1100">
        <v>3.9</v>
      </c>
      <c r="Q1100">
        <v>0</v>
      </c>
      <c r="R1100">
        <v>0</v>
      </c>
      <c r="S1100">
        <v>0</v>
      </c>
      <c r="T1100">
        <v>21.9</v>
      </c>
      <c r="U1100">
        <v>21.9</v>
      </c>
      <c r="V1100" s="9">
        <v>109</v>
      </c>
      <c r="W1100">
        <v>487</v>
      </c>
      <c r="X1100">
        <v>128</v>
      </c>
      <c r="Y1100">
        <v>36</v>
      </c>
      <c r="Z1100">
        <v>38</v>
      </c>
      <c r="AA1100" t="s">
        <v>1680</v>
      </c>
      <c r="AB1100">
        <v>3</v>
      </c>
      <c r="AC1100">
        <v>91</v>
      </c>
      <c r="AD1100">
        <v>3.1</v>
      </c>
      <c r="AE1100">
        <v>7.6</v>
      </c>
      <c r="AF1100" s="5">
        <v>0.38963103294372498</v>
      </c>
      <c r="AG1100">
        <v>0.28999999999999998</v>
      </c>
      <c r="AH1100">
        <v>1.52</v>
      </c>
      <c r="AI1100">
        <v>7.02</v>
      </c>
      <c r="AJ1100">
        <v>7.37</v>
      </c>
      <c r="AK1100">
        <v>-18.899999999999999</v>
      </c>
      <c r="AL1100">
        <v>-2</v>
      </c>
      <c r="AM1100">
        <v>2</v>
      </c>
      <c r="AN1100">
        <v>2</v>
      </c>
      <c r="AO1100">
        <v>1</v>
      </c>
      <c r="AP1100">
        <v>4</v>
      </c>
      <c r="AQ1100" t="s">
        <v>3217</v>
      </c>
      <c r="AR1100">
        <v>5</v>
      </c>
      <c r="AS1100" t="s">
        <v>36</v>
      </c>
      <c r="AT1100" t="s">
        <v>35</v>
      </c>
      <c r="AU1100" s="4">
        <f>HYPERLINK("http://mlb.mlb.com/team/player.jsp?player_id=642545",642545)</f>
        <v>642545</v>
      </c>
      <c r="AV1100">
        <v>154</v>
      </c>
      <c r="AW1100">
        <v>1154</v>
      </c>
      <c r="AX1100">
        <v>0</v>
      </c>
    </row>
    <row r="1101" spans="1:50" x14ac:dyDescent="0.3">
      <c r="A1101" s="4">
        <f>HYPERLINK("http://legacy.baseballprospectus.com/p/106723",106723)</f>
        <v>106723</v>
      </c>
      <c r="B1101" t="s">
        <v>2065</v>
      </c>
      <c r="C1101" t="s">
        <v>2066</v>
      </c>
      <c r="D1101" s="10">
        <v>35811</v>
      </c>
      <c r="E1101" t="s">
        <v>33</v>
      </c>
      <c r="F1101" t="s">
        <v>33</v>
      </c>
      <c r="G1101">
        <v>73</v>
      </c>
      <c r="H1101">
        <v>160</v>
      </c>
      <c r="I1101">
        <v>2018</v>
      </c>
      <c r="J1101" s="4" t="str">
        <f>HYPERLINK("http://legacy.baseballprospectus.com/fantasy/dc/index.php?tm=BOS","BOS")</f>
        <v>BOS</v>
      </c>
      <c r="K1101" t="s">
        <v>95</v>
      </c>
      <c r="L1101" t="s">
        <v>34</v>
      </c>
      <c r="M1101">
        <v>20</v>
      </c>
      <c r="N1101">
        <v>4.0999999999999996</v>
      </c>
      <c r="O1101">
        <v>8.9</v>
      </c>
      <c r="P1101">
        <v>3.5</v>
      </c>
      <c r="Q1101">
        <v>0</v>
      </c>
      <c r="R1101">
        <v>0</v>
      </c>
      <c r="S1101">
        <v>0</v>
      </c>
      <c r="T1101">
        <v>19.3</v>
      </c>
      <c r="U1101">
        <v>19.3</v>
      </c>
      <c r="V1101" s="9">
        <v>94.666700000000006</v>
      </c>
      <c r="W1101">
        <v>437</v>
      </c>
      <c r="X1101">
        <v>119</v>
      </c>
      <c r="Y1101">
        <v>31</v>
      </c>
      <c r="Z1101">
        <v>41</v>
      </c>
      <c r="AA1101" t="s">
        <v>1680</v>
      </c>
      <c r="AB1101">
        <v>2</v>
      </c>
      <c r="AC1101">
        <v>92</v>
      </c>
      <c r="AD1101">
        <v>3.9</v>
      </c>
      <c r="AE1101">
        <v>8.6999999999999993</v>
      </c>
      <c r="AF1101" s="5">
        <v>0.35469424724578802</v>
      </c>
      <c r="AG1101">
        <v>0.32400000000000001</v>
      </c>
      <c r="AH1101">
        <v>1.69</v>
      </c>
      <c r="AI1101">
        <v>6.98</v>
      </c>
      <c r="AJ1101">
        <v>7.61</v>
      </c>
      <c r="AK1101">
        <v>-18.7</v>
      </c>
      <c r="AL1101">
        <v>-2</v>
      </c>
      <c r="AM1101">
        <v>0</v>
      </c>
      <c r="AN1101">
        <v>0</v>
      </c>
      <c r="AO1101">
        <v>0</v>
      </c>
      <c r="AP1101">
        <v>0</v>
      </c>
      <c r="AQ1101" t="s">
        <v>3224</v>
      </c>
      <c r="AR1101">
        <v>0</v>
      </c>
      <c r="AS1101" t="s">
        <v>36</v>
      </c>
      <c r="AT1101" t="s">
        <v>35</v>
      </c>
      <c r="AU1101" s="4">
        <f>HYPERLINK("http://mlb.mlb.com/team/player.jsp?player_id=659267",659267)</f>
        <v>659267</v>
      </c>
      <c r="AV1101">
        <v>149</v>
      </c>
      <c r="AW1101">
        <v>1149</v>
      </c>
      <c r="AX1101">
        <v>0</v>
      </c>
    </row>
    <row r="1102" spans="1:50" x14ac:dyDescent="0.3">
      <c r="A1102" s="4">
        <f>HYPERLINK("http://legacy.baseballprospectus.com/p/111108",111108)</f>
        <v>111108</v>
      </c>
      <c r="B1102" t="s">
        <v>3502</v>
      </c>
      <c r="C1102" t="s">
        <v>3503</v>
      </c>
      <c r="D1102" s="10">
        <v>36240</v>
      </c>
      <c r="E1102" t="s">
        <v>33</v>
      </c>
      <c r="F1102" t="s">
        <v>33</v>
      </c>
      <c r="G1102">
        <v>75</v>
      </c>
      <c r="H1102">
        <v>170</v>
      </c>
      <c r="I1102">
        <v>2018</v>
      </c>
      <c r="J1102" s="4" t="str">
        <f>HYPERLINK("http://legacy.baseballprospectus.com/fantasy/dc/index.php?tm=MIN","MIN")</f>
        <v>MIN</v>
      </c>
      <c r="K1102" t="s">
        <v>95</v>
      </c>
      <c r="L1102" t="s">
        <v>34</v>
      </c>
      <c r="M1102">
        <v>19</v>
      </c>
      <c r="N1102">
        <v>1.2</v>
      </c>
      <c r="O1102">
        <v>0.2</v>
      </c>
      <c r="P1102">
        <v>0</v>
      </c>
      <c r="Q1102">
        <v>0</v>
      </c>
      <c r="R1102">
        <v>0.8</v>
      </c>
      <c r="S1102">
        <v>0</v>
      </c>
      <c r="T1102">
        <v>29.2</v>
      </c>
      <c r="U1102">
        <v>0</v>
      </c>
      <c r="V1102" s="9">
        <v>31</v>
      </c>
      <c r="W1102">
        <v>150</v>
      </c>
      <c r="X1102">
        <v>39</v>
      </c>
      <c r="Y1102">
        <v>10</v>
      </c>
      <c r="Z1102">
        <v>19</v>
      </c>
      <c r="AA1102" t="s">
        <v>1680</v>
      </c>
      <c r="AB1102">
        <v>2</v>
      </c>
      <c r="AC1102">
        <v>27</v>
      </c>
      <c r="AD1102">
        <v>5.5</v>
      </c>
      <c r="AE1102">
        <v>7.9</v>
      </c>
      <c r="AF1102" s="5">
        <v>0.50286167860031095</v>
      </c>
      <c r="AG1102">
        <v>0.316</v>
      </c>
      <c r="AH1102">
        <v>1.88</v>
      </c>
      <c r="AI1102">
        <v>7.72</v>
      </c>
      <c r="AJ1102">
        <v>7.93</v>
      </c>
      <c r="AK1102">
        <v>-18.899999999999999</v>
      </c>
      <c r="AL1102">
        <v>-2</v>
      </c>
      <c r="AM1102">
        <v>0</v>
      </c>
      <c r="AN1102">
        <v>0</v>
      </c>
      <c r="AO1102">
        <v>0</v>
      </c>
      <c r="AP1102">
        <v>0</v>
      </c>
      <c r="AQ1102" t="s">
        <v>3504</v>
      </c>
      <c r="AR1102">
        <v>0</v>
      </c>
      <c r="AS1102" t="s">
        <v>36</v>
      </c>
      <c r="AT1102" t="s">
        <v>35</v>
      </c>
      <c r="AU1102" s="4">
        <f>HYPERLINK("http://mlb.mlb.com/team/player.jsp?player_id=669416",669416)</f>
        <v>669416</v>
      </c>
      <c r="AV1102">
        <v>0</v>
      </c>
      <c r="AW1102">
        <v>0</v>
      </c>
      <c r="AX1102">
        <v>0</v>
      </c>
    </row>
    <row r="1103" spans="1:50" x14ac:dyDescent="0.3">
      <c r="A1103" s="4">
        <f>HYPERLINK("http://legacy.baseballprospectus.com/p/104507",104507)</f>
        <v>104507</v>
      </c>
      <c r="B1103" t="s">
        <v>3447</v>
      </c>
      <c r="C1103" t="s">
        <v>1418</v>
      </c>
      <c r="D1103" s="10">
        <v>35326</v>
      </c>
      <c r="E1103" t="s">
        <v>33</v>
      </c>
      <c r="F1103" t="s">
        <v>33</v>
      </c>
      <c r="G1103">
        <v>72</v>
      </c>
      <c r="H1103">
        <v>160</v>
      </c>
      <c r="I1103">
        <v>2018</v>
      </c>
      <c r="J1103" s="4" t="str">
        <f>HYPERLINK("http://legacy.baseballprospectus.com/fantasy/dc/index.php?tm=MIL","MIL")</f>
        <v>MIL</v>
      </c>
      <c r="K1103" t="s">
        <v>100</v>
      </c>
      <c r="L1103" t="s">
        <v>34</v>
      </c>
      <c r="M1103">
        <v>21</v>
      </c>
      <c r="N1103">
        <v>5.4</v>
      </c>
      <c r="O1103">
        <v>7.2</v>
      </c>
      <c r="P1103">
        <v>5.3</v>
      </c>
      <c r="Q1103">
        <v>0</v>
      </c>
      <c r="R1103">
        <v>0.8</v>
      </c>
      <c r="S1103">
        <v>0</v>
      </c>
      <c r="T1103">
        <v>39.4</v>
      </c>
      <c r="U1103">
        <v>17.600000000000001</v>
      </c>
      <c r="V1103" s="9">
        <v>107.33329999999999</v>
      </c>
      <c r="W1103">
        <v>473</v>
      </c>
      <c r="X1103">
        <v>114</v>
      </c>
      <c r="Y1103">
        <v>26</v>
      </c>
      <c r="Z1103">
        <v>58</v>
      </c>
      <c r="AA1103" t="s">
        <v>1680</v>
      </c>
      <c r="AB1103">
        <v>3</v>
      </c>
      <c r="AC1103">
        <v>115</v>
      </c>
      <c r="AD1103">
        <v>4.9000000000000004</v>
      </c>
      <c r="AE1103">
        <v>9.6</v>
      </c>
      <c r="AF1103" s="5">
        <v>0.42855989933013899</v>
      </c>
      <c r="AG1103">
        <v>0.32200000000000001</v>
      </c>
      <c r="AH1103">
        <v>1.6</v>
      </c>
      <c r="AI1103">
        <v>5.95</v>
      </c>
      <c r="AJ1103">
        <v>6.7</v>
      </c>
      <c r="AK1103">
        <v>-19.899999999999999</v>
      </c>
      <c r="AL1103">
        <v>-2.1</v>
      </c>
      <c r="AM1103">
        <v>4</v>
      </c>
      <c r="AN1103">
        <v>5</v>
      </c>
      <c r="AO1103">
        <v>0</v>
      </c>
      <c r="AP1103">
        <v>2</v>
      </c>
      <c r="AQ1103" t="s">
        <v>3448</v>
      </c>
      <c r="AR1103">
        <v>6</v>
      </c>
      <c r="AS1103" t="s">
        <v>36</v>
      </c>
      <c r="AT1103" t="s">
        <v>35</v>
      </c>
      <c r="AU1103" s="4">
        <f>HYPERLINK("http://mlb.mlb.com/team/player.jsp?player_id=650959",650959)</f>
        <v>650959</v>
      </c>
      <c r="AV1103">
        <v>1152</v>
      </c>
      <c r="AW1103">
        <v>152</v>
      </c>
      <c r="AX1103">
        <v>0</v>
      </c>
    </row>
    <row r="1104" spans="1:50" x14ac:dyDescent="0.3">
      <c r="A1104" s="4">
        <f>HYPERLINK("http://legacy.baseballprospectus.com/p/110032",110032)</f>
        <v>110032</v>
      </c>
      <c r="B1104" t="s">
        <v>3511</v>
      </c>
      <c r="C1104" t="s">
        <v>3512</v>
      </c>
      <c r="D1104" s="10">
        <v>35139</v>
      </c>
      <c r="E1104" t="s">
        <v>33</v>
      </c>
      <c r="F1104" t="s">
        <v>33</v>
      </c>
      <c r="G1104">
        <v>76</v>
      </c>
      <c r="H1104">
        <v>220</v>
      </c>
      <c r="I1104">
        <v>2018</v>
      </c>
      <c r="J1104" s="4" t="str">
        <f>HYPERLINK("http://legacy.baseballprospectus.com/fantasy/dc/index.php?tm=MIA","MIA")</f>
        <v>MIA</v>
      </c>
      <c r="K1104" t="s">
        <v>100</v>
      </c>
      <c r="L1104" t="s">
        <v>34</v>
      </c>
      <c r="M1104">
        <v>22</v>
      </c>
      <c r="N1104">
        <v>1.1000000000000001</v>
      </c>
      <c r="O1104">
        <v>0.8</v>
      </c>
      <c r="P1104">
        <v>0.1</v>
      </c>
      <c r="Q1104">
        <v>0</v>
      </c>
      <c r="R1104">
        <v>0.6</v>
      </c>
      <c r="S1104">
        <v>0</v>
      </c>
      <c r="T1104">
        <v>25.8</v>
      </c>
      <c r="U1104">
        <v>1.3</v>
      </c>
      <c r="V1104" s="9">
        <v>32</v>
      </c>
      <c r="W1104">
        <v>150</v>
      </c>
      <c r="X1104">
        <v>41</v>
      </c>
      <c r="Y1104">
        <v>12</v>
      </c>
      <c r="Z1104">
        <v>19</v>
      </c>
      <c r="AA1104" t="s">
        <v>1680</v>
      </c>
      <c r="AB1104">
        <v>2</v>
      </c>
      <c r="AC1104">
        <v>28</v>
      </c>
      <c r="AD1104">
        <v>5.3</v>
      </c>
      <c r="AE1104">
        <v>8</v>
      </c>
      <c r="AF1104" s="5">
        <v>0.35418537259101801</v>
      </c>
      <c r="AG1104">
        <v>0.32500000000000001</v>
      </c>
      <c r="AH1104">
        <v>1.87</v>
      </c>
      <c r="AI1104">
        <v>8.2200000000000006</v>
      </c>
      <c r="AJ1104">
        <v>9.32</v>
      </c>
      <c r="AK1104">
        <v>-20.5</v>
      </c>
      <c r="AL1104">
        <v>-2.2000000000000002</v>
      </c>
      <c r="AM1104">
        <v>0</v>
      </c>
      <c r="AN1104">
        <v>0</v>
      </c>
      <c r="AO1104">
        <v>0</v>
      </c>
      <c r="AP1104">
        <v>0</v>
      </c>
      <c r="AQ1104" t="s">
        <v>3513</v>
      </c>
      <c r="AR1104">
        <v>0</v>
      </c>
      <c r="AS1104" t="s">
        <v>36</v>
      </c>
      <c r="AT1104" t="s">
        <v>35</v>
      </c>
      <c r="AU1104" s="4">
        <f>HYPERLINK("http://mlb.mlb.com/team/player.jsp?player_id=656544",656544)</f>
        <v>656544</v>
      </c>
      <c r="AV1104">
        <v>0</v>
      </c>
      <c r="AW1104">
        <v>0</v>
      </c>
      <c r="AX1104">
        <v>0</v>
      </c>
    </row>
    <row r="1105" spans="1:50" x14ac:dyDescent="0.3">
      <c r="A1105" s="4">
        <f>HYPERLINK("http://legacy.baseballprospectus.com/p/111221",111221)</f>
        <v>111221</v>
      </c>
      <c r="B1105" t="s">
        <v>3489</v>
      </c>
      <c r="C1105" t="s">
        <v>3490</v>
      </c>
      <c r="D1105" s="10">
        <v>36131</v>
      </c>
      <c r="E1105" t="s">
        <v>33</v>
      </c>
      <c r="F1105" t="s">
        <v>33</v>
      </c>
      <c r="G1105">
        <v>78</v>
      </c>
      <c r="H1105">
        <v>175</v>
      </c>
      <c r="I1105">
        <v>2018</v>
      </c>
      <c r="J1105" s="4" t="str">
        <f>HYPERLINK("http://legacy.baseballprospectus.com/fantasy/dc/index.php?tm=MIL","MIL")</f>
        <v>MIL</v>
      </c>
      <c r="K1105" t="s">
        <v>100</v>
      </c>
      <c r="L1105" t="s">
        <v>34</v>
      </c>
      <c r="M1105">
        <v>19</v>
      </c>
      <c r="N1105">
        <v>0.3</v>
      </c>
      <c r="O1105">
        <v>4.7</v>
      </c>
      <c r="P1105">
        <v>-1.9</v>
      </c>
      <c r="Q1105">
        <v>0</v>
      </c>
      <c r="R1105">
        <v>0</v>
      </c>
      <c r="S1105">
        <v>0</v>
      </c>
      <c r="T1105">
        <v>6.8</v>
      </c>
      <c r="U1105">
        <v>6.8</v>
      </c>
      <c r="V1105" s="9">
        <v>30.666699999999999</v>
      </c>
      <c r="W1105">
        <v>150</v>
      </c>
      <c r="X1105">
        <v>44</v>
      </c>
      <c r="Y1105">
        <v>18</v>
      </c>
      <c r="Z1105">
        <v>19</v>
      </c>
      <c r="AA1105" t="s">
        <v>1680</v>
      </c>
      <c r="AB1105">
        <v>0</v>
      </c>
      <c r="AC1105">
        <v>26</v>
      </c>
      <c r="AD1105">
        <v>5.5</v>
      </c>
      <c r="AE1105">
        <v>7.7</v>
      </c>
      <c r="AF1105" s="5">
        <v>0.44036141037940901</v>
      </c>
      <c r="AG1105">
        <v>0.29399999999999998</v>
      </c>
      <c r="AH1105">
        <v>2.0299999999999998</v>
      </c>
      <c r="AI1105">
        <v>11.04</v>
      </c>
      <c r="AJ1105">
        <v>12.48</v>
      </c>
      <c r="AK1105">
        <v>-21.9</v>
      </c>
      <c r="AL1105">
        <v>-2.2999999999999998</v>
      </c>
      <c r="AM1105">
        <v>0</v>
      </c>
      <c r="AN1105">
        <v>0</v>
      </c>
      <c r="AO1105">
        <v>0</v>
      </c>
      <c r="AP1105">
        <v>0</v>
      </c>
      <c r="AQ1105" t="s">
        <v>3491</v>
      </c>
      <c r="AR1105">
        <v>0</v>
      </c>
      <c r="AS1105" t="s">
        <v>36</v>
      </c>
      <c r="AT1105" t="s">
        <v>35</v>
      </c>
      <c r="AU1105" s="4">
        <f>HYPERLINK("http://mlb.mlb.com/team/player.jsp?player_id=671132",671132)</f>
        <v>671132</v>
      </c>
      <c r="AV1105">
        <v>0</v>
      </c>
      <c r="AW1105">
        <v>0</v>
      </c>
      <c r="AX1105">
        <v>0</v>
      </c>
    </row>
    <row r="1106" spans="1:50" x14ac:dyDescent="0.3">
      <c r="A1106" s="4">
        <f>HYPERLINK("http://legacy.baseballprospectus.com/p/103732",103732)</f>
        <v>103732</v>
      </c>
      <c r="B1106" t="s">
        <v>2131</v>
      </c>
      <c r="C1106" t="s">
        <v>1626</v>
      </c>
      <c r="D1106" s="10">
        <v>35293</v>
      </c>
      <c r="E1106" t="s">
        <v>9</v>
      </c>
      <c r="F1106" t="s">
        <v>9</v>
      </c>
      <c r="G1106">
        <v>76</v>
      </c>
      <c r="H1106">
        <v>205</v>
      </c>
      <c r="I1106">
        <v>2018</v>
      </c>
      <c r="J1106" s="4" t="str">
        <f>HYPERLINK("http://legacy.baseballprospectus.com/fantasy/dc/index.php?tm=CLE","CLE")</f>
        <v>CLE</v>
      </c>
      <c r="K1106" t="s">
        <v>95</v>
      </c>
      <c r="L1106" t="s">
        <v>34</v>
      </c>
      <c r="M1106">
        <v>21</v>
      </c>
      <c r="N1106">
        <v>4.0999999999999996</v>
      </c>
      <c r="O1106">
        <v>9.6</v>
      </c>
      <c r="P1106">
        <v>2.7</v>
      </c>
      <c r="Q1106">
        <v>0</v>
      </c>
      <c r="R1106">
        <v>0</v>
      </c>
      <c r="S1106">
        <v>0</v>
      </c>
      <c r="T1106">
        <v>21</v>
      </c>
      <c r="U1106">
        <v>21</v>
      </c>
      <c r="V1106" s="9">
        <v>94.666700000000006</v>
      </c>
      <c r="W1106">
        <v>458</v>
      </c>
      <c r="X1106">
        <v>118</v>
      </c>
      <c r="Y1106">
        <v>27</v>
      </c>
      <c r="Z1106">
        <v>65</v>
      </c>
      <c r="AA1106" t="s">
        <v>1680</v>
      </c>
      <c r="AB1106">
        <v>3</v>
      </c>
      <c r="AC1106">
        <v>81</v>
      </c>
      <c r="AD1106">
        <v>6.2</v>
      </c>
      <c r="AE1106">
        <v>7.7</v>
      </c>
      <c r="AF1106" s="5">
        <v>0.44127601385116499</v>
      </c>
      <c r="AG1106">
        <v>0.32200000000000001</v>
      </c>
      <c r="AH1106">
        <v>1.93</v>
      </c>
      <c r="AI1106">
        <v>7.43</v>
      </c>
      <c r="AJ1106">
        <v>7.97</v>
      </c>
      <c r="AK1106">
        <v>-22.3</v>
      </c>
      <c r="AL1106">
        <v>-2.4</v>
      </c>
      <c r="AM1106">
        <v>0</v>
      </c>
      <c r="AN1106">
        <v>0</v>
      </c>
      <c r="AO1106">
        <v>0</v>
      </c>
      <c r="AP1106">
        <v>0</v>
      </c>
      <c r="AQ1106" t="s">
        <v>3519</v>
      </c>
      <c r="AR1106">
        <v>0</v>
      </c>
      <c r="AS1106" t="s">
        <v>36</v>
      </c>
      <c r="AT1106" t="s">
        <v>35</v>
      </c>
      <c r="AU1106">
        <f>HYPERLINK("http://mlb.mlb.com/team/player.jsp?player_id=656184",656184)</f>
        <v>656184</v>
      </c>
      <c r="AV1106">
        <v>712</v>
      </c>
      <c r="AW1106">
        <v>1712</v>
      </c>
      <c r="AX1106">
        <v>0</v>
      </c>
    </row>
    <row r="1107" spans="1:50" x14ac:dyDescent="0.3">
      <c r="A1107" s="4">
        <f>HYPERLINK("http://legacy.baseballprospectus.com/p/104920",104920)</f>
        <v>104920</v>
      </c>
      <c r="B1107" t="s">
        <v>3484</v>
      </c>
      <c r="C1107" t="s">
        <v>874</v>
      </c>
      <c r="D1107" s="10">
        <v>35216</v>
      </c>
      <c r="E1107" t="s">
        <v>33</v>
      </c>
      <c r="F1107" t="s">
        <v>33</v>
      </c>
      <c r="G1107">
        <v>77</v>
      </c>
      <c r="H1107">
        <v>235</v>
      </c>
      <c r="I1107">
        <v>2018</v>
      </c>
      <c r="J1107" s="4" t="str">
        <f>HYPERLINK("http://legacy.baseballprospectus.com/fantasy/dc/index.php?tm=MIL","MIL")</f>
        <v>MIL</v>
      </c>
      <c r="K1107" t="s">
        <v>100</v>
      </c>
      <c r="L1107" t="s">
        <v>34</v>
      </c>
      <c r="M1107">
        <v>22</v>
      </c>
      <c r="N1107">
        <v>3.9</v>
      </c>
      <c r="O1107">
        <v>6.2</v>
      </c>
      <c r="P1107">
        <v>3.3</v>
      </c>
      <c r="Q1107">
        <v>0</v>
      </c>
      <c r="R1107">
        <v>0.5</v>
      </c>
      <c r="S1107">
        <v>0</v>
      </c>
      <c r="T1107">
        <v>31.2</v>
      </c>
      <c r="U1107">
        <v>14.6</v>
      </c>
      <c r="V1107" s="9">
        <v>82.666700000000006</v>
      </c>
      <c r="W1107">
        <v>360</v>
      </c>
      <c r="X1107">
        <v>93</v>
      </c>
      <c r="Y1107">
        <v>26</v>
      </c>
      <c r="Z1107">
        <v>35</v>
      </c>
      <c r="AA1107" t="s">
        <v>1680</v>
      </c>
      <c r="AB1107">
        <v>3</v>
      </c>
      <c r="AC1107">
        <v>83</v>
      </c>
      <c r="AD1107">
        <v>3.8</v>
      </c>
      <c r="AE1107">
        <v>9</v>
      </c>
      <c r="AF1107" s="5">
        <v>0.37613126635551403</v>
      </c>
      <c r="AG1107">
        <v>0.313</v>
      </c>
      <c r="AH1107">
        <v>1.55</v>
      </c>
      <c r="AI1107">
        <v>6.6</v>
      </c>
      <c r="AJ1107">
        <v>7.42</v>
      </c>
      <c r="AK1107">
        <v>-22.5</v>
      </c>
      <c r="AL1107">
        <v>-2.4</v>
      </c>
      <c r="AM1107">
        <v>3</v>
      </c>
      <c r="AN1107">
        <v>7</v>
      </c>
      <c r="AO1107">
        <v>1</v>
      </c>
      <c r="AP1107">
        <v>7</v>
      </c>
      <c r="AQ1107" t="s">
        <v>3485</v>
      </c>
      <c r="AR1107">
        <v>9</v>
      </c>
      <c r="AS1107" t="s">
        <v>36</v>
      </c>
      <c r="AT1107" t="s">
        <v>35</v>
      </c>
      <c r="AU1107">
        <f>HYPERLINK("http://mlb.mlb.com/team/player.jsp?player_id=657022",657022)</f>
        <v>657022</v>
      </c>
      <c r="AV1107">
        <v>0</v>
      </c>
      <c r="AW1107">
        <v>0</v>
      </c>
      <c r="AX1107">
        <v>0</v>
      </c>
    </row>
    <row r="1108" spans="1:50" x14ac:dyDescent="0.3">
      <c r="A1108" s="4">
        <f>HYPERLINK("http://legacy.baseballprospectus.com/p/100957",100957)</f>
        <v>100957</v>
      </c>
      <c r="B1108" t="s">
        <v>2117</v>
      </c>
      <c r="C1108" t="s">
        <v>2118</v>
      </c>
      <c r="D1108" s="10">
        <v>34693</v>
      </c>
      <c r="E1108" t="s">
        <v>33</v>
      </c>
      <c r="F1108" t="s">
        <v>33</v>
      </c>
      <c r="G1108">
        <v>73</v>
      </c>
      <c r="H1108">
        <v>222</v>
      </c>
      <c r="I1108">
        <v>2018</v>
      </c>
      <c r="J1108" s="4" t="str">
        <f>HYPERLINK("http://legacy.baseballprospectus.com/fantasy/dc/index.php?tm=NYN","NYN")</f>
        <v>NYN</v>
      </c>
      <c r="K1108" t="s">
        <v>100</v>
      </c>
      <c r="L1108" t="s">
        <v>34</v>
      </c>
      <c r="M1108">
        <v>23</v>
      </c>
      <c r="N1108">
        <v>5.0999999999999996</v>
      </c>
      <c r="O1108">
        <v>7.3</v>
      </c>
      <c r="P1108">
        <v>3.9</v>
      </c>
      <c r="Q1108">
        <v>0</v>
      </c>
      <c r="R1108">
        <v>0.8</v>
      </c>
      <c r="S1108">
        <v>0</v>
      </c>
      <c r="T1108">
        <v>40.299999999999997</v>
      </c>
      <c r="U1108">
        <v>15.1</v>
      </c>
      <c r="V1108" s="9">
        <v>113</v>
      </c>
      <c r="W1108">
        <v>494</v>
      </c>
      <c r="X1108">
        <v>132</v>
      </c>
      <c r="Y1108">
        <v>35</v>
      </c>
      <c r="Z1108">
        <v>40</v>
      </c>
      <c r="AA1108" t="s">
        <v>1680</v>
      </c>
      <c r="AB1108">
        <v>5</v>
      </c>
      <c r="AC1108">
        <v>118</v>
      </c>
      <c r="AD1108">
        <v>3.2</v>
      </c>
      <c r="AE1108">
        <v>9.4</v>
      </c>
      <c r="AF1108" s="5">
        <v>0.40944498777389499</v>
      </c>
      <c r="AG1108">
        <v>0.32800000000000001</v>
      </c>
      <c r="AH1108">
        <v>1.53</v>
      </c>
      <c r="AI1108">
        <v>6.41</v>
      </c>
      <c r="AJ1108">
        <v>7.14</v>
      </c>
      <c r="AK1108">
        <v>-24.1</v>
      </c>
      <c r="AL1108">
        <v>-2.6</v>
      </c>
      <c r="AM1108">
        <v>5</v>
      </c>
      <c r="AN1108">
        <v>8</v>
      </c>
      <c r="AO1108">
        <v>2</v>
      </c>
      <c r="AP1108">
        <v>5</v>
      </c>
      <c r="AQ1108" t="s">
        <v>3386</v>
      </c>
      <c r="AR1108">
        <v>10</v>
      </c>
      <c r="AS1108" t="s">
        <v>36</v>
      </c>
      <c r="AT1108" t="s">
        <v>35</v>
      </c>
      <c r="AU1108">
        <f>HYPERLINK("http://mlb.mlb.com/team/player.jsp?player_id=622503",622503)</f>
        <v>622503</v>
      </c>
      <c r="AV1108">
        <v>0</v>
      </c>
      <c r="AW1108">
        <v>0</v>
      </c>
      <c r="AX1108">
        <v>0</v>
      </c>
    </row>
    <row r="1109" spans="1:50" x14ac:dyDescent="0.3">
      <c r="A1109" s="4">
        <f>HYPERLINK("http://legacy.baseballprospectus.com/p/108738",108738)</f>
        <v>108738</v>
      </c>
      <c r="B1109" t="s">
        <v>2128</v>
      </c>
      <c r="C1109" t="s">
        <v>1110</v>
      </c>
      <c r="D1109" s="10">
        <v>34581</v>
      </c>
      <c r="E1109" t="s">
        <v>33</v>
      </c>
      <c r="F1109" t="s">
        <v>33</v>
      </c>
      <c r="G1109">
        <v>75</v>
      </c>
      <c r="H1109">
        <v>215</v>
      </c>
      <c r="I1109">
        <v>2018</v>
      </c>
      <c r="J1109" s="4" t="str">
        <f>HYPERLINK("http://legacy.baseballprospectus.com/fantasy/dc/index.php?tm=KCA","KCA")</f>
        <v>KCA</v>
      </c>
      <c r="K1109" t="s">
        <v>95</v>
      </c>
      <c r="L1109" t="s">
        <v>34</v>
      </c>
      <c r="M1109">
        <v>23</v>
      </c>
      <c r="N1109">
        <v>4</v>
      </c>
      <c r="O1109">
        <v>8.4</v>
      </c>
      <c r="P1109">
        <v>2.6</v>
      </c>
      <c r="Q1109">
        <v>0</v>
      </c>
      <c r="R1109">
        <v>0.3</v>
      </c>
      <c r="S1109">
        <v>0</v>
      </c>
      <c r="T1109">
        <v>27.7</v>
      </c>
      <c r="U1109">
        <v>16.399999999999999</v>
      </c>
      <c r="V1109" s="9">
        <v>100.66670000000001</v>
      </c>
      <c r="W1109">
        <v>471</v>
      </c>
      <c r="X1109">
        <v>132</v>
      </c>
      <c r="Y1109">
        <v>29</v>
      </c>
      <c r="Z1109">
        <v>44</v>
      </c>
      <c r="AA1109" t="s">
        <v>1680</v>
      </c>
      <c r="AB1109">
        <v>3</v>
      </c>
      <c r="AC1109">
        <v>65</v>
      </c>
      <c r="AD1109">
        <v>3.9</v>
      </c>
      <c r="AE1109">
        <v>5.8</v>
      </c>
      <c r="AF1109" s="5">
        <v>0.52644687891006403</v>
      </c>
      <c r="AG1109">
        <v>0.311</v>
      </c>
      <c r="AH1109">
        <v>1.75</v>
      </c>
      <c r="AI1109">
        <v>7.24</v>
      </c>
      <c r="AJ1109">
        <v>7.62</v>
      </c>
      <c r="AK1109">
        <v>-24</v>
      </c>
      <c r="AL1109">
        <v>-2.6</v>
      </c>
      <c r="AM1109">
        <v>2</v>
      </c>
      <c r="AN1109">
        <v>2</v>
      </c>
      <c r="AO1109">
        <v>0</v>
      </c>
      <c r="AP1109">
        <v>2</v>
      </c>
      <c r="AQ1109" t="s">
        <v>3515</v>
      </c>
      <c r="AR1109">
        <v>2</v>
      </c>
      <c r="AS1109" t="s">
        <v>36</v>
      </c>
      <c r="AT1109" t="s">
        <v>35</v>
      </c>
      <c r="AU1109">
        <f>HYPERLINK("http://mlb.mlb.com/team/player.jsp?player_id=669114",669114)</f>
        <v>669114</v>
      </c>
      <c r="AV1109">
        <v>0</v>
      </c>
      <c r="AW1109">
        <v>0</v>
      </c>
      <c r="AX1109">
        <v>0</v>
      </c>
    </row>
    <row r="1110" spans="1:50" x14ac:dyDescent="0.3">
      <c r="A1110" s="4">
        <f>HYPERLINK("http://legacy.baseballprospectus.com/p/106166",106166)</f>
        <v>106166</v>
      </c>
      <c r="B1110" t="s">
        <v>2159</v>
      </c>
      <c r="C1110" t="s">
        <v>314</v>
      </c>
      <c r="D1110" s="10">
        <v>35565</v>
      </c>
      <c r="E1110" t="s">
        <v>9</v>
      </c>
      <c r="F1110" t="s">
        <v>9</v>
      </c>
      <c r="G1110">
        <v>74</v>
      </c>
      <c r="H1110">
        <v>185</v>
      </c>
      <c r="I1110">
        <v>2018</v>
      </c>
      <c r="J1110" s="4" t="str">
        <f>HYPERLINK("http://legacy.baseballprospectus.com/fantasy/dc/index.php?tm=CLE","CLE")</f>
        <v>CLE</v>
      </c>
      <c r="K1110" t="s">
        <v>95</v>
      </c>
      <c r="L1110" t="s">
        <v>34</v>
      </c>
      <c r="M1110">
        <v>21</v>
      </c>
      <c r="N1110">
        <v>4</v>
      </c>
      <c r="O1110">
        <v>10.4</v>
      </c>
      <c r="P1110">
        <v>1.7</v>
      </c>
      <c r="Q1110">
        <v>0</v>
      </c>
      <c r="R1110">
        <v>0</v>
      </c>
      <c r="S1110">
        <v>0</v>
      </c>
      <c r="T1110">
        <v>21.3</v>
      </c>
      <c r="U1110">
        <v>21.3</v>
      </c>
      <c r="V1110" s="9">
        <v>99.333299999999994</v>
      </c>
      <c r="W1110">
        <v>477</v>
      </c>
      <c r="X1110">
        <v>133</v>
      </c>
      <c r="Y1110">
        <v>35</v>
      </c>
      <c r="Z1110">
        <v>50</v>
      </c>
      <c r="AA1110" t="s">
        <v>1680</v>
      </c>
      <c r="AB1110">
        <v>5</v>
      </c>
      <c r="AC1110">
        <v>82</v>
      </c>
      <c r="AD1110">
        <v>4.5</v>
      </c>
      <c r="AE1110">
        <v>7.4</v>
      </c>
      <c r="AF1110" s="5">
        <v>0.37616768479347201</v>
      </c>
      <c r="AG1110">
        <v>0.32100000000000001</v>
      </c>
      <c r="AH1110">
        <v>1.84</v>
      </c>
      <c r="AI1110">
        <v>7.86</v>
      </c>
      <c r="AJ1110">
        <v>8.44</v>
      </c>
      <c r="AK1110">
        <v>-28.2</v>
      </c>
      <c r="AL1110">
        <v>-3</v>
      </c>
      <c r="AM1110">
        <v>0</v>
      </c>
      <c r="AN1110">
        <v>0</v>
      </c>
      <c r="AO1110">
        <v>0</v>
      </c>
      <c r="AP1110">
        <v>0</v>
      </c>
      <c r="AQ1110" t="s">
        <v>3509</v>
      </c>
      <c r="AR1110">
        <v>0</v>
      </c>
      <c r="AS1110" t="s">
        <v>36</v>
      </c>
      <c r="AT1110" t="s">
        <v>35</v>
      </c>
      <c r="AU1110">
        <f>HYPERLINK("http://mlb.mlb.com/team/player.jsp?player_id=663535",663535)</f>
        <v>663535</v>
      </c>
      <c r="AV1110">
        <v>0</v>
      </c>
      <c r="AW1110">
        <v>0</v>
      </c>
      <c r="AX1110">
        <v>0</v>
      </c>
    </row>
    <row r="1111" spans="1:50" x14ac:dyDescent="0.3">
      <c r="A1111" s="4">
        <f>HYPERLINK("http://legacy.baseballprospectus.com/p/104669",104669)</f>
        <v>104669</v>
      </c>
      <c r="B1111" t="s">
        <v>380</v>
      </c>
      <c r="C1111" t="s">
        <v>3482</v>
      </c>
      <c r="D1111" s="10">
        <v>34760</v>
      </c>
      <c r="E1111" t="s">
        <v>33</v>
      </c>
      <c r="F1111" t="s">
        <v>33</v>
      </c>
      <c r="G1111">
        <v>71</v>
      </c>
      <c r="H1111">
        <v>178</v>
      </c>
      <c r="I1111">
        <v>2018</v>
      </c>
      <c r="J1111" s="4" t="str">
        <f>HYPERLINK("http://legacy.baseballprospectus.com/fantasy/dc/index.php?tm=NYN","NYN")</f>
        <v>NYN</v>
      </c>
      <c r="K1111" t="s">
        <v>100</v>
      </c>
      <c r="L1111" t="s">
        <v>34</v>
      </c>
      <c r="M1111">
        <v>23</v>
      </c>
      <c r="N1111">
        <v>3.7</v>
      </c>
      <c r="O1111">
        <v>8.9</v>
      </c>
      <c r="P1111">
        <v>1.5</v>
      </c>
      <c r="Q1111">
        <v>0</v>
      </c>
      <c r="R1111">
        <v>0.3</v>
      </c>
      <c r="S1111">
        <v>0</v>
      </c>
      <c r="T1111">
        <v>26.1</v>
      </c>
      <c r="U1111">
        <v>15.8</v>
      </c>
      <c r="V1111" s="9">
        <v>102.66670000000001</v>
      </c>
      <c r="W1111">
        <v>464</v>
      </c>
      <c r="X1111">
        <v>133</v>
      </c>
      <c r="Y1111">
        <v>40</v>
      </c>
      <c r="Z1111">
        <v>40</v>
      </c>
      <c r="AA1111" t="s">
        <v>1680</v>
      </c>
      <c r="AB1111">
        <v>5</v>
      </c>
      <c r="AC1111">
        <v>92</v>
      </c>
      <c r="AD1111">
        <v>3.5</v>
      </c>
      <c r="AE1111">
        <v>8</v>
      </c>
      <c r="AF1111" s="5">
        <v>0.41885143518447798</v>
      </c>
      <c r="AG1111">
        <v>0.32400000000000001</v>
      </c>
      <c r="AH1111">
        <v>1.69</v>
      </c>
      <c r="AI1111">
        <v>7.87</v>
      </c>
      <c r="AJ1111">
        <v>8.7799999999999994</v>
      </c>
      <c r="AK1111">
        <v>-38.299999999999997</v>
      </c>
      <c r="AL1111">
        <v>-4.0999999999999996</v>
      </c>
      <c r="AM1111">
        <v>0</v>
      </c>
      <c r="AN1111">
        <v>0</v>
      </c>
      <c r="AO1111">
        <v>0</v>
      </c>
      <c r="AP1111">
        <v>0</v>
      </c>
      <c r="AQ1111" t="s">
        <v>3483</v>
      </c>
      <c r="AR1111">
        <v>0</v>
      </c>
      <c r="AS1111" t="s">
        <v>36</v>
      </c>
      <c r="AT1111" t="s">
        <v>35</v>
      </c>
      <c r="AU1111">
        <f>HYPERLINK("http://mlb.mlb.com/team/player.jsp?player_id=656083",656083)</f>
        <v>656083</v>
      </c>
      <c r="AV1111">
        <v>0</v>
      </c>
      <c r="AW1111">
        <v>0</v>
      </c>
      <c r="AX1111">
        <v>0</v>
      </c>
    </row>
    <row r="1112" spans="1:50" x14ac:dyDescent="0.3">
      <c r="A1112" s="4"/>
      <c r="J1112" s="4"/>
    </row>
    <row r="1113" spans="1:50" x14ac:dyDescent="0.3">
      <c r="A1113" s="4"/>
      <c r="J1113" s="4"/>
    </row>
    <row r="1114" spans="1:50" x14ac:dyDescent="0.3">
      <c r="A1114" s="4"/>
      <c r="J1114" s="4"/>
    </row>
    <row r="1115" spans="1:50" x14ac:dyDescent="0.3">
      <c r="A1115" s="4"/>
      <c r="J1115" s="4"/>
    </row>
    <row r="1116" spans="1:50" x14ac:dyDescent="0.3">
      <c r="A1116" s="4"/>
      <c r="J1116" s="4"/>
    </row>
    <row r="1117" spans="1:50" x14ac:dyDescent="0.3">
      <c r="A1117" s="4"/>
      <c r="J1117" s="4"/>
    </row>
    <row r="1118" spans="1:50" x14ac:dyDescent="0.3">
      <c r="A1118" s="4"/>
      <c r="J1118" s="4"/>
    </row>
    <row r="1119" spans="1:50" x14ac:dyDescent="0.3">
      <c r="A1119" s="4"/>
      <c r="J1119" s="4"/>
    </row>
    <row r="1120" spans="1:50" x14ac:dyDescent="0.3">
      <c r="A1120" s="4"/>
      <c r="J1120" s="4"/>
    </row>
    <row r="1121" spans="1:10" x14ac:dyDescent="0.3">
      <c r="A1121" s="4"/>
      <c r="J1121" s="4"/>
    </row>
    <row r="1122" spans="1:10" x14ac:dyDescent="0.3">
      <c r="A1122" s="4"/>
      <c r="J1122" s="4"/>
    </row>
    <row r="1123" spans="1:10" x14ac:dyDescent="0.3">
      <c r="A1123" s="4"/>
      <c r="J1123" s="4"/>
    </row>
    <row r="1124" spans="1:10" x14ac:dyDescent="0.3">
      <c r="A1124" s="4"/>
      <c r="J1124" s="4"/>
    </row>
    <row r="1125" spans="1:10" x14ac:dyDescent="0.3">
      <c r="A1125" s="4"/>
      <c r="J1125" s="4"/>
    </row>
    <row r="1126" spans="1:10" x14ac:dyDescent="0.3">
      <c r="A1126" s="4"/>
      <c r="J1126" s="4"/>
    </row>
    <row r="1127" spans="1:10" x14ac:dyDescent="0.3">
      <c r="A1127" s="4"/>
      <c r="J1127" s="4"/>
    </row>
    <row r="1128" spans="1:10" x14ac:dyDescent="0.3">
      <c r="A1128" s="4"/>
      <c r="J1128" s="4"/>
    </row>
    <row r="1129" spans="1:10" x14ac:dyDescent="0.3">
      <c r="A1129" s="4"/>
      <c r="J1129" s="4"/>
    </row>
    <row r="1130" spans="1:10" x14ac:dyDescent="0.3">
      <c r="A1130" s="4"/>
      <c r="J1130" s="4"/>
    </row>
    <row r="1131" spans="1:10" x14ac:dyDescent="0.3">
      <c r="A1131" s="4"/>
      <c r="J1131" s="4"/>
    </row>
    <row r="1132" spans="1:10" x14ac:dyDescent="0.3">
      <c r="A1132" s="4"/>
    </row>
    <row r="1133" spans="1:10" x14ac:dyDescent="0.3">
      <c r="A1133" s="4"/>
    </row>
    <row r="1134" spans="1:10" x14ac:dyDescent="0.3">
      <c r="A1134" s="4"/>
    </row>
    <row r="1135" spans="1:10" x14ac:dyDescent="0.3">
      <c r="A1135" s="4"/>
    </row>
    <row r="1136" spans="1:10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Notes</vt:lpstr>
      <vt:lpstr>Hitters</vt:lpstr>
      <vt:lpstr>Pitchers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McQuown</dc:creator>
  <cp:lastModifiedBy>Daniel Nolen</cp:lastModifiedBy>
  <dcterms:created xsi:type="dcterms:W3CDTF">2012-02-08T06:35:27Z</dcterms:created>
  <dcterms:modified xsi:type="dcterms:W3CDTF">2020-07-17T02:30:34Z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6fc77418-2596-4749-8aa4-82488ac48580</vt:lpwstr>
  </property>
</Properties>
</file>