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true" localSheetId="0" name="solver_adj" vbProcedure="false">Лист1!$B$26</definedName>
    <definedName function="false" hidden="true" localSheetId="0" name="solver_cvg" vbProcedure="false">0.0001</definedName>
    <definedName function="false" hidden="true" localSheetId="0" name="solver_drv" vbProcedure="false">1</definedName>
    <definedName function="false" hidden="true" localSheetId="0" name="solver_eng" vbProcedure="false">1</definedName>
    <definedName function="false" hidden="true" localSheetId="0" name="solver_est" vbProcedure="false">1</definedName>
    <definedName function="false" hidden="true" localSheetId="0" name="solver_itr" vbProcedure="false">2147483647</definedName>
    <definedName function="false" hidden="true" localSheetId="0" name="solver_mip" vbProcedure="false">2147483647</definedName>
    <definedName function="false" hidden="true" localSheetId="0" name="solver_mni" vbProcedure="false">30</definedName>
    <definedName function="false" hidden="true" localSheetId="0" name="solver_mrt" vbProcedure="false">0.075</definedName>
    <definedName function="false" hidden="true" localSheetId="0" name="solver_msl" vbProcedure="false">2</definedName>
    <definedName function="false" hidden="true" localSheetId="0" name="solver_neg" vbProcedure="false">1</definedName>
    <definedName function="false" hidden="true" localSheetId="0" name="solver_nod" vbProcedure="false">2147483647</definedName>
    <definedName function="false" hidden="true" localSheetId="0" name="solver_num" vbProcedure="false">0</definedName>
    <definedName function="false" hidden="true" localSheetId="0" name="solver_nwt" vbProcedure="false">1</definedName>
    <definedName function="false" hidden="true" localSheetId="0" name="solver_opt" vbProcedure="false">Лист1!$B$27</definedName>
    <definedName function="false" hidden="true" localSheetId="0" name="solver_pre" vbProcedure="false">0.000001</definedName>
    <definedName function="false" hidden="true" localSheetId="0" name="solver_rbv" vbProcedure="false">1</definedName>
    <definedName function="false" hidden="true" localSheetId="0" name="solver_rlx" vbProcedure="false">2</definedName>
    <definedName function="false" hidden="true" localSheetId="0" name="solver_rsd" vbProcedure="false">0</definedName>
    <definedName function="false" hidden="true" localSheetId="0" name="solver_scl" vbProcedure="false">1</definedName>
    <definedName function="false" hidden="true" localSheetId="0" name="solver_sho" vbProcedure="false">2</definedName>
    <definedName function="false" hidden="true" localSheetId="0" name="solver_ssz" vbProcedure="false">100</definedName>
    <definedName function="false" hidden="true" localSheetId="0" name="solver_tim" vbProcedure="false">2147483647</definedName>
    <definedName function="false" hidden="true" localSheetId="0" name="solver_tol" vbProcedure="false">0.01</definedName>
    <definedName function="false" hidden="true" localSheetId="0" name="solver_typ" vbProcedure="false">2</definedName>
    <definedName function="false" hidden="true" localSheetId="0" name="solver_val" vbProcedure="false">0</definedName>
    <definedName function="false" hidden="true" localSheetId="0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<sst xmlns="http://schemas.openxmlformats.org/spreadsheetml/2006/main" count="136" uniqueCount="78">
  <si>
    <r>
      <rPr>
        <sz val="12"/>
        <color theme="1"/>
        <rFont val="Times New Roman"/>
        <family val="1"/>
        <charset val="204"/>
      </rPr>
      <t xml:space="preserve">t</t>
    </r>
    <r>
      <rPr>
        <vertAlign val="subscript"/>
        <sz val="12"/>
        <color theme="1"/>
        <rFont val="Times New Roman"/>
        <family val="1"/>
        <charset val="204"/>
      </rPr>
      <t xml:space="preserve">1</t>
    </r>
  </si>
  <si>
    <t xml:space="preserve">Амплитуда отклонения Время</t>
  </si>
  <si>
    <r>
      <rPr>
        <sz val="11"/>
        <color rgb="FF000000"/>
        <rFont val="Calibri"/>
        <family val="2"/>
        <charset val="204"/>
      </rPr>
      <t xml:space="preserve">30</t>
    </r>
    <r>
      <rPr>
        <vertAlign val="superscript"/>
        <sz val="11"/>
        <color rgb="FF000000"/>
        <rFont val="Cambria"/>
        <family val="1"/>
        <charset val="204"/>
      </rPr>
      <t xml:space="preserve">∘</t>
    </r>
  </si>
  <si>
    <r>
      <rPr>
        <sz val="11"/>
        <color rgb="FF000000"/>
        <rFont val="Calibri"/>
        <family val="2"/>
        <charset val="204"/>
      </rPr>
      <t xml:space="preserve">25</t>
    </r>
    <r>
      <rPr>
        <vertAlign val="superscript"/>
        <sz val="11"/>
        <color rgb="FF000000"/>
        <rFont val="Cambria"/>
        <family val="1"/>
        <charset val="204"/>
      </rPr>
      <t xml:space="preserve">∘</t>
    </r>
  </si>
  <si>
    <r>
      <rPr>
        <sz val="11"/>
        <color rgb="FF000000"/>
        <rFont val="Calibri"/>
        <family val="2"/>
        <charset val="204"/>
      </rPr>
      <t xml:space="preserve">20</t>
    </r>
    <r>
      <rPr>
        <vertAlign val="superscript"/>
        <sz val="11"/>
        <color rgb="FF000000"/>
        <rFont val="Cambria"/>
        <family val="1"/>
        <charset val="204"/>
      </rPr>
      <t xml:space="preserve">∘</t>
    </r>
  </si>
  <si>
    <r>
      <rPr>
        <sz val="11"/>
        <color rgb="FF000000"/>
        <rFont val="Calibri"/>
        <family val="2"/>
        <charset val="204"/>
      </rPr>
      <t xml:space="preserve">15</t>
    </r>
    <r>
      <rPr>
        <vertAlign val="superscript"/>
        <sz val="11"/>
        <color rgb="FF000000"/>
        <rFont val="Cambria"/>
        <family val="1"/>
        <charset val="204"/>
      </rPr>
      <t xml:space="preserve">∘</t>
    </r>
  </si>
  <si>
    <r>
      <rPr>
        <sz val="11"/>
        <color rgb="FF000000"/>
        <rFont val="Calibri"/>
        <family val="2"/>
        <charset val="204"/>
      </rPr>
      <t xml:space="preserve">10</t>
    </r>
    <r>
      <rPr>
        <vertAlign val="superscript"/>
        <sz val="11"/>
        <color rgb="FF000000"/>
        <rFont val="Cambria"/>
        <family val="1"/>
        <charset val="204"/>
      </rPr>
      <t xml:space="preserve">∘</t>
    </r>
  </si>
  <si>
    <r>
      <rPr>
        <sz val="11"/>
        <color rgb="FF000000"/>
        <rFont val="Calibri"/>
        <family val="2"/>
        <charset val="204"/>
      </rPr>
      <t xml:space="preserve">5</t>
    </r>
    <r>
      <rPr>
        <vertAlign val="superscript"/>
        <sz val="11"/>
        <color rgb="FF000000"/>
        <rFont val="Cambria"/>
        <family val="1"/>
        <charset val="204"/>
      </rPr>
      <t xml:space="preserve">∘</t>
    </r>
  </si>
  <si>
    <t xml:space="preserve">ϕ</t>
  </si>
  <si>
    <t xml:space="preserve">t</t>
  </si>
  <si>
    <t xml:space="preserve">А</t>
  </si>
  <si>
    <t xml:space="preserve">ln(A/A0)</t>
  </si>
  <si>
    <t xml:space="preserve">ln A</t>
  </si>
  <si>
    <r>
      <rPr>
        <sz val="12"/>
        <color theme="1"/>
        <rFont val="Times New Roman"/>
        <family val="1"/>
        <charset val="204"/>
      </rPr>
      <t xml:space="preserve">t</t>
    </r>
    <r>
      <rPr>
        <vertAlign val="subscript"/>
        <sz val="12"/>
        <color theme="1"/>
        <rFont val="Times New Roman"/>
        <family val="1"/>
        <charset val="204"/>
      </rPr>
      <t xml:space="preserve">2</t>
    </r>
  </si>
  <si>
    <r>
      <rPr>
        <sz val="12"/>
        <color theme="1"/>
        <rFont val="Times New Roman"/>
        <family val="1"/>
        <charset val="204"/>
      </rPr>
      <t xml:space="preserve">t</t>
    </r>
    <r>
      <rPr>
        <vertAlign val="subscript"/>
        <sz val="12"/>
        <color theme="1"/>
        <rFont val="Times New Roman"/>
        <family val="1"/>
        <charset val="204"/>
      </rPr>
      <t xml:space="preserve">3</t>
    </r>
  </si>
  <si>
    <r>
      <rPr>
        <b val="true"/>
        <i val="true"/>
        <sz val="11"/>
        <color rgb="FF000000"/>
        <rFont val="Cambria"/>
        <family val="1"/>
        <charset val="204"/>
      </rPr>
      <t xml:space="preserve">t</t>
    </r>
    <r>
      <rPr>
        <b val="true"/>
        <sz val="11"/>
        <color rgb="FF000000"/>
        <rFont val="Cambria"/>
        <family val="1"/>
        <charset val="204"/>
      </rPr>
      <t xml:space="preserve">¯</t>
    </r>
  </si>
  <si>
    <t xml:space="preserve">N</t>
  </si>
  <si>
    <t xml:space="preserve">T</t>
  </si>
  <si>
    <t xml:space="preserve">Риски</t>
  </si>
  <si>
    <r>
      <rPr>
        <sz val="12"/>
        <color theme="1"/>
        <rFont val="Times New Roman"/>
        <family val="1"/>
        <charset val="204"/>
      </rPr>
      <t xml:space="preserve">I</t>
    </r>
    <r>
      <rPr>
        <vertAlign val="subscript"/>
        <sz val="12"/>
        <color theme="1"/>
        <rFont val="Times New Roman"/>
        <family val="1"/>
        <charset val="204"/>
      </rPr>
      <t xml:space="preserve">0</t>
    </r>
  </si>
  <si>
    <r>
      <rPr>
        <sz val="12"/>
        <color theme="1"/>
        <rFont val="Times New Roman"/>
        <family val="1"/>
        <charset val="204"/>
      </rPr>
      <t xml:space="preserve">R</t>
    </r>
    <r>
      <rPr>
        <vertAlign val="subscript"/>
        <sz val="12"/>
        <color theme="1"/>
        <rFont val="Times New Roman"/>
        <family val="1"/>
        <charset val="204"/>
      </rPr>
      <t xml:space="preserve">верх</t>
    </r>
  </si>
  <si>
    <t xml:space="preserve">β</t>
  </si>
  <si>
    <r>
      <rPr>
        <sz val="12"/>
        <color theme="1"/>
        <rFont val="Times New Roman"/>
        <family val="1"/>
        <charset val="204"/>
      </rPr>
      <t xml:space="preserve">m</t>
    </r>
    <r>
      <rPr>
        <vertAlign val="subscript"/>
        <sz val="12"/>
        <color theme="1"/>
        <rFont val="Times New Roman"/>
        <family val="1"/>
        <charset val="204"/>
      </rPr>
      <t xml:space="preserve">гр</t>
    </r>
  </si>
  <si>
    <r>
      <rPr>
        <sz val="12"/>
        <color theme="1"/>
        <rFont val="Times New Roman"/>
        <family val="1"/>
        <charset val="204"/>
      </rPr>
      <t xml:space="preserve">R</t>
    </r>
    <r>
      <rPr>
        <vertAlign val="subscript"/>
        <sz val="12"/>
        <color theme="1"/>
        <rFont val="Times New Roman"/>
        <family val="1"/>
        <charset val="204"/>
      </rPr>
      <t xml:space="preserve">нижн</t>
    </r>
  </si>
  <si>
    <t xml:space="preserve">∆ϕ</t>
  </si>
  <si>
    <t xml:space="preserve">S</t>
  </si>
  <si>
    <r>
      <rPr>
        <sz val="12"/>
        <color theme="1"/>
        <rFont val="Times New Roman"/>
        <family val="1"/>
        <charset val="204"/>
      </rPr>
      <t xml:space="preserve">R</t>
    </r>
    <r>
      <rPr>
        <vertAlign val="subscript"/>
        <sz val="12"/>
        <color theme="1"/>
        <rFont val="Times New Roman"/>
        <family val="1"/>
        <charset val="204"/>
      </rPr>
      <t xml:space="preserve">бок</t>
    </r>
  </si>
  <si>
    <t xml:space="preserve">n</t>
  </si>
  <si>
    <t xml:space="preserve">θ</t>
  </si>
  <si>
    <t xml:space="preserve">b2</t>
  </si>
  <si>
    <r>
      <rPr>
        <b val="true"/>
        <sz val="12"/>
        <color theme="1"/>
        <rFont val="Times New Roman"/>
        <family val="1"/>
        <charset val="204"/>
      </rPr>
      <t xml:space="preserve">T</t>
    </r>
    <r>
      <rPr>
        <b val="true"/>
        <vertAlign val="superscript"/>
        <sz val="12"/>
        <color theme="1"/>
        <rFont val="Times New Roman"/>
        <family val="1"/>
        <charset val="204"/>
      </rPr>
      <t xml:space="preserve">2</t>
    </r>
  </si>
  <si>
    <t xml:space="preserve">I</t>
  </si>
  <si>
    <r>
      <rPr>
        <sz val="12"/>
        <color theme="1"/>
        <rFont val="Times New Roman"/>
        <family val="1"/>
        <charset val="204"/>
      </rPr>
      <t xml:space="preserve">I</t>
    </r>
    <r>
      <rPr>
        <vertAlign val="subscript"/>
        <sz val="12"/>
        <color theme="1"/>
        <rFont val="Times New Roman"/>
        <family val="1"/>
        <charset val="204"/>
      </rPr>
      <t xml:space="preserve">гр</t>
    </r>
  </si>
  <si>
    <t xml:space="preserve">Если сухое</t>
  </si>
  <si>
    <t xml:space="preserve">Если вязкое</t>
  </si>
  <si>
    <t xml:space="preserve">Всё-таки вязкое</t>
  </si>
  <si>
    <t xml:space="preserve">tg a2</t>
  </si>
  <si>
    <r>
      <rPr>
        <sz val="12"/>
        <color theme="1"/>
        <rFont val="Times New Roman"/>
        <family val="1"/>
        <charset val="204"/>
      </rPr>
      <t xml:space="preserve">l</t>
    </r>
    <r>
      <rPr>
        <vertAlign val="subscript"/>
        <sz val="12"/>
        <color theme="1"/>
        <rFont val="Times New Roman"/>
        <family val="1"/>
        <charset val="204"/>
      </rPr>
      <t xml:space="preserve">пр эксп</t>
    </r>
  </si>
  <si>
    <r>
      <rPr>
        <sz val="12"/>
        <color theme="1"/>
        <rFont val="Times New Roman"/>
        <family val="1"/>
        <charset val="204"/>
      </rPr>
      <t xml:space="preserve">d</t>
    </r>
    <r>
      <rPr>
        <vertAlign val="subscript"/>
        <sz val="12"/>
        <color theme="1"/>
        <rFont val="Times New Roman"/>
        <family val="1"/>
        <charset val="204"/>
      </rPr>
      <t xml:space="preserve">1</t>
    </r>
  </si>
  <si>
    <r>
      <rPr>
        <sz val="12"/>
        <color theme="1"/>
        <rFont val="Times New Roman"/>
        <family val="1"/>
        <charset val="204"/>
      </rPr>
      <t xml:space="preserve">l</t>
    </r>
    <r>
      <rPr>
        <vertAlign val="subscript"/>
        <sz val="12"/>
        <color theme="1"/>
        <rFont val="Times New Roman"/>
        <family val="1"/>
        <charset val="204"/>
      </rPr>
      <t xml:space="preserve">пр теор</t>
    </r>
  </si>
  <si>
    <t xml:space="preserve">ln(A/A0)¯</t>
  </si>
  <si>
    <r>
      <rPr>
        <sz val="12"/>
        <color theme="1"/>
        <rFont val="Times New Roman"/>
        <family val="1"/>
        <charset val="204"/>
      </rPr>
      <t xml:space="preserve">d</t>
    </r>
    <r>
      <rPr>
        <vertAlign val="subscript"/>
        <sz val="12"/>
        <color theme="1"/>
        <rFont val="Times New Roman"/>
        <family val="1"/>
        <charset val="204"/>
      </rPr>
      <t xml:space="preserve">2</t>
    </r>
  </si>
  <si>
    <r>
      <rPr>
        <sz val="12"/>
        <color theme="1"/>
        <rFont val="Times New Roman"/>
        <family val="1"/>
        <charset val="204"/>
      </rPr>
      <t xml:space="preserve">d</t>
    </r>
    <r>
      <rPr>
        <vertAlign val="subscript"/>
        <sz val="12"/>
        <color theme="1"/>
        <rFont val="Times New Roman"/>
        <family val="1"/>
        <charset val="204"/>
      </rPr>
      <t xml:space="preserve">3</t>
    </r>
  </si>
  <si>
    <t xml:space="preserve">Положение боковых грузов</t>
  </si>
  <si>
    <r>
      <rPr>
        <sz val="12"/>
        <color theme="1"/>
        <rFont val="Times New Roman"/>
        <family val="1"/>
        <charset val="204"/>
      </rPr>
      <t xml:space="preserve">d</t>
    </r>
    <r>
      <rPr>
        <vertAlign val="subscript"/>
        <sz val="12"/>
        <color theme="1"/>
        <rFont val="Times New Roman"/>
        <family val="1"/>
        <charset val="204"/>
      </rPr>
      <t xml:space="preserve">4</t>
    </r>
  </si>
  <si>
    <t xml:space="preserve">1 риска</t>
  </si>
  <si>
    <r>
      <rPr>
        <sz val="12"/>
        <color theme="1"/>
        <rFont val="Times New Roman"/>
        <family val="1"/>
        <charset val="204"/>
      </rPr>
      <t xml:space="preserve">d</t>
    </r>
    <r>
      <rPr>
        <vertAlign val="subscript"/>
        <sz val="12"/>
        <color theme="1"/>
        <rFont val="Times New Roman"/>
        <family val="1"/>
        <charset val="204"/>
      </rPr>
      <t xml:space="preserve">5</t>
    </r>
  </si>
  <si>
    <t xml:space="preserve">2 риски</t>
  </si>
  <si>
    <r>
      <rPr>
        <sz val="12"/>
        <color theme="1"/>
        <rFont val="Times New Roman"/>
        <family val="1"/>
        <charset val="204"/>
      </rPr>
      <t xml:space="preserve">d</t>
    </r>
    <r>
      <rPr>
        <vertAlign val="subscript"/>
        <sz val="12"/>
        <color theme="1"/>
        <rFont val="Times New Roman"/>
        <family val="1"/>
        <charset val="204"/>
      </rPr>
      <t xml:space="preserve">6</t>
    </r>
  </si>
  <si>
    <t xml:space="preserve">3 риски</t>
  </si>
  <si>
    <t xml:space="preserve">Sb^2</t>
  </si>
  <si>
    <t xml:space="preserve">4 риски</t>
  </si>
  <si>
    <t xml:space="preserve">dln(A/A0)</t>
  </si>
  <si>
    <t xml:space="preserve">5 рисок</t>
  </si>
  <si>
    <t xml:space="preserve">6 рисок</t>
  </si>
  <si>
    <t xml:space="preserve">dR</t>
  </si>
  <si>
    <t xml:space="preserve">Амплитуда отклонения Погрешности (время)</t>
  </si>
  <si>
    <t xml:space="preserve">eR</t>
  </si>
  <si>
    <t xml:space="preserve">St</t>
  </si>
  <si>
    <t xml:space="preserve">ml</t>
  </si>
  <si>
    <t xml:space="preserve">dt¯</t>
  </si>
  <si>
    <t xml:space="preserve">dt</t>
  </si>
  <si>
    <r>
      <rPr>
        <sz val="12"/>
        <color theme="1"/>
        <rFont val="Calibri"/>
        <family val="2"/>
        <charset val="204"/>
      </rPr>
      <t xml:space="preserve">ε</t>
    </r>
    <r>
      <rPr>
        <sz val="12"/>
        <color theme="1"/>
        <rFont val="Times New Roman"/>
        <family val="1"/>
        <charset val="204"/>
      </rPr>
      <t xml:space="preserve">t</t>
    </r>
  </si>
  <si>
    <t xml:space="preserve">l</t>
  </si>
  <si>
    <t xml:space="preserve">d(ml)</t>
  </si>
  <si>
    <t xml:space="preserve">4p2/mgl</t>
  </si>
  <si>
    <t xml:space="preserve">T2</t>
  </si>
  <si>
    <t xml:space="preserve">d(4p2/mgl)</t>
  </si>
  <si>
    <t xml:space="preserve">dT2</t>
  </si>
  <si>
    <t xml:space="preserve">eT2</t>
  </si>
  <si>
    <t xml:space="preserve">Амплитуда отклонения Погрешности (декремент)</t>
  </si>
  <si>
    <t xml:space="preserve">eln(A/A0)</t>
  </si>
  <si>
    <r>
      <rPr>
        <sz val="12"/>
        <color theme="1"/>
        <rFont val="Times New Roman"/>
        <family val="1"/>
        <charset val="204"/>
      </rPr>
      <t xml:space="preserve">dl</t>
    </r>
    <r>
      <rPr>
        <vertAlign val="subscript"/>
        <sz val="12"/>
        <color theme="1"/>
        <rFont val="Times New Roman"/>
        <family val="1"/>
        <charset val="204"/>
      </rPr>
      <t xml:space="preserve">пр эксп</t>
    </r>
  </si>
  <si>
    <r>
      <rPr>
        <sz val="12"/>
        <color theme="1"/>
        <rFont val="Times New Roman"/>
        <family val="1"/>
        <charset val="204"/>
      </rPr>
      <t xml:space="preserve">el</t>
    </r>
    <r>
      <rPr>
        <vertAlign val="subscript"/>
        <sz val="12"/>
        <color theme="1"/>
        <rFont val="Times New Roman"/>
        <family val="1"/>
        <charset val="204"/>
      </rPr>
      <t xml:space="preserve">пр эксп</t>
    </r>
  </si>
  <si>
    <t xml:space="preserve">dI</t>
  </si>
  <si>
    <t xml:space="preserve">eI</t>
  </si>
  <si>
    <r>
      <rPr>
        <sz val="12"/>
        <color theme="1"/>
        <rFont val="Times New Roman"/>
        <family val="1"/>
        <charset val="204"/>
      </rPr>
      <t xml:space="preserve">dl</t>
    </r>
    <r>
      <rPr>
        <vertAlign val="subscript"/>
        <sz val="12"/>
        <color theme="1"/>
        <rFont val="Times New Roman"/>
        <family val="1"/>
        <charset val="204"/>
      </rPr>
      <t xml:space="preserve">пр теор</t>
    </r>
  </si>
  <si>
    <r>
      <rPr>
        <sz val="12"/>
        <color theme="1"/>
        <rFont val="Times New Roman"/>
        <family val="1"/>
        <charset val="204"/>
      </rPr>
      <t xml:space="preserve">el</t>
    </r>
    <r>
      <rPr>
        <vertAlign val="subscript"/>
        <sz val="12"/>
        <color theme="1"/>
        <rFont val="Times New Roman"/>
        <family val="1"/>
        <charset val="204"/>
      </rPr>
      <t xml:space="preserve">пр теор</t>
    </r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</si>
</sst>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"/>
    <numFmt numFmtId="166" formatCode="0.0000"/>
    <numFmt numFmtId="167" formatCode="0.00E+00"/>
    <numFmt numFmtId="168" formatCode="0"/>
    <numFmt numFmtId="169" formatCode="0.0"/>
    <numFmt numFmtId="170" formatCode="0.000"/>
    <numFmt numFmtId="171" formatCode="0.00000000000"/>
    <numFmt numFmtId="172" formatCode="0.0000000"/>
    <numFmt numFmtId="173" formatCode="0.00000"/>
  </numFmts>
  <fonts count="2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vertAlign val="superscript"/>
      <sz val="11"/>
      <color rgb="FF000000"/>
      <name val="Cambria"/>
      <family val="1"/>
      <charset val="204"/>
    </font>
    <font>
      <b val="true"/>
      <sz val="11"/>
      <color rgb="FF000000"/>
      <name val="Calibri"/>
      <family val="2"/>
      <charset val="204"/>
    </font>
    <font>
      <b val="true"/>
      <i val="true"/>
      <sz val="11"/>
      <color rgb="FF000000"/>
      <name val="Cambria"/>
      <family val="1"/>
      <charset val="204"/>
    </font>
    <font>
      <b val="true"/>
      <sz val="11"/>
      <color rgb="FF000000"/>
      <name val="Cambria"/>
      <family val="1"/>
      <charset val="204"/>
    </font>
    <font>
      <b val="true"/>
      <sz val="12"/>
      <color theme="1"/>
      <name val="Times New Roman"/>
      <family val="1"/>
      <charset val="204"/>
    </font>
    <font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204"/>
    </font>
    <font>
      <b val="true"/>
      <vertAlign val="superscript"/>
      <sz val="12"/>
      <color theme="1"/>
      <name val="Times New Roman"/>
      <family val="1"/>
      <charset val="204"/>
    </font>
    <font>
      <sz val="12"/>
      <color theme="1"/>
      <name val="Times New Roman"/>
      <family val="2"/>
      <charset val="204"/>
    </font>
    <font>
      <sz val="12"/>
      <color theme="1"/>
      <name val="Calibri"/>
      <family val="2"/>
      <charset val="204"/>
    </font>
    <font>
      <sz val="14"/>
      <color rgb="FF595959"/>
      <name val="Calibri"/>
      <family val="2"/>
    </font>
    <font>
      <b val="true"/>
      <sz val="14"/>
      <color rgb="FF595959"/>
      <name val="Calibri"/>
      <family val="2"/>
    </font>
    <font>
      <sz val="9"/>
      <color rgb="FF595959"/>
      <name val="Calibri"/>
      <family val="2"/>
    </font>
    <font>
      <b val="true"/>
      <sz val="18"/>
      <color rgb="FF595959"/>
      <name val="Calibri"/>
      <family val="2"/>
    </font>
    <font>
      <b val="true"/>
      <vertAlign val="superscript"/>
      <sz val="18"/>
      <color rgb="FF595959"/>
      <name val="Calibri"/>
      <family val="2"/>
    </font>
    <font>
      <b val="true"/>
      <sz val="16"/>
      <color rgb="FF44546A"/>
      <name val="Calibri"/>
      <family val="2"/>
    </font>
    <font>
      <sz val="9"/>
      <color rgb="FF44546A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"/>
        <bgColor rgb="FFD9D9D9"/>
      </patternFill>
    </fill>
    <fill>
      <patternFill patternType="solid">
        <fgColor theme="9" tint="0.3999"/>
        <bgColor rgb="FFC5E0B4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3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E0E5EB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ADB9CA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A9D18E"/>
      <rgbColor rgb="FF003366"/>
      <rgbColor rgb="FF339966"/>
      <rgbColor rgb="FF003300"/>
      <rgbColor rgb="FF333300"/>
      <rgbColor rgb="FF993300"/>
      <rgbColor rgb="FF993366"/>
      <rgbColor rgb="FF44546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ru-RU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ru-RU" sz="1400" spc="-1" strike="noStrike">
                <a:solidFill>
                  <a:srgbClr val="595959"/>
                </a:solidFill>
                <a:latin typeface="Calibri"/>
              </a:rPr>
              <a:t>График A(t)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exp"/>
            <c:forward val="0"/>
            <c:backward val="0"/>
            <c:dispRSqr val="0"/>
            <c:dispEq val="0"/>
          </c:trendline>
          <c:xVal>
            <c:numRef>
              <c:f>Лист1!$M$2:$M$7</c:f>
              <c:numCache>
                <c:formatCode>General</c:formatCode>
                <c:ptCount val="6"/>
                <c:pt idx="0">
                  <c:v>0</c:v>
                </c:pt>
                <c:pt idx="1">
                  <c:v>48.14666667</c:v>
                </c:pt>
                <c:pt idx="2">
                  <c:v>87.55333333</c:v>
                </c:pt>
                <c:pt idx="3">
                  <c:v>131.2866667</c:v>
                </c:pt>
                <c:pt idx="4">
                  <c:v>190.1633333</c:v>
                </c:pt>
                <c:pt idx="5">
                  <c:v>252.7333333</c:v>
                </c:pt>
              </c:numCache>
            </c:numRef>
          </c:xVal>
          <c:yVal>
            <c:numRef>
              <c:f>Лист1!$N$2:$N$7</c:f>
              <c:numCache>
                <c:formatCode>General</c:formatCode>
                <c:ptCount val="6"/>
                <c:pt idx="0">
                  <c:v>0.13</c:v>
                </c:pt>
                <c:pt idx="1">
                  <c:v>0.12</c:v>
                </c:pt>
                <c:pt idx="2">
                  <c:v>0.11</c:v>
                </c:pt>
                <c:pt idx="3">
                  <c:v>0.1</c:v>
                </c:pt>
                <c:pt idx="4">
                  <c:v>0.08</c:v>
                </c:pt>
                <c:pt idx="5">
                  <c:v>0.07</c:v>
                </c:pt>
              </c:numCache>
            </c:numRef>
          </c:yVal>
          <c:smooth val="0"/>
        </c:ser>
        <c:axId val="73596517"/>
        <c:axId val="83449018"/>
      </c:scatterChart>
      <c:valAx>
        <c:axId val="73596517"/>
        <c:scaling>
          <c:orientation val="minMax"/>
          <c:max val="313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3449018"/>
        <c:crosses val="autoZero"/>
        <c:crossBetween val="midCat"/>
        <c:majorUnit val="10"/>
      </c:valAx>
      <c:valAx>
        <c:axId val="83449018"/>
        <c:scaling>
          <c:orientation val="minMax"/>
          <c:min val="0.06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3596517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ru-RU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ru-RU" sz="1400" spc="-1" strike="noStrike">
                <a:solidFill>
                  <a:srgbClr val="595959"/>
                </a:solidFill>
                <a:latin typeface="Calibri"/>
              </a:rPr>
              <a:t>График T2(I)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88553009372122"/>
          <c:y val="0.11899194595999"/>
          <c:w val="0.870578037813533"/>
          <c:h val="0.82755261106781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Лист1!$A$11</c:f>
              <c:strCache>
                <c:ptCount val="1"/>
                <c:pt idx="0">
                  <c:v>T2</c:v>
                </c:pt>
              </c:strCache>
            </c:strRef>
          </c:tx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Лист1!$B$12:$B$17</c:f>
              <c:numCache>
                <c:formatCode>0.0000</c:formatCode>
                <c:ptCount val="6"/>
                <c:pt idx="0">
                  <c:v>0.032</c:v>
                </c:pt>
                <c:pt idx="1">
                  <c:v>0.036</c:v>
                </c:pt>
                <c:pt idx="2">
                  <c:v>0.04</c:v>
                </c:pt>
                <c:pt idx="3">
                  <c:v>0.046</c:v>
                </c:pt>
                <c:pt idx="4">
                  <c:v>0.053</c:v>
                </c:pt>
                <c:pt idx="5">
                  <c:v>0.06</c:v>
                </c:pt>
              </c:numCache>
            </c:numRef>
          </c:xVal>
          <c:yVal>
            <c:numRef>
              <c:f>Лист1!$A$12:$A$17</c:f>
              <c:numCache>
                <c:formatCode>0.000</c:formatCode>
                <c:ptCount val="6"/>
                <c:pt idx="0">
                  <c:v>2.660161</c:v>
                </c:pt>
                <c:pt idx="1">
                  <c:v>3.010225</c:v>
                </c:pt>
                <c:pt idx="2">
                  <c:v>3.381921</c:v>
                </c:pt>
                <c:pt idx="3">
                  <c:v>3.916441</c:v>
                </c:pt>
                <c:pt idx="4">
                  <c:v>4.414201</c:v>
                </c:pt>
                <c:pt idx="5">
                  <c:v>5.171076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Лист1!$A$20:$A$25</c:f>
              <c:numCache>
                <c:formatCode>0.0000</c:formatCode>
                <c:ptCount val="6"/>
                <c:pt idx="0">
                  <c:v>0.032</c:v>
                </c:pt>
                <c:pt idx="1">
                  <c:v>0.036</c:v>
                </c:pt>
                <c:pt idx="2">
                  <c:v>0.04</c:v>
                </c:pt>
                <c:pt idx="3">
                  <c:v>0.046</c:v>
                </c:pt>
                <c:pt idx="4">
                  <c:v>0.053</c:v>
                </c:pt>
                <c:pt idx="5">
                  <c:v>0.06</c:v>
                </c:pt>
              </c:numCache>
            </c:numRef>
          </c:xVal>
          <c:yVal>
            <c:numRef>
              <c:f>Лист1!$B$20:$B$25</c:f>
              <c:numCache>
                <c:formatCode>General</c:formatCode>
                <c:ptCount val="6"/>
                <c:pt idx="0">
                  <c:v>2.7575527383006</c:v>
                </c:pt>
                <c:pt idx="1">
                  <c:v>3.10224683058817</c:v>
                </c:pt>
                <c:pt idx="2">
                  <c:v>3.44694092287575</c:v>
                </c:pt>
                <c:pt idx="3">
                  <c:v>3.96398206130711</c:v>
                </c:pt>
                <c:pt idx="4">
                  <c:v>4.56719672281036</c:v>
                </c:pt>
                <c:pt idx="5">
                  <c:v>5.17041138431362</c:v>
                </c:pt>
              </c:numCache>
            </c:numRef>
          </c:yVal>
          <c:smooth val="0"/>
        </c:ser>
        <c:axId val="13983502"/>
        <c:axId val="54468812"/>
      </c:scatterChart>
      <c:valAx>
        <c:axId val="13983502"/>
        <c:scaling>
          <c:orientation val="minMax"/>
          <c:max val="0.1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4468812"/>
        <c:crosses val="autoZero"/>
        <c:crossBetween val="midCat"/>
        <c:majorUnit val="0.01"/>
      </c:valAx>
      <c:valAx>
        <c:axId val="54468812"/>
        <c:scaling>
          <c:orientation val="minMax"/>
          <c:max val="8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3983502"/>
        <c:crosses val="autoZero"/>
        <c:crossBetween val="midCat"/>
        <c:majorUnit val="1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ru-RU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ru-RU" sz="1400" spc="-1" strike="noStrike">
                <a:solidFill>
                  <a:srgbClr val="595959"/>
                </a:solidFill>
                <a:latin typeface="Calibri"/>
              </a:rPr>
              <a:t>ln(A/A0)=-βt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Лист1!$M$2:$M$7</c:f>
              <c:numCache>
                <c:formatCode>General</c:formatCode>
                <c:ptCount val="6"/>
                <c:pt idx="0">
                  <c:v>0</c:v>
                </c:pt>
                <c:pt idx="1">
                  <c:v>48.14666667</c:v>
                </c:pt>
                <c:pt idx="2">
                  <c:v>87.55333333</c:v>
                </c:pt>
                <c:pt idx="3">
                  <c:v>131.2866667</c:v>
                </c:pt>
                <c:pt idx="4">
                  <c:v>190.1633333</c:v>
                </c:pt>
                <c:pt idx="5">
                  <c:v>252.7333333</c:v>
                </c:pt>
              </c:numCache>
            </c:numRef>
          </c:xVal>
          <c:yVal>
            <c:numRef>
              <c:f>Лист1!$O$2:$O$7</c:f>
              <c:numCache>
                <c:formatCode>General</c:formatCode>
                <c:ptCount val="6"/>
                <c:pt idx="0">
                  <c:v>0</c:v>
                </c:pt>
                <c:pt idx="1">
                  <c:v>-0.092</c:v>
                </c:pt>
                <c:pt idx="2">
                  <c:v>-0.198</c:v>
                </c:pt>
                <c:pt idx="3">
                  <c:v>-0.32</c:v>
                </c:pt>
                <c:pt idx="4">
                  <c:v>-0.463</c:v>
                </c:pt>
                <c:pt idx="5">
                  <c:v>-0.633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Лист1!$M$2:$M$7</c:f>
              <c:numCache>
                <c:formatCode>General</c:formatCode>
                <c:ptCount val="6"/>
                <c:pt idx="0">
                  <c:v>0</c:v>
                </c:pt>
                <c:pt idx="1">
                  <c:v>48.14666667</c:v>
                </c:pt>
                <c:pt idx="2">
                  <c:v>87.55333333</c:v>
                </c:pt>
                <c:pt idx="3">
                  <c:v>131.2866667</c:v>
                </c:pt>
                <c:pt idx="4">
                  <c:v>190.1633333</c:v>
                </c:pt>
                <c:pt idx="5">
                  <c:v>252.7333333</c:v>
                </c:pt>
              </c:numCache>
            </c:numRef>
          </c:xVal>
          <c:yVal>
            <c:numRef>
              <c:f>Лист1!$P$2:$P$7</c:f>
              <c:numCache>
                <c:formatCode>General</c:formatCode>
                <c:ptCount val="6"/>
                <c:pt idx="0">
                  <c:v>0</c:v>
                </c:pt>
                <c:pt idx="1">
                  <c:v>-0.096293333</c:v>
                </c:pt>
                <c:pt idx="2">
                  <c:v>-0.175106667</c:v>
                </c:pt>
                <c:pt idx="3">
                  <c:v>-0.262573333</c:v>
                </c:pt>
                <c:pt idx="4">
                  <c:v>-0.380326667</c:v>
                </c:pt>
                <c:pt idx="5">
                  <c:v>-0.505466667</c:v>
                </c:pt>
              </c:numCache>
            </c:numRef>
          </c:yVal>
          <c:smooth val="0"/>
        </c:ser>
        <c:axId val="29244228"/>
        <c:axId val="70055941"/>
      </c:scatterChart>
      <c:valAx>
        <c:axId val="2924422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0055941"/>
        <c:crosses val="autoZero"/>
        <c:crossBetween val="midCat"/>
      </c:valAx>
      <c:valAx>
        <c:axId val="7005594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9244228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ln 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Лист1!$AJ$1</c:f>
              <c:strCache>
                <c:ptCount val="1"/>
                <c:pt idx="0">
                  <c:v>ln A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Лист1!$AH$2:$AH$7</c:f>
              <c:numCache>
                <c:formatCode>General</c:formatCode>
                <c:ptCount val="6"/>
                <c:pt idx="0">
                  <c:v>0</c:v>
                </c:pt>
                <c:pt idx="1">
                  <c:v>41.9833333333333</c:v>
                </c:pt>
                <c:pt idx="2">
                  <c:v>95.01</c:v>
                </c:pt>
                <c:pt idx="3">
                  <c:v>160.323333333333</c:v>
                </c:pt>
                <c:pt idx="4">
                  <c:v>229.04</c:v>
                </c:pt>
                <c:pt idx="5">
                  <c:v>312.296666666667</c:v>
                </c:pt>
              </c:numCache>
            </c:numRef>
          </c:xVal>
          <c:yVal>
            <c:numRef>
              <c:f>Лист1!$AJ$2:$AJ$7</c:f>
              <c:numCache>
                <c:formatCode>General</c:formatCode>
                <c:ptCount val="6"/>
                <c:pt idx="0">
                  <c:v>-2.02495335639577</c:v>
                </c:pt>
                <c:pt idx="1">
                  <c:v>-2.11699605306617</c:v>
                </c:pt>
                <c:pt idx="2">
                  <c:v>-2.22282222602134</c:v>
                </c:pt>
                <c:pt idx="3">
                  <c:v>-2.34525403409788</c:v>
                </c:pt>
                <c:pt idx="4">
                  <c:v>-2.48834583721865</c:v>
                </c:pt>
                <c:pt idx="5">
                  <c:v>-2.65821256554897</c:v>
                </c:pt>
              </c:numCache>
            </c:numRef>
          </c:yVal>
          <c:smooth val="0"/>
        </c:ser>
        <c:axId val="25389347"/>
        <c:axId val="95315295"/>
      </c:scatterChart>
      <c:valAx>
        <c:axId val="2538934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5315295"/>
        <c:crosses val="autoZero"/>
        <c:crossBetween val="midCat"/>
      </c:valAx>
      <c:valAx>
        <c:axId val="9531529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5389347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600" spc="-1" strike="noStrike">
                <a:solidFill>
                  <a:srgbClr val="44546a"/>
                </a:solidFill>
                <a:latin typeface="Calibri"/>
              </a:defRPr>
            </a:pPr>
            <a:r>
              <a:rPr b="1" lang="en-US" sz="1600" spc="-1" strike="noStrike">
                <a:solidFill>
                  <a:srgbClr val="44546a"/>
                </a:solidFill>
                <a:latin typeface="Calibri"/>
              </a:rPr>
              <a:t>T^2 (I)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Лист1!$V$33</c:f>
              <c:strCache>
                <c:ptCount val="1"/>
                <c:pt idx="0">
                  <c:v>T2</c:v>
                </c:pt>
              </c:strCache>
            </c:strRef>
          </c:tx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9360">
                <a:solidFill>
                  <a:srgbClr val="4472c4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Лист1!$U$34:$U$40</c:f>
              <c:numCache>
                <c:formatCode>General</c:formatCode>
                <c:ptCount val="7"/>
                <c:pt idx="0">
                  <c:v>0</c:v>
                </c:pt>
                <c:pt idx="1">
                  <c:v>0.032</c:v>
                </c:pt>
                <c:pt idx="2">
                  <c:v>0.036</c:v>
                </c:pt>
                <c:pt idx="3">
                  <c:v>0.04</c:v>
                </c:pt>
                <c:pt idx="4">
                  <c:v>0.046</c:v>
                </c:pt>
                <c:pt idx="5">
                  <c:v>0.053</c:v>
                </c:pt>
                <c:pt idx="6">
                  <c:v>0.06</c:v>
                </c:pt>
              </c:numCache>
            </c:numRef>
          </c:xVal>
          <c:yVal>
            <c:numRef>
              <c:f>Лист1!$V$34:$V$40</c:f>
              <c:numCache>
                <c:formatCode>General</c:formatCode>
                <c:ptCount val="7"/>
                <c:pt idx="0">
                  <c:v>0</c:v>
                </c:pt>
                <c:pt idx="1">
                  <c:v>2.7575527383006</c:v>
                </c:pt>
                <c:pt idx="2">
                  <c:v>3.10224683058817</c:v>
                </c:pt>
                <c:pt idx="3">
                  <c:v>3.44694092287575</c:v>
                </c:pt>
                <c:pt idx="4">
                  <c:v>3.96398206130711</c:v>
                </c:pt>
                <c:pt idx="5">
                  <c:v>4.56719672281036</c:v>
                </c:pt>
                <c:pt idx="6">
                  <c:v>5.17041138431362</c:v>
                </c:pt>
              </c:numCache>
            </c:numRef>
          </c:yVal>
          <c:smooth val="0"/>
        </c:ser>
        <c:axId val="29796314"/>
        <c:axId val="82883824"/>
      </c:scatterChart>
      <c:valAx>
        <c:axId val="29796314"/>
        <c:scaling>
          <c:orientation val="minMax"/>
          <c:max val="0.1"/>
        </c:scaling>
        <c:delete val="0"/>
        <c:axPos val="b"/>
        <c:majorGridlines>
          <c:spPr>
            <a:ln w="9360">
              <a:solidFill>
                <a:srgbClr val="e0e5eb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e0e5e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44546a"/>
                </a:solidFill>
                <a:latin typeface="Calibri"/>
              </a:defRPr>
            </a:pPr>
          </a:p>
        </c:txPr>
        <c:crossAx val="82883824"/>
        <c:crosses val="autoZero"/>
        <c:crossBetween val="midCat"/>
        <c:majorUnit val="0.01"/>
      </c:valAx>
      <c:valAx>
        <c:axId val="82883824"/>
        <c:scaling>
          <c:orientation val="minMax"/>
          <c:max val="5"/>
          <c:min val="0"/>
        </c:scaling>
        <c:delete val="0"/>
        <c:axPos val="l"/>
        <c:majorGridlines>
          <c:spPr>
            <a:ln w="9360">
              <a:solidFill>
                <a:srgbClr val="e0e5eb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adb9ca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44546a"/>
                </a:solidFill>
                <a:latin typeface="Calibri"/>
              </a:defRPr>
            </a:pPr>
          </a:p>
        </c:txPr>
        <c:crossAx val="29796314"/>
        <c:crosses val="autoZero"/>
        <c:crossBetween val="midCat"/>
        <c:majorUnit val="0.2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e0e5eb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34560</xdr:colOff>
      <xdr:row>0</xdr:row>
      <xdr:rowOff>0</xdr:rowOff>
    </xdr:from>
    <xdr:to>
      <xdr:col>26</xdr:col>
      <xdr:colOff>190080</xdr:colOff>
      <xdr:row>19</xdr:row>
      <xdr:rowOff>22680</xdr:rowOff>
    </xdr:to>
    <xdr:graphicFrame>
      <xdr:nvGraphicFramePr>
        <xdr:cNvPr id="0" name="Диаграмма 2"/>
        <xdr:cNvGraphicFramePr/>
      </xdr:nvGraphicFramePr>
      <xdr:xfrm>
        <a:off x="14187600" y="0"/>
        <a:ext cx="7178400" cy="4168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5040</xdr:colOff>
      <xdr:row>28</xdr:row>
      <xdr:rowOff>110160</xdr:rowOff>
    </xdr:from>
    <xdr:to>
      <xdr:col>19</xdr:col>
      <xdr:colOff>186840</xdr:colOff>
      <xdr:row>52</xdr:row>
      <xdr:rowOff>135000</xdr:rowOff>
    </xdr:to>
    <xdr:graphicFrame>
      <xdr:nvGraphicFramePr>
        <xdr:cNvPr id="1" name="Диаграмма 3"/>
        <xdr:cNvGraphicFramePr/>
      </xdr:nvGraphicFramePr>
      <xdr:xfrm>
        <a:off x="9801720" y="6219000"/>
        <a:ext cx="6644880" cy="554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27</xdr:col>
      <xdr:colOff>42480</xdr:colOff>
      <xdr:row>14</xdr:row>
      <xdr:rowOff>61200</xdr:rowOff>
    </xdr:from>
    <xdr:to>
      <xdr:col>35</xdr:col>
      <xdr:colOff>353160</xdr:colOff>
      <xdr:row>29</xdr:row>
      <xdr:rowOff>169920</xdr:rowOff>
    </xdr:to>
    <xdr:graphicFrame>
      <xdr:nvGraphicFramePr>
        <xdr:cNvPr id="2" name="Диаграмма 5"/>
        <xdr:cNvGraphicFramePr/>
      </xdr:nvGraphicFramePr>
      <xdr:xfrm>
        <a:off x="21920760" y="2996640"/>
        <a:ext cx="5929200" cy="346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36</xdr:col>
      <xdr:colOff>67320</xdr:colOff>
      <xdr:row>0</xdr:row>
      <xdr:rowOff>142560</xdr:rowOff>
    </xdr:from>
    <xdr:to>
      <xdr:col>42</xdr:col>
      <xdr:colOff>589320</xdr:colOff>
      <xdr:row>13</xdr:row>
      <xdr:rowOff>59040</xdr:rowOff>
    </xdr:to>
    <xdr:graphicFrame>
      <xdr:nvGraphicFramePr>
        <xdr:cNvPr id="3" name="Диаграмма 1"/>
        <xdr:cNvGraphicFramePr/>
      </xdr:nvGraphicFramePr>
      <xdr:xfrm>
        <a:off x="28266480" y="142560"/>
        <a:ext cx="4735800" cy="2661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22</xdr:col>
      <xdr:colOff>431640</xdr:colOff>
      <xdr:row>29</xdr:row>
      <xdr:rowOff>310680</xdr:rowOff>
    </xdr:from>
    <xdr:to>
      <xdr:col>29</xdr:col>
      <xdr:colOff>362520</xdr:colOff>
      <xdr:row>45</xdr:row>
      <xdr:rowOff>30600</xdr:rowOff>
    </xdr:to>
    <xdr:graphicFrame>
      <xdr:nvGraphicFramePr>
        <xdr:cNvPr id="4" name="Диаграмма 4"/>
        <xdr:cNvGraphicFramePr/>
      </xdr:nvGraphicFramePr>
      <xdr:xfrm>
        <a:off x="18798480" y="6600240"/>
        <a:ext cx="4847040" cy="374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56"/>
  <sheetViews>
    <sheetView showFormulas="false" showGridLines="true" showRowColHeaders="true" showZeros="true" rightToLeft="false" tabSelected="true" showOutlineSymbols="true" defaultGridColor="true" view="normal" topLeftCell="A18" colorId="64" zoomScale="87" zoomScaleNormal="87" zoomScalePageLayoutView="100" workbookViewId="0">
      <selection pane="topLeft" activeCell="K31" activeCellId="0" sqref="K31"/>
    </sheetView>
  </sheetViews>
  <sheetFormatPr defaultColWidth="8.78125" defaultRowHeight="14.25" zeroHeight="false" outlineLevelRow="0" outlineLevelCol="0"/>
  <cols>
    <col collapsed="false" customWidth="true" hidden="false" outlineLevel="0" max="1" min="1" style="0" width="13.44"/>
    <col collapsed="false" customWidth="true" hidden="false" outlineLevel="0" max="2" min="2" style="0" width="10.11"/>
    <col collapsed="false" customWidth="true" hidden="false" outlineLevel="0" max="4" min="4" style="0" width="21.78"/>
    <col collapsed="false" customWidth="true" hidden="false" outlineLevel="0" max="5" min="5" style="0" width="13"/>
    <col collapsed="false" customWidth="true" hidden="false" outlineLevel="0" max="9" min="6" style="0" width="9.44"/>
    <col collapsed="false" customWidth="true" hidden="false" outlineLevel="0" max="12" min="12" style="0" width="10.11"/>
    <col collapsed="false" customWidth="true" hidden="false" outlineLevel="0" max="14" min="14" style="0" width="11.67"/>
    <col collapsed="false" customWidth="true" hidden="false" outlineLevel="0" max="15" min="15" style="0" width="15.11"/>
  </cols>
  <sheetData>
    <row r="1" customFormat="false" ht="30" hidden="false" customHeight="true" outlineLevel="0" collapsed="false">
      <c r="A1" s="1" t="s">
        <v>0</v>
      </c>
      <c r="B1" s="2" t="n">
        <v>36.66</v>
      </c>
      <c r="D1" s="3" t="s">
        <v>1</v>
      </c>
      <c r="E1" s="4" t="s">
        <v>2</v>
      </c>
      <c r="F1" s="4" t="s">
        <v>3</v>
      </c>
      <c r="G1" s="5" t="s">
        <v>4</v>
      </c>
      <c r="H1" s="5" t="s">
        <v>5</v>
      </c>
      <c r="I1" s="4" t="s">
        <v>6</v>
      </c>
      <c r="J1" s="4" t="s">
        <v>7</v>
      </c>
      <c r="K1" s="6"/>
      <c r="L1" s="7" t="s">
        <v>8</v>
      </c>
      <c r="M1" s="7" t="s">
        <v>9</v>
      </c>
      <c r="N1" s="7" t="s">
        <v>10</v>
      </c>
      <c r="O1" s="7" t="s">
        <v>11</v>
      </c>
      <c r="P1" s="7" t="s">
        <v>11</v>
      </c>
      <c r="AH1" s="8" t="s">
        <v>9</v>
      </c>
      <c r="AI1" s="8" t="s">
        <v>10</v>
      </c>
      <c r="AJ1" s="8" t="s">
        <v>12</v>
      </c>
    </row>
    <row r="2" customFormat="false" ht="15" hidden="false" customHeight="false" outlineLevel="0" collapsed="false">
      <c r="A2" s="1" t="s">
        <v>13</v>
      </c>
      <c r="B2" s="2" t="n">
        <v>36.72</v>
      </c>
      <c r="D2" s="9" t="s">
        <v>0</v>
      </c>
      <c r="E2" s="10" t="n">
        <v>0</v>
      </c>
      <c r="F2" s="10" t="n">
        <v>42.08</v>
      </c>
      <c r="G2" s="2" t="n">
        <v>95.03</v>
      </c>
      <c r="H2" s="2" t="n">
        <v>160.89</v>
      </c>
      <c r="I2" s="2" t="n">
        <v>229.25</v>
      </c>
      <c r="J2" s="10" t="n">
        <v>312.35</v>
      </c>
      <c r="K2" s="11"/>
      <c r="L2" s="12" t="n">
        <v>0.523598776</v>
      </c>
      <c r="M2" s="12" t="n">
        <v>0</v>
      </c>
      <c r="N2" s="12" t="n">
        <v>0.13</v>
      </c>
      <c r="O2" s="12" t="n">
        <v>0</v>
      </c>
      <c r="P2" s="12" t="n">
        <v>0</v>
      </c>
      <c r="AH2" s="0" t="n">
        <v>0</v>
      </c>
      <c r="AI2" s="0" t="n">
        <v>0.132</v>
      </c>
      <c r="AJ2" s="8" t="n">
        <f aca="false">LN(AI2)</f>
        <v>-2.02495335639577</v>
      </c>
    </row>
    <row r="3" customFormat="false" ht="15" hidden="false" customHeight="false" outlineLevel="0" collapsed="false">
      <c r="A3" s="1" t="s">
        <v>14</v>
      </c>
      <c r="B3" s="2" t="n">
        <v>36.51</v>
      </c>
      <c r="D3" s="1" t="s">
        <v>13</v>
      </c>
      <c r="E3" s="10" t="n">
        <v>0</v>
      </c>
      <c r="F3" s="10" t="n">
        <v>41.76</v>
      </c>
      <c r="G3" s="2" t="n">
        <v>94.79</v>
      </c>
      <c r="H3" s="2" t="n">
        <v>158.99</v>
      </c>
      <c r="I3" s="2" t="n">
        <v>228.56</v>
      </c>
      <c r="J3" s="10" t="n">
        <v>311.12</v>
      </c>
      <c r="K3" s="11"/>
      <c r="L3" s="12" t="n">
        <v>0.436332313</v>
      </c>
      <c r="M3" s="12" t="n">
        <v>48.14666667</v>
      </c>
      <c r="N3" s="12" t="n">
        <v>0.12</v>
      </c>
      <c r="O3" s="12" t="n">
        <v>-0.092</v>
      </c>
      <c r="P3" s="12" t="n">
        <v>-0.096293333</v>
      </c>
      <c r="AH3" s="0" t="n">
        <v>41.9833333333333</v>
      </c>
      <c r="AI3" s="0" t="n">
        <v>0.120392739261105</v>
      </c>
      <c r="AJ3" s="8" t="n">
        <f aca="false">LN(AI3)</f>
        <v>-2.11699605306617</v>
      </c>
    </row>
    <row r="4" customFormat="false" ht="16.15" hidden="false" customHeight="false" outlineLevel="0" collapsed="false">
      <c r="A4" s="13" t="s">
        <v>15</v>
      </c>
      <c r="B4" s="2" t="n">
        <f aca="false">AVERAGE(B1:B3)</f>
        <v>36.63</v>
      </c>
      <c r="D4" s="1" t="s">
        <v>14</v>
      </c>
      <c r="E4" s="10" t="n">
        <v>0</v>
      </c>
      <c r="F4" s="10" t="n">
        <v>42.11</v>
      </c>
      <c r="G4" s="2" t="n">
        <v>95.21</v>
      </c>
      <c r="H4" s="2" t="n">
        <v>161.09</v>
      </c>
      <c r="I4" s="2" t="n">
        <v>229.31</v>
      </c>
      <c r="J4" s="10" t="n">
        <v>313.42</v>
      </c>
      <c r="K4" s="11"/>
      <c r="L4" s="12" t="n">
        <v>0.34906585</v>
      </c>
      <c r="M4" s="12" t="n">
        <v>87.55333333</v>
      </c>
      <c r="N4" s="12" t="n">
        <v>0.11</v>
      </c>
      <c r="O4" s="12" t="n">
        <v>-0.198</v>
      </c>
      <c r="P4" s="12" t="n">
        <v>-0.175106667</v>
      </c>
      <c r="AH4" s="0" t="n">
        <v>95.01</v>
      </c>
      <c r="AI4" s="0" t="n">
        <v>0.10830302149885</v>
      </c>
      <c r="AJ4" s="8" t="n">
        <f aca="false">LN(AI4)</f>
        <v>-2.22282222602134</v>
      </c>
    </row>
    <row r="5" customFormat="false" ht="16.15" hidden="false" customHeight="false" outlineLevel="0" collapsed="false">
      <c r="A5" s="14" t="s">
        <v>16</v>
      </c>
      <c r="B5" s="2" t="n">
        <v>10</v>
      </c>
      <c r="D5" s="13" t="s">
        <v>15</v>
      </c>
      <c r="E5" s="15" t="n">
        <f aca="false">AVERAGE(E2:E4)</f>
        <v>0</v>
      </c>
      <c r="F5" s="15" t="n">
        <f aca="false">AVERAGE(F2:F4)</f>
        <v>41.9833333333333</v>
      </c>
      <c r="G5" s="2" t="n">
        <f aca="false">AVERAGE(G2:G4)</f>
        <v>95.01</v>
      </c>
      <c r="H5" s="16" t="n">
        <f aca="false">AVERAGE(H2:H4)</f>
        <v>160.323333333333</v>
      </c>
      <c r="I5" s="2" t="n">
        <f aca="false">AVERAGE(I2:I4)</f>
        <v>229.04</v>
      </c>
      <c r="J5" s="15" t="n">
        <f aca="false">AVERAGE(J2:J4)</f>
        <v>312.296666666667</v>
      </c>
      <c r="K5" s="17"/>
      <c r="L5" s="12" t="n">
        <v>0.261799388</v>
      </c>
      <c r="M5" s="12" t="n">
        <v>131.2866667</v>
      </c>
      <c r="N5" s="12" t="n">
        <v>0.1</v>
      </c>
      <c r="O5" s="12" t="n">
        <v>-0.32</v>
      </c>
      <c r="P5" s="12" t="n">
        <v>-0.262573333</v>
      </c>
      <c r="AH5" s="0" t="n">
        <v>160.323333333333</v>
      </c>
      <c r="AI5" s="0" t="n">
        <v>0.0958228567653781</v>
      </c>
      <c r="AJ5" s="8" t="n">
        <f aca="false">LN(AI5)</f>
        <v>-2.34525403409788</v>
      </c>
    </row>
    <row r="6" customFormat="false" ht="15" hidden="false" customHeight="false" outlineLevel="0" collapsed="false">
      <c r="A6" s="14" t="s">
        <v>17</v>
      </c>
      <c r="B6" s="2" t="n">
        <f aca="false">B4/B5</f>
        <v>3.663</v>
      </c>
      <c r="L6" s="12" t="n">
        <v>0.174532925</v>
      </c>
      <c r="M6" s="12" t="n">
        <v>190.1633333</v>
      </c>
      <c r="N6" s="12" t="n">
        <v>0.08</v>
      </c>
      <c r="O6" s="12" t="n">
        <v>-0.463</v>
      </c>
      <c r="P6" s="12" t="n">
        <v>-0.380326667</v>
      </c>
      <c r="AH6" s="0" t="n">
        <v>229.04</v>
      </c>
      <c r="AI6" s="0" t="n">
        <v>0.0830472266500396</v>
      </c>
      <c r="AJ6" s="8" t="n">
        <f aca="false">LN(AI6)</f>
        <v>-2.48834583721865</v>
      </c>
    </row>
    <row r="7" customFormat="false" ht="14.25" hidden="false" customHeight="false" outlineLevel="0" collapsed="false">
      <c r="D7" s="18" t="s">
        <v>18</v>
      </c>
      <c r="E7" s="19" t="n">
        <v>1</v>
      </c>
      <c r="F7" s="19" t="n">
        <v>2</v>
      </c>
      <c r="G7" s="20" t="n">
        <v>3</v>
      </c>
      <c r="H7" s="19" t="n">
        <v>4</v>
      </c>
      <c r="I7" s="19" t="n">
        <v>5</v>
      </c>
      <c r="J7" s="19" t="n">
        <v>6</v>
      </c>
      <c r="L7" s="12" t="n">
        <v>0.087266463</v>
      </c>
      <c r="M7" s="12" t="n">
        <v>252.7333333</v>
      </c>
      <c r="N7" s="12" t="n">
        <v>0.07</v>
      </c>
      <c r="O7" s="12" t="n">
        <v>-0.633</v>
      </c>
      <c r="P7" s="12" t="n">
        <v>-0.505466667</v>
      </c>
      <c r="AH7" s="0" t="n">
        <v>312.296666666667</v>
      </c>
      <c r="AI7" s="0" t="n">
        <v>0.0700733614121487</v>
      </c>
      <c r="AJ7" s="8" t="n">
        <f aca="false">LN(AI7)</f>
        <v>-2.65821256554897</v>
      </c>
    </row>
    <row r="8" customFormat="false" ht="16.15" hidden="false" customHeight="false" outlineLevel="0" collapsed="false">
      <c r="A8" s="21" t="s">
        <v>19</v>
      </c>
      <c r="B8" s="2" t="n">
        <f aca="false">8 * POWER(10,-3)</f>
        <v>0.008</v>
      </c>
      <c r="D8" s="21" t="s">
        <v>20</v>
      </c>
      <c r="E8" s="22" t="n">
        <v>0.077</v>
      </c>
      <c r="F8" s="22"/>
      <c r="G8" s="22"/>
      <c r="H8" s="22"/>
      <c r="I8" s="22"/>
      <c r="J8" s="22"/>
      <c r="N8" s="23" t="s">
        <v>21</v>
      </c>
      <c r="O8" s="24" t="n">
        <v>0.0004822</v>
      </c>
    </row>
    <row r="9" customFormat="false" ht="16.15" hidden="false" customHeight="false" outlineLevel="0" collapsed="false">
      <c r="A9" s="25" t="s">
        <v>22</v>
      </c>
      <c r="B9" s="26" t="n">
        <v>0.408</v>
      </c>
      <c r="D9" s="21" t="s">
        <v>23</v>
      </c>
      <c r="E9" s="22" t="n">
        <v>0.202</v>
      </c>
      <c r="F9" s="22"/>
      <c r="G9" s="22"/>
      <c r="H9" s="22"/>
      <c r="I9" s="22"/>
      <c r="J9" s="22"/>
      <c r="L9" s="27" t="s">
        <v>24</v>
      </c>
      <c r="M9" s="28" t="n">
        <f aca="false">(N2-N7)/M7/4</f>
        <v>5.93510947057968E-005</v>
      </c>
      <c r="N9" s="29" t="s">
        <v>25</v>
      </c>
      <c r="O9" s="30" t="n">
        <f aca="false">SUMXMY2(O2:O7,P2:P7)</f>
        <v>0.0269399905022445</v>
      </c>
    </row>
    <row r="10" customFormat="false" ht="16.15" hidden="false" customHeight="false" outlineLevel="0" collapsed="false">
      <c r="A10" s="31"/>
      <c r="B10" s="32"/>
      <c r="D10" s="21" t="s">
        <v>26</v>
      </c>
      <c r="E10" s="33" t="n">
        <v>0.077</v>
      </c>
      <c r="F10" s="33" t="n">
        <v>0.102</v>
      </c>
      <c r="G10" s="33" t="n">
        <v>0.127</v>
      </c>
      <c r="H10" s="33" t="n">
        <v>0.152</v>
      </c>
      <c r="I10" s="33" t="n">
        <v>0.177</v>
      </c>
      <c r="J10" s="33" t="n">
        <v>0.202</v>
      </c>
      <c r="L10" s="34" t="s">
        <v>27</v>
      </c>
      <c r="M10" s="35" t="n">
        <f aca="false">N2/4/M9</f>
        <v>547.588888816667</v>
      </c>
      <c r="N10" s="36" t="s">
        <v>28</v>
      </c>
      <c r="O10" s="37" t="n">
        <f aca="false">1/O8</f>
        <v>2073.82828701784</v>
      </c>
      <c r="AH10" s="8" t="s">
        <v>29</v>
      </c>
      <c r="AI10" s="0" t="n">
        <v>-2</v>
      </c>
    </row>
    <row r="11" customFormat="false" ht="15" hidden="false" customHeight="false" outlineLevel="0" collapsed="false">
      <c r="A11" s="38" t="s">
        <v>30</v>
      </c>
      <c r="B11" s="39" t="s">
        <v>31</v>
      </c>
      <c r="D11" s="21" t="s">
        <v>32</v>
      </c>
      <c r="E11" s="40" t="n">
        <v>0.024</v>
      </c>
      <c r="F11" s="40" t="n">
        <v>0.028</v>
      </c>
      <c r="G11" s="40" t="n">
        <v>0.032</v>
      </c>
      <c r="H11" s="40" t="n">
        <v>0.038</v>
      </c>
      <c r="I11" s="40" t="n">
        <v>0.045</v>
      </c>
      <c r="J11" s="40" t="n">
        <v>0.052</v>
      </c>
      <c r="L11" s="8" t="s">
        <v>33</v>
      </c>
      <c r="N11" s="41" t="s">
        <v>34</v>
      </c>
      <c r="O11" s="41" t="s">
        <v>35</v>
      </c>
      <c r="AH11" s="8" t="s">
        <v>36</v>
      </c>
      <c r="AI11" s="8" t="n">
        <f aca="false">0.5/229</f>
        <v>0.00218340611353712</v>
      </c>
    </row>
    <row r="12" customFormat="false" ht="15" hidden="false" customHeight="false" outlineLevel="0" collapsed="false">
      <c r="A12" s="42" t="n">
        <f aca="false">I17^2</f>
        <v>2.660161</v>
      </c>
      <c r="B12" s="43" t="n">
        <f aca="false" t="array" ref="B12:B17">TRANSPOSE($E$12:$J$12)</f>
        <v>0.032</v>
      </c>
      <c r="C12" s="40"/>
      <c r="D12" s="21" t="s">
        <v>31</v>
      </c>
      <c r="E12" s="40" t="n">
        <f aca="false">$B$8+E11</f>
        <v>0.032</v>
      </c>
      <c r="F12" s="40" t="n">
        <f aca="false">$B$8+F11</f>
        <v>0.036</v>
      </c>
      <c r="G12" s="40" t="n">
        <f aca="false">$B$8+G11</f>
        <v>0.04</v>
      </c>
      <c r="H12" s="40" t="n">
        <f aca="false">$B$8+H11</f>
        <v>0.046</v>
      </c>
      <c r="I12" s="40" t="n">
        <f aca="false">$B$8+I11</f>
        <v>0.053</v>
      </c>
      <c r="J12" s="40" t="n">
        <f aca="false">$B$8+J11</f>
        <v>0.06</v>
      </c>
    </row>
    <row r="13" customFormat="false" ht="16.15" hidden="false" customHeight="false" outlineLevel="0" collapsed="false">
      <c r="A13" s="42" t="n">
        <f aca="false">I18^2</f>
        <v>3.010225</v>
      </c>
      <c r="B13" s="2" t="n">
        <v>0.036</v>
      </c>
      <c r="C13" s="40"/>
      <c r="D13" s="21" t="s">
        <v>37</v>
      </c>
      <c r="E13" s="40" t="n">
        <f aca="false">($I17 ^ 2) * 9.81 / 4 / PI()^2</f>
        <v>0.661023946591001</v>
      </c>
      <c r="F13" s="40" t="n">
        <f aca="false">$I18 ^ 2 * 9.81 / 4 / PI() / PI()</f>
        <v>0.748011420972977</v>
      </c>
      <c r="G13" s="40" t="n">
        <f aca="false">$I19 ^ 2 * 9.81 / 4 / PI() / PI()</f>
        <v>0.840374235423715</v>
      </c>
      <c r="H13" s="40" t="n">
        <f aca="false">$I20 ^ 2 * 9.81 / 4 / PI() / PI()</f>
        <v>0.973197218668647</v>
      </c>
      <c r="I13" s="40" t="n">
        <f aca="false">$I21 ^ 2 * 9.81 / 4 / PI() / PI()</f>
        <v>1.09688570205561</v>
      </c>
      <c r="J13" s="40" t="n">
        <f aca="false">$I22 ^ 2 * 9.81 / 4 / PI() / PI()</f>
        <v>1.28496172436255</v>
      </c>
      <c r="L13" s="44" t="s">
        <v>15</v>
      </c>
      <c r="M13" s="45" t="e">
        <f aca="false">AVERAGE(_xlfn.anchorarray(M2))</f>
        <v>#NAME?</v>
      </c>
      <c r="N13" s="1" t="s">
        <v>38</v>
      </c>
      <c r="O13" s="43" t="n">
        <f aca="false">O2-P2</f>
        <v>0</v>
      </c>
    </row>
    <row r="14" customFormat="false" ht="15" hidden="false" customHeight="false" outlineLevel="0" collapsed="false">
      <c r="A14" s="42" t="n">
        <f aca="false">I19^2</f>
        <v>3.381921</v>
      </c>
      <c r="B14" s="2" t="n">
        <v>0.04</v>
      </c>
      <c r="C14" s="40"/>
      <c r="D14" s="21" t="s">
        <v>39</v>
      </c>
      <c r="E14" s="40" t="n">
        <f aca="false">E12/$B$26</f>
        <v>0.685224839400428</v>
      </c>
      <c r="F14" s="40" t="n">
        <f aca="false">F12/$B$26</f>
        <v>0.770877944325482</v>
      </c>
      <c r="G14" s="40" t="n">
        <f aca="false">G12/$B$26</f>
        <v>0.856531049250535</v>
      </c>
      <c r="H14" s="40" t="n">
        <f aca="false">H12/$B$26</f>
        <v>0.985010706638116</v>
      </c>
      <c r="I14" s="40" t="n">
        <f aca="false">I12/$B$26</f>
        <v>1.13490364025696</v>
      </c>
      <c r="J14" s="40" t="n">
        <f aca="false">J12/$B$26</f>
        <v>1.2847965738758</v>
      </c>
      <c r="L14" s="46" t="s">
        <v>40</v>
      </c>
      <c r="M14" s="47" t="n">
        <f aca="false">AVERAGE(O2:O7)</f>
        <v>-0.284333333333333</v>
      </c>
      <c r="N14" s="1" t="s">
        <v>41</v>
      </c>
      <c r="O14" s="43" t="n">
        <f aca="false">O3-P3</f>
        <v>0.004293333</v>
      </c>
      <c r="P14" s="2"/>
    </row>
    <row r="15" customFormat="false" ht="15" hidden="false" customHeight="false" outlineLevel="0" collapsed="false">
      <c r="A15" s="42" t="n">
        <f aca="false">I20^2</f>
        <v>3.916441</v>
      </c>
      <c r="B15" s="2" t="n">
        <v>0.046</v>
      </c>
      <c r="C15" s="40"/>
      <c r="L15" s="48" t="s">
        <v>21</v>
      </c>
      <c r="M15" s="42" t="n">
        <f aca="false">(M2*O2 + M3*O3 + M4*O4 + M5*O5 + M6*O6 + M7*O7)/(M2^2 + M3^2 + M4^2 + M5^2 + M6^2 + M7^2)</f>
        <v>-0.00245019760363315</v>
      </c>
      <c r="N15" s="1" t="s">
        <v>42</v>
      </c>
      <c r="O15" s="43" t="n">
        <f aca="false">O4-P4</f>
        <v>-0.022893333</v>
      </c>
    </row>
    <row r="16" customFormat="false" ht="35.25" hidden="false" customHeight="true" outlineLevel="0" collapsed="false">
      <c r="A16" s="42" t="n">
        <f aca="false">I21^2</f>
        <v>4.414201</v>
      </c>
      <c r="B16" s="2" t="n">
        <v>0.053</v>
      </c>
      <c r="C16" s="40"/>
      <c r="D16" s="49" t="s">
        <v>43</v>
      </c>
      <c r="E16" s="21" t="s">
        <v>0</v>
      </c>
      <c r="F16" s="21" t="s">
        <v>13</v>
      </c>
      <c r="G16" s="21" t="s">
        <v>14</v>
      </c>
      <c r="H16" s="44" t="s">
        <v>15</v>
      </c>
      <c r="I16" s="50" t="s">
        <v>17</v>
      </c>
      <c r="N16" s="1" t="s">
        <v>44</v>
      </c>
      <c r="O16" s="43" t="n">
        <f aca="false">O5-P5</f>
        <v>-0.057426667</v>
      </c>
    </row>
    <row r="17" customFormat="false" ht="15" hidden="false" customHeight="false" outlineLevel="0" collapsed="false">
      <c r="A17" s="42" t="n">
        <f aca="false">I22^2</f>
        <v>5.171076</v>
      </c>
      <c r="B17" s="2" t="n">
        <v>0.06</v>
      </c>
      <c r="C17" s="40"/>
      <c r="D17" s="21" t="s">
        <v>45</v>
      </c>
      <c r="E17" s="2" t="n">
        <v>16.26</v>
      </c>
      <c r="F17" s="2" t="n">
        <v>16.25</v>
      </c>
      <c r="G17" s="2" t="n">
        <v>16.24</v>
      </c>
      <c r="H17" s="2" t="n">
        <f aca="false">AVERAGE(E17:G17)</f>
        <v>16.25</v>
      </c>
      <c r="I17" s="2" t="n">
        <v>1.631</v>
      </c>
      <c r="N17" s="1" t="s">
        <v>46</v>
      </c>
      <c r="O17" s="43" t="n">
        <f aca="false">O6-P6</f>
        <v>-0.082673333</v>
      </c>
    </row>
    <row r="18" customFormat="false" ht="15" hidden="false" customHeight="false" outlineLevel="0" collapsed="false">
      <c r="A18" s="39" t="s">
        <v>31</v>
      </c>
      <c r="B18" s="39" t="s">
        <v>30</v>
      </c>
      <c r="D18" s="21" t="s">
        <v>47</v>
      </c>
      <c r="E18" s="2" t="n">
        <v>17.16</v>
      </c>
      <c r="F18" s="2" t="n">
        <v>17.11</v>
      </c>
      <c r="G18" s="2" t="n">
        <v>17.12</v>
      </c>
      <c r="H18" s="2" t="n">
        <f aca="false">AVERAGE(E18:G18)</f>
        <v>17.13</v>
      </c>
      <c r="I18" s="2" t="n">
        <v>1.735</v>
      </c>
      <c r="N18" s="1" t="s">
        <v>48</v>
      </c>
      <c r="O18" s="43" t="n">
        <f aca="false">O7-P7</f>
        <v>-0.127533333</v>
      </c>
    </row>
    <row r="19" customFormat="false" ht="15" hidden="false" customHeight="false" outlineLevel="0" collapsed="false">
      <c r="A19" s="51" t="n">
        <v>0</v>
      </c>
      <c r="B19" s="2" t="n">
        <f aca="false">4*PI()*PI() * A19 / 9.81 / $B$26</f>
        <v>0</v>
      </c>
      <c r="D19" s="21" t="s">
        <v>49</v>
      </c>
      <c r="E19" s="2" t="n">
        <v>18.31</v>
      </c>
      <c r="F19" s="2" t="n">
        <v>18.11</v>
      </c>
      <c r="G19" s="2" t="n">
        <v>18.18</v>
      </c>
      <c r="H19" s="16" t="n">
        <f aca="false">AVERAGE(E19:G19)</f>
        <v>18.2</v>
      </c>
      <c r="I19" s="42" t="n">
        <v>1.839</v>
      </c>
      <c r="N19" s="1" t="s">
        <v>50</v>
      </c>
      <c r="O19" s="52" t="n">
        <f aca="false">SUMSQ(O13:O18)/5/(M2^2 + M3^2 + M4^2 + M5^2 + M6^2 + M7^2)</f>
        <v>4.23397996418631E-008</v>
      </c>
    </row>
    <row r="20" customFormat="false" ht="15" hidden="false" customHeight="false" outlineLevel="0" collapsed="false">
      <c r="A20" s="43" t="n">
        <f aca="false" t="array" ref="A20:A25">TRANSPOSE($E$12:$J$12)</f>
        <v>0.032</v>
      </c>
      <c r="B20" s="2" t="n">
        <f aca="false">4*PI()*PI()*A20/9.81/ $B$26</f>
        <v>2.7575527383006</v>
      </c>
      <c r="D20" s="21" t="s">
        <v>51</v>
      </c>
      <c r="E20" s="2" t="n">
        <v>19.42</v>
      </c>
      <c r="F20" s="2" t="n">
        <v>19.36</v>
      </c>
      <c r="G20" s="2" t="n">
        <v>19.41</v>
      </c>
      <c r="H20" s="16" t="n">
        <f aca="false">AVERAGE(E20:G20)</f>
        <v>19.3966666666667</v>
      </c>
      <c r="I20" s="42" t="n">
        <v>1.979</v>
      </c>
      <c r="N20" s="1" t="s">
        <v>52</v>
      </c>
      <c r="O20" s="53" t="n">
        <f aca="false">POWER(4*O19*(M3^2),1/2)</f>
        <v>0.0198139298013831</v>
      </c>
    </row>
    <row r="21" customFormat="false" ht="15" hidden="false" customHeight="false" outlineLevel="0" collapsed="false">
      <c r="A21" s="43" t="n">
        <v>0.036</v>
      </c>
      <c r="B21" s="2" t="n">
        <f aca="false">4*PI()*PI()*A21/9.81/ $B$26</f>
        <v>3.10224683058817</v>
      </c>
      <c r="D21" s="21" t="s">
        <v>53</v>
      </c>
      <c r="E21" s="2" t="n">
        <v>20.58</v>
      </c>
      <c r="F21" s="2" t="n">
        <v>20.66</v>
      </c>
      <c r="G21" s="2" t="n">
        <v>20.61</v>
      </c>
      <c r="H21" s="16" t="n">
        <f aca="false">AVERAGE(E21:G21)</f>
        <v>20.6166666666667</v>
      </c>
      <c r="I21" s="42" t="n">
        <v>2.101</v>
      </c>
    </row>
    <row r="22" customFormat="false" ht="16.15" hidden="false" customHeight="false" outlineLevel="0" collapsed="false">
      <c r="A22" s="43" t="n">
        <v>0.04</v>
      </c>
      <c r="B22" s="2" t="n">
        <f aca="false">4*PI()*PI()*A22/9.81/ $B$26</f>
        <v>3.44694092287575</v>
      </c>
      <c r="D22" s="21" t="s">
        <v>54</v>
      </c>
      <c r="E22" s="2" t="n">
        <v>21.99</v>
      </c>
      <c r="F22" s="2" t="n">
        <v>22.21</v>
      </c>
      <c r="G22" s="2" t="n">
        <v>22.22</v>
      </c>
      <c r="H22" s="2" t="n">
        <f aca="false">AVERAGE(E22:G22)</f>
        <v>22.14</v>
      </c>
      <c r="I22" s="2" t="n">
        <v>2.274</v>
      </c>
      <c r="L22" s="21" t="s">
        <v>18</v>
      </c>
      <c r="M22" s="54" t="n">
        <v>1</v>
      </c>
      <c r="N22" s="54" t="n">
        <v>2</v>
      </c>
      <c r="O22" s="54" t="n">
        <v>3</v>
      </c>
      <c r="P22" s="54" t="n">
        <v>4</v>
      </c>
      <c r="Q22" s="54" t="n">
        <v>5</v>
      </c>
      <c r="R22" s="54" t="n">
        <v>6</v>
      </c>
    </row>
    <row r="23" customFormat="false" ht="15" hidden="false" customHeight="false" outlineLevel="0" collapsed="false">
      <c r="A23" s="43" t="n">
        <v>0.046</v>
      </c>
      <c r="B23" s="2" t="n">
        <f aca="false">4*PI()*PI()*A23/9.81/ $B$26</f>
        <v>3.96398206130711</v>
      </c>
      <c r="L23" s="55" t="s">
        <v>55</v>
      </c>
      <c r="M23" s="56" t="n">
        <f aca="false">POWER((0.0005)^2 + ((M22-1)*0.0002)^2 + (1/2*0.0005)^2,1/2)</f>
        <v>0.000559016994374947</v>
      </c>
      <c r="N23" s="56" t="n">
        <f aca="false">POWER((0.0005)^2 + ((N22-1)*0.0002)^2 + (1/2*0.0005)^2,1/2)</f>
        <v>0.000593717104351896</v>
      </c>
      <c r="O23" s="56" t="n">
        <f aca="false">POWER((0.0005)^2 + ((O22-1)*0.0002)^2 + (1/2*0.0005)^2,1/2)</f>
        <v>0.000687386354243376</v>
      </c>
      <c r="P23" s="56" t="n">
        <f aca="false">POWER((0.0005)^2 + ((P22-1)*0.0002)^2 + (1/2*0.0005)^2,1/2)</f>
        <v>0.000820060973342836</v>
      </c>
      <c r="Q23" s="56" t="n">
        <f aca="false">POWER((0.0005)^2 + ((Q22-1)*0.0002)^2 + (1/2*0.0005)^2,1/2)</f>
        <v>0.000975961064797157</v>
      </c>
      <c r="R23" s="56" t="n">
        <f aca="false">POWER((0.0005)^2 + ((R22-1)*0.0002)^2 + (1/2*0.0005)^2,1/2)</f>
        <v>0.00114564392373896</v>
      </c>
    </row>
    <row r="24" customFormat="false" ht="30.8" hidden="false" customHeight="false" outlineLevel="0" collapsed="false">
      <c r="A24" s="43" t="n">
        <v>0.053</v>
      </c>
      <c r="B24" s="2" t="n">
        <f aca="false">4*PI()*PI()*A24/9.81/ $B$26</f>
        <v>4.56719672281036</v>
      </c>
      <c r="D24" s="3" t="s">
        <v>56</v>
      </c>
      <c r="E24" s="4" t="s">
        <v>3</v>
      </c>
      <c r="F24" s="5" t="s">
        <v>4</v>
      </c>
      <c r="G24" s="5" t="s">
        <v>5</v>
      </c>
      <c r="H24" s="4" t="s">
        <v>6</v>
      </c>
      <c r="I24" s="5" t="s">
        <v>7</v>
      </c>
      <c r="J24" s="6"/>
      <c r="L24" s="1" t="s">
        <v>57</v>
      </c>
      <c r="M24" s="42" t="n">
        <f aca="false">M23/E10</f>
        <v>0.00725996096590841</v>
      </c>
      <c r="N24" s="42" t="n">
        <f aca="false">N23/F10</f>
        <v>0.00582075592501859</v>
      </c>
      <c r="O24" s="42" t="n">
        <f aca="false">O23/G10</f>
        <v>0.0054124909782943</v>
      </c>
      <c r="P24" s="42" t="n">
        <f aca="false">P23/H10</f>
        <v>0.00539513798251866</v>
      </c>
      <c r="Q24" s="42" t="n">
        <f aca="false">Q23/I10</f>
        <v>0.00551390432088789</v>
      </c>
      <c r="R24" s="42" t="n">
        <f aca="false">R23/J10</f>
        <v>0.00567150457296515</v>
      </c>
    </row>
    <row r="25" customFormat="false" ht="15" hidden="false" customHeight="false" outlineLevel="0" collapsed="false">
      <c r="A25" s="43" t="n">
        <v>0.06</v>
      </c>
      <c r="B25" s="2" t="n">
        <f aca="false">4*PI()*PI()*A25/9.81/ $B$26</f>
        <v>5.17041138431362</v>
      </c>
      <c r="D25" s="9" t="s">
        <v>58</v>
      </c>
      <c r="E25" s="42" t="n">
        <f aca="false">POWER(((F2-F5)^2 + (F3-F5)^2 + (F4-F5)^2) / 6,1/2)</f>
        <v>0.11200198410941</v>
      </c>
      <c r="F25" s="42" t="n">
        <f aca="false">POWER(((G2-G5)^2 + (G3-G5)^2 + (G4-G5)^2) / 6,1/2)</f>
        <v>0.121655250605961</v>
      </c>
      <c r="G25" s="42" t="n">
        <f aca="false">POWER(((H2-H5)^2 + (H3-H5)^2 + (H4-H5)^2) / 6,1/2)</f>
        <v>0.66916199666282</v>
      </c>
      <c r="H25" s="42" t="n">
        <f aca="false">POWER(((I2-I5)^2 + (I3-I5)^2 + (I4-I5)^2) / 6,1/2)</f>
        <v>0.240624188310319</v>
      </c>
      <c r="I25" s="42" t="n">
        <f aca="false">POWER(((J2-J5)^2 + (J3-J5)^2 + (J4-J5)^2) / 6,1/2)</f>
        <v>0.66448810707525</v>
      </c>
      <c r="L25" s="57"/>
      <c r="M25" s="58"/>
      <c r="N25" s="58"/>
      <c r="O25" s="58"/>
      <c r="P25" s="58"/>
      <c r="Q25" s="58"/>
    </row>
    <row r="26" customFormat="false" ht="15" hidden="false" customHeight="false" outlineLevel="0" collapsed="false">
      <c r="A26" s="48" t="s">
        <v>59</v>
      </c>
      <c r="B26" s="2" t="n">
        <v>0.0467</v>
      </c>
      <c r="D26" s="1" t="s">
        <v>60</v>
      </c>
      <c r="E26" s="59" t="n">
        <f aca="false">4.3 * E25</f>
        <v>0.481608531670463</v>
      </c>
      <c r="F26" s="59" t="n">
        <f aca="false">4.3 * F25</f>
        <v>0.523117577605632</v>
      </c>
      <c r="G26" s="59" t="n">
        <f aca="false">4.3 * G25</f>
        <v>2.87739658565013</v>
      </c>
      <c r="H26" s="59" t="n">
        <f aca="false">4.3 * H25</f>
        <v>1.03468400973437</v>
      </c>
      <c r="I26" s="59" t="n">
        <f aca="false">4.3 * I25</f>
        <v>2.85729886042358</v>
      </c>
      <c r="L26" s="60"/>
      <c r="M26" s="58"/>
      <c r="N26" s="58"/>
      <c r="O26" s="58"/>
      <c r="P26" s="58"/>
      <c r="Q26" s="58"/>
    </row>
    <row r="27" customFormat="false" ht="15" hidden="false" customHeight="false" outlineLevel="0" collapsed="false">
      <c r="A27" s="61" t="s">
        <v>25</v>
      </c>
      <c r="B27" s="2" t="n">
        <f aca="false">SUMXMY2(A12:A17,B20:B25)</f>
        <v>0.0478490437872609</v>
      </c>
      <c r="C27" s="2"/>
      <c r="D27" s="1" t="s">
        <v>61</v>
      </c>
      <c r="E27" s="59" t="n">
        <f aca="false">POWER(E26^2 + (2/3*0.005)^2,1/2)</f>
        <v>0.481620066949966</v>
      </c>
      <c r="F27" s="59" t="n">
        <f aca="false">POWER(F26^2 + (2/3*0.005)^2,1/2)</f>
        <v>0.523128197587451</v>
      </c>
      <c r="G27" s="59" t="n">
        <f aca="false">POWER(G26^2 + (2/3*0.005)^2,1/2)</f>
        <v>2.87739851640716</v>
      </c>
      <c r="H27" s="59" t="n">
        <f aca="false">POWER(H26^2 + (2/3*0.005)^2,1/2)</f>
        <v>1.03468937904625</v>
      </c>
      <c r="I27" s="59" t="n">
        <f aca="false">POWER(I26^2 + (2/3*0.005)^2,1/2)</f>
        <v>2.8573008047612</v>
      </c>
    </row>
    <row r="28" customFormat="false" ht="17.65" hidden="false" customHeight="false" outlineLevel="0" collapsed="false">
      <c r="A28" s="62"/>
      <c r="D28" s="63" t="s">
        <v>62</v>
      </c>
      <c r="E28" s="59" t="n">
        <f aca="false">E27/F5</f>
        <v>0.0114716967117896</v>
      </c>
      <c r="F28" s="59" t="n">
        <f aca="false">F27/G5</f>
        <v>0.00550603302376014</v>
      </c>
      <c r="G28" s="59" t="n">
        <f aca="false">G27/H5</f>
        <v>0.0179474718781244</v>
      </c>
      <c r="H28" s="59" t="n">
        <f aca="false">H27/I5</f>
        <v>0.00451750514777439</v>
      </c>
      <c r="I28" s="59" t="n">
        <f aca="false">I27/J5</f>
        <v>0.00914931573000415</v>
      </c>
    </row>
    <row r="29" customFormat="false" ht="14.25" hidden="false" customHeight="false" outlineLevel="0" collapsed="false">
      <c r="A29" s="48" t="s">
        <v>63</v>
      </c>
      <c r="B29" s="2" t="n">
        <f aca="false">B26/B9/4</f>
        <v>0.0286151960784314</v>
      </c>
    </row>
    <row r="30" customFormat="false" ht="30.8" hidden="false" customHeight="false" outlineLevel="0" collapsed="false">
      <c r="D30" s="64" t="s">
        <v>43</v>
      </c>
      <c r="E30" s="21" t="s">
        <v>58</v>
      </c>
      <c r="F30" s="21" t="s">
        <v>60</v>
      </c>
      <c r="G30" s="21" t="s">
        <v>61</v>
      </c>
      <c r="H30" s="65" t="s">
        <v>62</v>
      </c>
      <c r="I30" s="66"/>
    </row>
    <row r="31" customFormat="false" ht="15" hidden="false" customHeight="false" outlineLevel="0" collapsed="false">
      <c r="A31" s="55" t="s">
        <v>64</v>
      </c>
      <c r="B31" s="26" t="n">
        <f aca="false">POWER(B28/5/(B12^2 + B13^2 + B14^2 + B15^D302 + B16^2 + B17^2),1/2) * 9.81 / 4 / PI()^2</f>
        <v>0</v>
      </c>
      <c r="D31" s="21" t="s">
        <v>45</v>
      </c>
      <c r="E31" s="42" t="n">
        <f aca="false">POWER(((E17-H17)^2 + (F17-H17)^2 + (G17-H17)^2) / 6,1/2)</f>
        <v>0.00577350269189716</v>
      </c>
      <c r="F31" s="42" t="n">
        <f aca="false">4.3 * E31</f>
        <v>0.0248260615751578</v>
      </c>
      <c r="G31" s="59" t="n">
        <f aca="false">POWER(F31^2 + (2/3*0.005)^2,1/2)</f>
        <v>0.0250488411796761</v>
      </c>
      <c r="H31" s="59" t="n">
        <f aca="false">G31/H17</f>
        <v>0.00154146714951853</v>
      </c>
      <c r="I31" s="11"/>
    </row>
    <row r="32" customFormat="false" ht="15" hidden="false" customHeight="false" outlineLevel="0" collapsed="false">
      <c r="A32" s="67"/>
      <c r="B32" s="68"/>
      <c r="D32" s="21" t="s">
        <v>47</v>
      </c>
      <c r="E32" s="42" t="n">
        <f aca="false">POWER(((E18-H18)^2 + (F18-H18)^2 + (G18-H18)^2) / 6,1/2)</f>
        <v>0.0152752523165195</v>
      </c>
      <c r="F32" s="42" t="n">
        <f aca="false">4.3 * E32</f>
        <v>0.065683584961034</v>
      </c>
      <c r="G32" s="59" t="n">
        <f aca="false">POWER(F32^2 + (2/3*0.005)^2,1/2)</f>
        <v>0.065768111151564</v>
      </c>
      <c r="H32" s="59" t="n">
        <f aca="false">G32/H18</f>
        <v>0.00383935266500666</v>
      </c>
      <c r="I32" s="11"/>
    </row>
    <row r="33" customFormat="false" ht="15" hidden="false" customHeight="false" outlineLevel="0" collapsed="false">
      <c r="A33" s="1" t="s">
        <v>65</v>
      </c>
      <c r="B33" s="43" t="e">
        <f aca="false">SUMPRODUCT(A12:A17,_xlfn.anchorarray(B12))/SUMSQ(_xlfn.anchorarray(B12))</f>
        <v>#NAME?</v>
      </c>
      <c r="C33" s="8" t="e">
        <f aca="false">B34/B33</f>
        <v>#NAME?</v>
      </c>
      <c r="D33" s="21" t="s">
        <v>49</v>
      </c>
      <c r="E33" s="42" t="n">
        <f aca="false">POWER(((E19-H19)^2 + (F19-H19)^2 + (G19-H19)^2) / 6,1/2)</f>
        <v>0.0585946527708229</v>
      </c>
      <c r="F33" s="42" t="n">
        <f aca="false">4.3 * E33</f>
        <v>0.251957006914539</v>
      </c>
      <c r="G33" s="59" t="n">
        <f aca="false">POWER(F33^2 + (2/3*0.005)^2,1/2)</f>
        <v>0.251979055567013</v>
      </c>
      <c r="H33" s="59" t="n">
        <f aca="false">G33/H19</f>
        <v>0.0138450030531326</v>
      </c>
      <c r="I33" s="69"/>
      <c r="U33" s="8" t="s">
        <v>31</v>
      </c>
      <c r="V33" s="8" t="s">
        <v>66</v>
      </c>
    </row>
    <row r="34" customFormat="false" ht="15" hidden="false" customHeight="false" outlineLevel="0" collapsed="false">
      <c r="A34" s="55" t="s">
        <v>67</v>
      </c>
      <c r="B34" s="70" t="e">
        <f aca="false">POWER((B27/5/(SUMSQ(_xlfn.anchorarray(B12)))),1/2)</f>
        <v>#NAME?</v>
      </c>
      <c r="C34" s="71" t="e">
        <f aca="false">B26*C33</f>
        <v>#NAME?</v>
      </c>
      <c r="D34" s="72" t="s">
        <v>51</v>
      </c>
      <c r="E34" s="42" t="n">
        <f aca="false">POWER(((E20-H20)^2 + (F20-H20)^2 + (G20-H20)^2) / 6,1/2)</f>
        <v>0.0185592145427673</v>
      </c>
      <c r="F34" s="42" t="n">
        <f aca="false">4.3 * E34</f>
        <v>0.0798046225338994</v>
      </c>
      <c r="G34" s="59" t="n">
        <f aca="false">POWER(F34^2 + (2/3*0.005)^2,1/2)</f>
        <v>0.0798742066557739</v>
      </c>
      <c r="H34" s="59" t="n">
        <f aca="false">G34/H20</f>
        <v>0.0041179346961217</v>
      </c>
      <c r="I34" s="69"/>
      <c r="U34" s="51" t="n">
        <v>0</v>
      </c>
      <c r="V34" s="2" t="n">
        <f aca="false">4*PI()*PI() * U34 / 9.81 / $B$26</f>
        <v>0</v>
      </c>
    </row>
    <row r="35" customFormat="false" ht="15" hidden="false" customHeight="false" outlineLevel="0" collapsed="false">
      <c r="A35" s="67"/>
      <c r="B35" s="68"/>
      <c r="D35" s="21" t="s">
        <v>53</v>
      </c>
      <c r="E35" s="42" t="n">
        <f aca="false">POWER(((E21-H21)^2 + (F21-H21)^2 + (G21-H21)^2) / 6,1/2)</f>
        <v>0.0233333333333339</v>
      </c>
      <c r="F35" s="42" t="n">
        <f aca="false">4.3 * E35</f>
        <v>0.100333333333336</v>
      </c>
      <c r="G35" s="59" t="n">
        <f aca="false">POWER(F35^2 + (2/3*0.005)^2,1/2)</f>
        <v>0.100388689048564</v>
      </c>
      <c r="H35" s="59" t="n">
        <f aca="false">G35/H21</f>
        <v>0.00486929777115106</v>
      </c>
      <c r="I35" s="69"/>
      <c r="U35" s="43" t="n">
        <f aca="false" t="array" ref="U35:U40">TRANSPOSE($E$12:$J$12)</f>
        <v>0.032</v>
      </c>
      <c r="V35" s="2" t="n">
        <f aca="false">4*PI()*PI()*U35/9.81/ $B$26</f>
        <v>2.7575527383006</v>
      </c>
    </row>
    <row r="36" customFormat="false" ht="15" hidden="false" customHeight="false" outlineLevel="0" collapsed="false">
      <c r="A36" s="73"/>
      <c r="B36" s="74"/>
      <c r="D36" s="21" t="s">
        <v>54</v>
      </c>
      <c r="E36" s="42" t="n">
        <f aca="false">POWER(((E22-H22)^2 + (F22-H22)^2 + (G22-H22)^2) / 6,1/2)</f>
        <v>0.0750555349946518</v>
      </c>
      <c r="F36" s="42" t="n">
        <f aca="false">4.3 * E36</f>
        <v>0.322738800477003</v>
      </c>
      <c r="G36" s="59" t="n">
        <f aca="false">POWER(F36^2 + (2/3*0.005)^2,1/2)</f>
        <v>0.322756013800589</v>
      </c>
      <c r="H36" s="59" t="n">
        <f aca="false">G36/H22</f>
        <v>0.0145779590695839</v>
      </c>
      <c r="I36" s="11"/>
      <c r="U36" s="43" t="n">
        <v>0.036</v>
      </c>
      <c r="V36" s="2" t="n">
        <f aca="false">4*PI()*PI()*U36/9.81/ $B$26</f>
        <v>3.10224683058817</v>
      </c>
    </row>
    <row r="37" customFormat="false" ht="15" hidden="false" customHeight="false" outlineLevel="0" collapsed="false">
      <c r="A37" s="57"/>
      <c r="B37" s="74"/>
      <c r="U37" s="43" t="n">
        <v>0.04</v>
      </c>
      <c r="V37" s="2" t="n">
        <f aca="false">4*PI()*PI()*U37/9.81/ $B$26</f>
        <v>3.44694092287575</v>
      </c>
    </row>
    <row r="38" customFormat="false" ht="45.45" hidden="false" customHeight="false" outlineLevel="0" collapsed="false">
      <c r="A38" s="49" t="s">
        <v>43</v>
      </c>
      <c r="B38" s="21" t="s">
        <v>68</v>
      </c>
      <c r="C38" s="21" t="s">
        <v>69</v>
      </c>
      <c r="D38" s="3" t="s">
        <v>70</v>
      </c>
      <c r="E38" s="4" t="s">
        <v>3</v>
      </c>
      <c r="F38" s="5" t="s">
        <v>4</v>
      </c>
      <c r="G38" s="5" t="s">
        <v>5</v>
      </c>
      <c r="H38" s="4" t="s">
        <v>6</v>
      </c>
      <c r="I38" s="4" t="s">
        <v>7</v>
      </c>
      <c r="J38" s="4"/>
      <c r="U38" s="43" t="n">
        <v>0.046</v>
      </c>
      <c r="V38" s="2" t="n">
        <f aca="false">4*PI()*PI()*U38/9.81/ $B$26</f>
        <v>3.96398206130711</v>
      </c>
    </row>
    <row r="39" customFormat="false" ht="15" hidden="false" customHeight="false" outlineLevel="0" collapsed="false">
      <c r="A39" s="21" t="s">
        <v>45</v>
      </c>
      <c r="B39" s="16" t="e">
        <f aca="false">2*$B$34*B12</f>
        <v>#NAME?</v>
      </c>
      <c r="C39" s="16" t="e">
        <f aca="false">B39/B20</f>
        <v>#NAME?</v>
      </c>
      <c r="D39" s="1" t="s">
        <v>52</v>
      </c>
      <c r="E39" s="8" t="n">
        <f aca="false">2*$O$19^(1/2)*M3</f>
        <v>0.0198139298013831</v>
      </c>
      <c r="F39" s="8" t="n">
        <f aca="false">2*$O$19^(1/2)*M4</f>
        <v>0.0360310634247635</v>
      </c>
      <c r="G39" s="8" t="n">
        <f aca="false">2*$O$19^(1/2)*M5</f>
        <v>0.0540287620673904</v>
      </c>
      <c r="H39" s="8" t="n">
        <f aca="false">2*$O$19^(1/2)*M6</f>
        <v>0.078258438172439</v>
      </c>
      <c r="I39" s="8" t="n">
        <f aca="false">2*$O$19^(1/2)*M7</f>
        <v>0.104008041902432</v>
      </c>
      <c r="J39" s="8" t="n">
        <f aca="false">2*$O$19^(1/2)*R3</f>
        <v>0</v>
      </c>
      <c r="U39" s="43" t="n">
        <v>0.053</v>
      </c>
      <c r="V39" s="2" t="n">
        <f aca="false">4*PI()*PI()*U39/9.81/ $B$26</f>
        <v>4.56719672281036</v>
      </c>
    </row>
    <row r="40" customFormat="false" ht="15" hidden="false" customHeight="false" outlineLevel="0" collapsed="false">
      <c r="A40" s="21" t="s">
        <v>47</v>
      </c>
      <c r="B40" s="16" t="e">
        <f aca="false">2*$B$34*B13</f>
        <v>#NAME?</v>
      </c>
      <c r="C40" s="16" t="e">
        <f aca="false">B40/B21</f>
        <v>#NAME?</v>
      </c>
      <c r="D40" s="1" t="s">
        <v>71</v>
      </c>
      <c r="E40" s="8" t="n">
        <f aca="false">E39/O3</f>
        <v>-0.215368802188947</v>
      </c>
      <c r="F40" s="8" t="n">
        <f aca="false">F39/O4</f>
        <v>-0.181975067801836</v>
      </c>
      <c r="G40" s="8" t="n">
        <f aca="false">G39/O5</f>
        <v>-0.168839881460595</v>
      </c>
      <c r="H40" s="8" t="n">
        <f aca="false">H39/O6</f>
        <v>-0.16902470447611</v>
      </c>
      <c r="I40" s="8" t="n">
        <f aca="false">I39/O7</f>
        <v>-0.164309702847443</v>
      </c>
      <c r="U40" s="43" t="n">
        <v>0.06</v>
      </c>
      <c r="V40" s="2" t="n">
        <f aca="false">4*PI()*PI()*U40/9.81/ $B$26</f>
        <v>5.17041138431362</v>
      </c>
    </row>
    <row r="41" customFormat="false" ht="15" hidden="false" customHeight="false" outlineLevel="0" collapsed="false">
      <c r="A41" s="21" t="s">
        <v>49</v>
      </c>
      <c r="B41" s="16" t="e">
        <f aca="false">2*$B$34*B14</f>
        <v>#NAME?</v>
      </c>
      <c r="C41" s="16" t="e">
        <f aca="false">B41/B22</f>
        <v>#NAME?</v>
      </c>
    </row>
    <row r="42" customFormat="false" ht="45.45" hidden="false" customHeight="false" outlineLevel="0" collapsed="false">
      <c r="A42" s="21" t="s">
        <v>51</v>
      </c>
      <c r="B42" s="16" t="e">
        <f aca="false">2*$B$34*B15</f>
        <v>#NAME?</v>
      </c>
      <c r="C42" s="16" t="e">
        <f aca="false">B42/B23</f>
        <v>#NAME?</v>
      </c>
      <c r="E42" s="49" t="s">
        <v>43</v>
      </c>
      <c r="F42" s="21" t="s">
        <v>72</v>
      </c>
      <c r="G42" s="21" t="s">
        <v>73</v>
      </c>
    </row>
    <row r="43" customFormat="false" ht="15" hidden="false" customHeight="false" outlineLevel="0" collapsed="false">
      <c r="A43" s="21" t="s">
        <v>53</v>
      </c>
      <c r="B43" s="16" t="e">
        <f aca="false">2*$B$34*B16</f>
        <v>#NAME?</v>
      </c>
      <c r="C43" s="16" t="e">
        <f aca="false">B43/B24</f>
        <v>#NAME?</v>
      </c>
      <c r="E43" s="21" t="s">
        <v>45</v>
      </c>
      <c r="F43" s="2" t="n">
        <f aca="false">($I17*2*9.81/4/PI()^2*G31)</f>
        <v>0.0203039654863528</v>
      </c>
      <c r="G43" s="2" t="n">
        <f aca="false">F43/E13</f>
        <v>0.0307159303245568</v>
      </c>
    </row>
    <row r="44" customFormat="false" ht="15" hidden="false" customHeight="false" outlineLevel="0" collapsed="false">
      <c r="A44" s="21" t="s">
        <v>54</v>
      </c>
      <c r="B44" s="16" t="e">
        <f aca="false">2*$B$34*B17</f>
        <v>#NAME?</v>
      </c>
      <c r="C44" s="16" t="e">
        <f aca="false">B44/B25</f>
        <v>#NAME?</v>
      </c>
      <c r="E44" s="21" t="s">
        <v>47</v>
      </c>
      <c r="F44" s="2" t="n">
        <f aca="false">($I18*2*9.81/4/PI()^2*G32)</f>
        <v>0.0567092775529569</v>
      </c>
      <c r="G44" s="2" t="n">
        <f aca="false">F44/F13</f>
        <v>0.0758133846127539</v>
      </c>
    </row>
    <row r="45" customFormat="false" ht="15" hidden="false" customHeight="false" outlineLevel="0" collapsed="false">
      <c r="E45" s="21" t="s">
        <v>49</v>
      </c>
      <c r="F45" s="2" t="n">
        <f aca="false">($I19*2*9.81/4/PI()^2*G33)</f>
        <v>0.230295493382184</v>
      </c>
      <c r="G45" s="2" t="n">
        <f aca="false">F45/G13</f>
        <v>0.274039212144658</v>
      </c>
    </row>
    <row r="46" customFormat="false" ht="15" hidden="false" customHeight="false" outlineLevel="0" collapsed="false">
      <c r="E46" s="21" t="s">
        <v>51</v>
      </c>
      <c r="F46" s="2" t="n">
        <f aca="false">($I20*2*9.81/4/PI()^2*G34)</f>
        <v>0.0785582170396805</v>
      </c>
      <c r="G46" s="2" t="n">
        <f aca="false">F46/H13</f>
        <v>0.0807217854025001</v>
      </c>
    </row>
    <row r="47" customFormat="false" ht="15" hidden="false" customHeight="false" outlineLevel="0" collapsed="false">
      <c r="A47" s="0" t="e">
        <f aca="false">2.57*C34</f>
        <v>#NAME?</v>
      </c>
      <c r="E47" s="21" t="s">
        <v>53</v>
      </c>
      <c r="F47" s="2" t="n">
        <f aca="false">($I21*2*9.81/4/PI()^2*G35)</f>
        <v>0.104821435188459</v>
      </c>
      <c r="G47" s="2" t="n">
        <f aca="false">F47/I13</f>
        <v>0.0955627692037737</v>
      </c>
    </row>
    <row r="48" customFormat="false" ht="15" hidden="false" customHeight="false" outlineLevel="0" collapsed="false">
      <c r="E48" s="21" t="s">
        <v>54</v>
      </c>
      <c r="F48" s="2" t="n">
        <f aca="false">($I22*2*9.81/4/PI()^2*G36)</f>
        <v>0.364757365032179</v>
      </c>
      <c r="G48" s="2" t="n">
        <f aca="false">F48/J13</f>
        <v>0.283866327001397</v>
      </c>
    </row>
    <row r="50" customFormat="false" ht="14.25" hidden="false" customHeight="false" outlineLevel="0" collapsed="false">
      <c r="D50" s="18" t="s">
        <v>18</v>
      </c>
      <c r="E50" s="19" t="n">
        <v>1</v>
      </c>
      <c r="F50" s="19" t="n">
        <v>2</v>
      </c>
      <c r="G50" s="20" t="n">
        <v>3</v>
      </c>
      <c r="H50" s="19" t="n">
        <v>4</v>
      </c>
      <c r="I50" s="19" t="n">
        <v>5</v>
      </c>
      <c r="J50" s="19" t="n">
        <v>6</v>
      </c>
    </row>
    <row r="51" customFormat="false" ht="15" hidden="false" customHeight="false" outlineLevel="0" collapsed="false">
      <c r="D51" s="21" t="s">
        <v>74</v>
      </c>
      <c r="E51" s="75" t="n">
        <f aca="false">POWER((2*$E$8*$M$23*$B$9)^2 + (2*$E$9*$R$23*$B$9)^2 + (4*E10*M23*$B$9)^2 + (($E$8^2+$E$9^2+2*E10^2)*0.0005)^2,1/2)</f>
        <v>0.000206607943855627</v>
      </c>
      <c r="F51" s="75" t="n">
        <f aca="false">POWER((2*$E$8*$M$23*$B$9)^2 + (2*$E$9*$R$23*$B$9)^2 + (4*F10*N23*$B$9)^2 + (($E$8^2+$E$9^2+2*F10^2)*0.0005)^2,1/2)</f>
        <v>0.000218636925852176</v>
      </c>
      <c r="G51" s="75" t="n">
        <f aca="false">POWER((2*$E$8*$M$23*$B$9)^2 + (2*$E$9*$R$23*$B$9)^2 + (4*G10*O23*$B$9)^2 + (($E$8^2+$E$9^2+2*G10^2)*0.0005)^2,1/2)</f>
        <v>0.000242387114293665</v>
      </c>
      <c r="H51" s="75" t="n">
        <f aca="false">POWER((2*$E$8*$M$23*$B$9)^2 + (2*$E$9*$R$23*$B$9)^2 + (4*H10*P23*$B$9)^2 + (($E$8^2+$E$9^2+2*H10^2)*0.0005)^2,1/2)</f>
        <v>0.00028361256817851</v>
      </c>
      <c r="I51" s="75" t="n">
        <f aca="false">POWER((2*$E$8*$M$23*$B$9)^2 + (2*$E$9*$R$23*$B$9)^2 + (4*I10*Q23*$B$9)^2 + (($E$8^2+$E$9^2+2*I10^2)*0.0005)^2,1/2)</f>
        <v>0.000345491366869984</v>
      </c>
      <c r="J51" s="75" t="n">
        <f aca="false">POWER((2*$E$8*$M$23*$B$9)^2 + (2*$E$9*$R$23*$B$9)^2 + (4*J10*R23*$B$9)^2 + (($E$8^2+$E$9^2+2*J10^2)*0.0005)^2,1/2)</f>
        <v>0.000428546359347796</v>
      </c>
    </row>
    <row r="52" customFormat="false" ht="15" hidden="false" customHeight="false" outlineLevel="0" collapsed="false">
      <c r="D52" s="21" t="s">
        <v>75</v>
      </c>
      <c r="E52" s="40" t="n">
        <f aca="false">E51/E12</f>
        <v>0.00645649824548835</v>
      </c>
      <c r="F52" s="40" t="n">
        <f aca="false">F51/F12</f>
        <v>0.00607324794033823</v>
      </c>
      <c r="G52" s="40" t="n">
        <f aca="false">G51/G12</f>
        <v>0.00605967785734161</v>
      </c>
      <c r="H52" s="40" t="n">
        <f aca="false">H51/H12</f>
        <v>0.0061654906125763</v>
      </c>
      <c r="I52" s="40" t="n">
        <f aca="false">I51/I12</f>
        <v>0.00651870503528272</v>
      </c>
      <c r="J52" s="40" t="n">
        <f aca="false">J51/J12</f>
        <v>0.00714243932246326</v>
      </c>
    </row>
    <row r="54" customFormat="false" ht="14.25" hidden="false" customHeight="false" outlineLevel="0" collapsed="false">
      <c r="D54" s="18" t="s">
        <v>18</v>
      </c>
      <c r="E54" s="19" t="n">
        <v>1</v>
      </c>
      <c r="F54" s="19" t="n">
        <v>2</v>
      </c>
      <c r="G54" s="20" t="n">
        <v>3</v>
      </c>
      <c r="H54" s="19" t="n">
        <v>4</v>
      </c>
      <c r="I54" s="19" t="n">
        <v>5</v>
      </c>
      <c r="J54" s="19" t="n">
        <v>6</v>
      </c>
    </row>
    <row r="55" customFormat="false" ht="15" hidden="false" customHeight="false" outlineLevel="0" collapsed="false">
      <c r="D55" s="21" t="s">
        <v>76</v>
      </c>
      <c r="E55" s="75" t="e">
        <f aca="false">POWER((E51/$B$26)^2 + (E12*$C$34/($B$26^2))^2,1/2)</f>
        <v>#NAME?</v>
      </c>
      <c r="F55" s="75" t="e">
        <f aca="false">POWER((F51/$B$26)^2 + (F12*$C$34/($B$26^2))^2,1/2)</f>
        <v>#NAME?</v>
      </c>
      <c r="G55" s="75" t="e">
        <f aca="false">POWER((G51/$B$26)^2 + (G12*$C$34/($B$26^2))^2,1/2)</f>
        <v>#NAME?</v>
      </c>
      <c r="H55" s="75" t="e">
        <f aca="false">POWER((H51/$B$26)^2 + (H12*$C$34/($B$26^2))^2,1/2)</f>
        <v>#NAME?</v>
      </c>
      <c r="I55" s="75" t="e">
        <f aca="false">POWER((I51/$B$26)^2 + (I12*$C$34/($B$26^2))^2,1/2)</f>
        <v>#NAME?</v>
      </c>
      <c r="J55" s="75" t="e">
        <f aca="false">POWER((J51/$B$26)^2 + (J12*$C$34/($B$26^2))^2,1/2)</f>
        <v>#NAME?</v>
      </c>
    </row>
    <row r="56" customFormat="false" ht="15" hidden="false" customHeight="false" outlineLevel="0" collapsed="false">
      <c r="D56" s="21" t="s">
        <v>77</v>
      </c>
      <c r="E56" s="40" t="e">
        <f aca="false">E55/E14</f>
        <v>#NAME?</v>
      </c>
      <c r="F56" s="40" t="e">
        <f aca="false">F55/F14</f>
        <v>#NAME?</v>
      </c>
      <c r="G56" s="40" t="e">
        <f aca="false">G55/G14</f>
        <v>#NAME?</v>
      </c>
      <c r="H56" s="40" t="e">
        <f aca="false">H55/H14</f>
        <v>#NAME?</v>
      </c>
      <c r="I56" s="40" t="e">
        <f aca="false">I55/I14</f>
        <v>#NAME?</v>
      </c>
      <c r="J56" s="40" t="e">
        <f aca="false">J55/J14</f>
        <v>#NAME?</v>
      </c>
    </row>
  </sheetData>
  <mergeCells count="2">
    <mergeCell ref="E8:J8"/>
    <mergeCell ref="E9:J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colBreaks count="1" manualBreakCount="1">
    <brk id="12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2023-05-16T15:07:58Z</dcterms:created>
  <dc:creator>Русик Русик</dc:creator>
  <dc:description/>
  <dc:language>ru-RU</dc:language>
  <cp:lastModifiedBy/>
  <dcterms:modified xsi:type="dcterms:W3CDTF">2024-11-21T07:49:18Z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