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vuckovic\Documents\git\Project\Crnagora\Finance\"/>
    </mc:Choice>
  </mc:AlternateContent>
  <bookViews>
    <workbookView xWindow="0" yWindow="0" windowWidth="23040" windowHeight="8616" activeTab="7"/>
  </bookViews>
  <sheets>
    <sheet name="Contents" sheetId="1" r:id="rId1"/>
    <sheet name="Active Users" sheetId="2" r:id="rId2"/>
    <sheet name="Customer Profile" sheetId="3" r:id="rId3"/>
    <sheet name="IS" sheetId="4" r:id="rId4"/>
    <sheet name="P&amp;L" sheetId="5" r:id="rId5"/>
    <sheet name="CFS" sheetId="6" r:id="rId6"/>
    <sheet name="DCF" sheetId="7" r:id="rId7"/>
    <sheet name="Output" sheetId="8" r:id="rId8"/>
  </sheets>
  <calcPr calcId="162913"/>
</workbook>
</file>

<file path=xl/calcChain.xml><?xml version="1.0" encoding="utf-8"?>
<calcChain xmlns="http://schemas.openxmlformats.org/spreadsheetml/2006/main">
  <c r="H150" i="4" l="1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G150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G107" i="4"/>
  <c r="H147" i="4"/>
  <c r="I147" i="4" s="1"/>
  <c r="J147" i="4" s="1"/>
  <c r="K147" i="4" s="1"/>
  <c r="L147" i="4" s="1"/>
  <c r="M147" i="4" s="1"/>
  <c r="N147" i="4" s="1"/>
  <c r="O147" i="4" s="1"/>
  <c r="P147" i="4" s="1"/>
  <c r="Q147" i="4" s="1"/>
  <c r="R147" i="4" s="1"/>
  <c r="S147" i="4" s="1"/>
  <c r="T147" i="4" s="1"/>
  <c r="U147" i="4" s="1"/>
  <c r="V147" i="4" s="1"/>
  <c r="W147" i="4" s="1"/>
  <c r="X147" i="4" s="1"/>
  <c r="Y147" i="4" s="1"/>
  <c r="Z147" i="4" s="1"/>
  <c r="AA147" i="4" s="1"/>
  <c r="AB147" i="4" s="1"/>
  <c r="AC147" i="4" s="1"/>
  <c r="AD147" i="4" s="1"/>
  <c r="AE147" i="4" s="1"/>
  <c r="AF147" i="4" s="1"/>
  <c r="AG147" i="4" s="1"/>
  <c r="AH147" i="4" s="1"/>
  <c r="AI147" i="4" s="1"/>
  <c r="AJ147" i="4" s="1"/>
  <c r="AK147" i="4" s="1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S146" i="4"/>
  <c r="R146" i="4"/>
  <c r="Q146" i="4"/>
  <c r="P146" i="4"/>
  <c r="N146" i="4"/>
  <c r="O146" i="4"/>
  <c r="J146" i="4"/>
  <c r="K146" i="4"/>
  <c r="L146" i="4"/>
  <c r="M146" i="4"/>
  <c r="I146" i="4"/>
  <c r="R66" i="4"/>
  <c r="K66" i="4"/>
  <c r="G90" i="4"/>
  <c r="AA111" i="4"/>
  <c r="AB111" i="4"/>
  <c r="AC111" i="4"/>
  <c r="AD111" i="4"/>
  <c r="AE111" i="4"/>
  <c r="AF111" i="4"/>
  <c r="AG111" i="4"/>
  <c r="AH111" i="4"/>
  <c r="AI111" i="4"/>
  <c r="AJ111" i="4"/>
  <c r="AK111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G96" i="4"/>
  <c r="K100" i="4"/>
  <c r="V100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M92" i="4"/>
  <c r="M90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M94" i="4"/>
  <c r="H90" i="4"/>
  <c r="I90" i="4"/>
  <c r="J90" i="4"/>
  <c r="K90" i="4"/>
  <c r="L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V91" i="4"/>
  <c r="V93" i="4"/>
  <c r="V95" i="4"/>
  <c r="V97" i="4"/>
  <c r="V99" i="4"/>
  <c r="V101" i="4"/>
  <c r="V103" i="4"/>
  <c r="V105" i="4"/>
  <c r="V106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G57" i="4"/>
  <c r="M39" i="4"/>
  <c r="G105" i="4"/>
  <c r="G101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G97" i="4"/>
  <c r="N95" i="4"/>
  <c r="O95" i="4"/>
  <c r="P95" i="4"/>
  <c r="Q95" i="4"/>
  <c r="R95" i="4"/>
  <c r="S95" i="4"/>
  <c r="T95" i="4"/>
  <c r="U95" i="4"/>
  <c r="K91" i="4"/>
  <c r="G81" i="4"/>
  <c r="G80" i="4"/>
  <c r="H69" i="4"/>
  <c r="H70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G73" i="4"/>
  <c r="F19" i="2"/>
  <c r="I63" i="4"/>
  <c r="H63" i="4"/>
  <c r="H62" i="4"/>
  <c r="I62" i="4"/>
  <c r="G62" i="4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E15" i="7"/>
  <c r="H10" i="7"/>
  <c r="AF12" i="6"/>
  <c r="AD12" i="6"/>
  <c r="AC12" i="6"/>
  <c r="Y12" i="6"/>
  <c r="X12" i="6"/>
  <c r="U12" i="6"/>
  <c r="T12" i="6"/>
  <c r="S12" i="6"/>
  <c r="Q12" i="6"/>
  <c r="M12" i="6"/>
  <c r="L12" i="6"/>
  <c r="I12" i="6"/>
  <c r="H12" i="6"/>
  <c r="G12" i="6"/>
  <c r="AJ11" i="6"/>
  <c r="AJ12" i="6" s="1"/>
  <c r="AI11" i="6"/>
  <c r="AI12" i="6" s="1"/>
  <c r="AH11" i="6"/>
  <c r="AH12" i="6" s="1"/>
  <c r="AG11" i="6"/>
  <c r="AG12" i="6" s="1"/>
  <c r="AF11" i="6"/>
  <c r="AE11" i="6"/>
  <c r="AE12" i="6" s="1"/>
  <c r="AD11" i="6"/>
  <c r="AC11" i="6"/>
  <c r="AB11" i="6"/>
  <c r="AB12" i="6" s="1"/>
  <c r="AA11" i="6"/>
  <c r="AA12" i="6" s="1"/>
  <c r="Z11" i="6"/>
  <c r="Z12" i="6" s="1"/>
  <c r="Y11" i="6"/>
  <c r="X11" i="6"/>
  <c r="W11" i="6"/>
  <c r="W12" i="6" s="1"/>
  <c r="V11" i="6"/>
  <c r="V12" i="6" s="1"/>
  <c r="U11" i="6"/>
  <c r="T11" i="6"/>
  <c r="S11" i="6"/>
  <c r="R11" i="6"/>
  <c r="R12" i="6" s="1"/>
  <c r="Q11" i="6"/>
  <c r="P11" i="6"/>
  <c r="P12" i="6" s="1"/>
  <c r="O11" i="6"/>
  <c r="O12" i="6" s="1"/>
  <c r="N11" i="6"/>
  <c r="N12" i="6" s="1"/>
  <c r="M11" i="6"/>
  <c r="L11" i="6"/>
  <c r="K11" i="6"/>
  <c r="K12" i="6" s="1"/>
  <c r="J11" i="6"/>
  <c r="J12" i="6" s="1"/>
  <c r="I11" i="6"/>
  <c r="H11" i="6"/>
  <c r="E18" i="5"/>
  <c r="G14" i="5"/>
  <c r="H10" i="5"/>
  <c r="I132" i="4"/>
  <c r="H132" i="4"/>
  <c r="G132" i="4"/>
  <c r="G10" i="5" s="1"/>
  <c r="G10" i="7" s="1"/>
  <c r="I130" i="4"/>
  <c r="H130" i="4"/>
  <c r="G130" i="4"/>
  <c r="S129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X125" i="4"/>
  <c r="W125" i="4"/>
  <c r="V125" i="4"/>
  <c r="U125" i="4"/>
  <c r="T125" i="4"/>
  <c r="S125" i="4"/>
  <c r="R125" i="4"/>
  <c r="Q125" i="4"/>
  <c r="P125" i="4"/>
  <c r="O125" i="4"/>
  <c r="N125" i="4"/>
  <c r="M125" i="4"/>
  <c r="L125" i="4"/>
  <c r="K125" i="4"/>
  <c r="J125" i="4"/>
  <c r="I125" i="4"/>
  <c r="H125" i="4"/>
  <c r="G125" i="4"/>
  <c r="L115" i="4"/>
  <c r="K115" i="4"/>
  <c r="J115" i="4"/>
  <c r="I115" i="4"/>
  <c r="H115" i="4"/>
  <c r="G115" i="4"/>
  <c r="AK113" i="4"/>
  <c r="AJ113" i="4"/>
  <c r="AI113" i="4"/>
  <c r="AH113" i="4"/>
  <c r="AG113" i="4"/>
  <c r="AF113" i="4"/>
  <c r="AE113" i="4"/>
  <c r="AD113" i="4"/>
  <c r="J106" i="4"/>
  <c r="K106" i="4" s="1"/>
  <c r="L106" i="4" s="1"/>
  <c r="M106" i="4" s="1"/>
  <c r="N106" i="4" s="1"/>
  <c r="O106" i="4" s="1"/>
  <c r="P106" i="4" s="1"/>
  <c r="Q106" i="4" s="1"/>
  <c r="R106" i="4" s="1"/>
  <c r="S106" i="4" s="1"/>
  <c r="T106" i="4" s="1"/>
  <c r="U106" i="4" s="1"/>
  <c r="W106" i="4" s="1"/>
  <c r="X106" i="4" s="1"/>
  <c r="Y106" i="4" s="1"/>
  <c r="Z106" i="4" s="1"/>
  <c r="AA106" i="4" s="1"/>
  <c r="AB106" i="4" s="1"/>
  <c r="AC106" i="4" s="1"/>
  <c r="AD106" i="4" s="1"/>
  <c r="AE106" i="4" s="1"/>
  <c r="AF106" i="4" s="1"/>
  <c r="AG106" i="4" s="1"/>
  <c r="AH106" i="4" s="1"/>
  <c r="AI106" i="4" s="1"/>
  <c r="AJ106" i="4" s="1"/>
  <c r="AK106" i="4" s="1"/>
  <c r="H106" i="4"/>
  <c r="I106" i="4" s="1"/>
  <c r="K103" i="4"/>
  <c r="L103" i="4" s="1"/>
  <c r="M103" i="4" s="1"/>
  <c r="N103" i="4" s="1"/>
  <c r="O103" i="4" s="1"/>
  <c r="P103" i="4" s="1"/>
  <c r="Q103" i="4" s="1"/>
  <c r="R103" i="4" s="1"/>
  <c r="S103" i="4" s="1"/>
  <c r="T103" i="4" s="1"/>
  <c r="U103" i="4" s="1"/>
  <c r="W103" i="4" s="1"/>
  <c r="X103" i="4" s="1"/>
  <c r="Y103" i="4" s="1"/>
  <c r="Z103" i="4" s="1"/>
  <c r="AA103" i="4" s="1"/>
  <c r="AB103" i="4" s="1"/>
  <c r="AC103" i="4" s="1"/>
  <c r="AD103" i="4" s="1"/>
  <c r="AE103" i="4" s="1"/>
  <c r="AF103" i="4" s="1"/>
  <c r="AG103" i="4" s="1"/>
  <c r="AH103" i="4" s="1"/>
  <c r="AI103" i="4" s="1"/>
  <c r="AJ103" i="4" s="1"/>
  <c r="AK103" i="4" s="1"/>
  <c r="L100" i="4"/>
  <c r="J100" i="4"/>
  <c r="I100" i="4"/>
  <c r="H100" i="4"/>
  <c r="G100" i="4"/>
  <c r="M99" i="4"/>
  <c r="N99" i="4" s="1"/>
  <c r="O99" i="4" s="1"/>
  <c r="P99" i="4" s="1"/>
  <c r="Q99" i="4" s="1"/>
  <c r="R99" i="4" s="1"/>
  <c r="S99" i="4" s="1"/>
  <c r="T99" i="4" s="1"/>
  <c r="U99" i="4" s="1"/>
  <c r="L95" i="4"/>
  <c r="K95" i="4"/>
  <c r="J95" i="4"/>
  <c r="I95" i="4"/>
  <c r="H95" i="4"/>
  <c r="L94" i="4"/>
  <c r="K94" i="4"/>
  <c r="J94" i="4"/>
  <c r="I94" i="4"/>
  <c r="H94" i="4"/>
  <c r="G93" i="4"/>
  <c r="H91" i="4"/>
  <c r="J87" i="4"/>
  <c r="AK86" i="4"/>
  <c r="I86" i="4"/>
  <c r="I87" i="4" s="1"/>
  <c r="G86" i="4"/>
  <c r="G87" i="4" s="1"/>
  <c r="K84" i="4"/>
  <c r="K86" i="4" s="1"/>
  <c r="K87" i="4" s="1"/>
  <c r="H84" i="4"/>
  <c r="I84" i="4" s="1"/>
  <c r="J84" i="4" s="1"/>
  <c r="J86" i="4" s="1"/>
  <c r="W67" i="4"/>
  <c r="Q72" i="4"/>
  <c r="G72" i="4"/>
  <c r="Q68" i="4"/>
  <c r="G68" i="4"/>
  <c r="H51" i="4"/>
  <c r="I51" i="4" s="1"/>
  <c r="J51" i="4" s="1"/>
  <c r="K51" i="4" s="1"/>
  <c r="L51" i="4" s="1"/>
  <c r="M51" i="4" s="1"/>
  <c r="N51" i="4" s="1"/>
  <c r="O51" i="4" s="1"/>
  <c r="P51" i="4" s="1"/>
  <c r="Q51" i="4" s="1"/>
  <c r="R51" i="4" s="1"/>
  <c r="S51" i="4" s="1"/>
  <c r="T51" i="4" s="1"/>
  <c r="U51" i="4" s="1"/>
  <c r="V51" i="4" s="1"/>
  <c r="W51" i="4" s="1"/>
  <c r="X51" i="4" s="1"/>
  <c r="Y51" i="4" s="1"/>
  <c r="Z51" i="4" s="1"/>
  <c r="AA51" i="4" s="1"/>
  <c r="AB51" i="4" s="1"/>
  <c r="AC51" i="4" s="1"/>
  <c r="AD51" i="4" s="1"/>
  <c r="AE51" i="4" s="1"/>
  <c r="AF51" i="4" s="1"/>
  <c r="AG51" i="4" s="1"/>
  <c r="AH51" i="4" s="1"/>
  <c r="AI51" i="4" s="1"/>
  <c r="AJ51" i="4" s="1"/>
  <c r="AK51" i="4" s="1"/>
  <c r="H50" i="4"/>
  <c r="G50" i="4"/>
  <c r="G52" i="4" s="1"/>
  <c r="H45" i="4"/>
  <c r="I45" i="4" s="1"/>
  <c r="J45" i="4" s="1"/>
  <c r="K45" i="4" s="1"/>
  <c r="L45" i="4" s="1"/>
  <c r="M45" i="4" s="1"/>
  <c r="N45" i="4" s="1"/>
  <c r="O45" i="4" s="1"/>
  <c r="P45" i="4" s="1"/>
  <c r="Q45" i="4" s="1"/>
  <c r="R45" i="4" s="1"/>
  <c r="S45" i="4" s="1"/>
  <c r="T45" i="4" s="1"/>
  <c r="U45" i="4" s="1"/>
  <c r="V45" i="4" s="1"/>
  <c r="W45" i="4" s="1"/>
  <c r="X45" i="4" s="1"/>
  <c r="Y45" i="4" s="1"/>
  <c r="Z45" i="4" s="1"/>
  <c r="AA45" i="4" s="1"/>
  <c r="AB45" i="4" s="1"/>
  <c r="AC45" i="4" s="1"/>
  <c r="AD45" i="4" s="1"/>
  <c r="AE45" i="4" s="1"/>
  <c r="AF45" i="4" s="1"/>
  <c r="AG45" i="4" s="1"/>
  <c r="AH45" i="4" s="1"/>
  <c r="AI45" i="4" s="1"/>
  <c r="AJ45" i="4" s="1"/>
  <c r="AK45" i="4" s="1"/>
  <c r="H44" i="4"/>
  <c r="H46" i="4" s="1"/>
  <c r="G44" i="4"/>
  <c r="G46" i="4" s="1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H40" i="4"/>
  <c r="R39" i="4"/>
  <c r="S39" i="4" s="1"/>
  <c r="T39" i="4" s="1"/>
  <c r="Q39" i="4"/>
  <c r="U39" i="4" s="1"/>
  <c r="Y39" i="4" s="1"/>
  <c r="AC39" i="4" s="1"/>
  <c r="AG39" i="4" s="1"/>
  <c r="AK39" i="4" s="1"/>
  <c r="N39" i="4"/>
  <c r="O39" i="4" s="1"/>
  <c r="P39" i="4" s="1"/>
  <c r="H38" i="4"/>
  <c r="G38" i="4"/>
  <c r="G40" i="4" s="1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L33" i="4"/>
  <c r="P33" i="4" s="1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T27" i="4"/>
  <c r="Q27" i="4"/>
  <c r="P27" i="4"/>
  <c r="H26" i="4"/>
  <c r="H28" i="4" s="1"/>
  <c r="G26" i="4"/>
  <c r="G28" i="4" s="1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AK15" i="4"/>
  <c r="AC15" i="4"/>
  <c r="U15" i="4"/>
  <c r="M15" i="4"/>
  <c r="E15" i="4"/>
  <c r="AG15" i="4" s="1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AI7" i="4"/>
  <c r="AA7" i="4"/>
  <c r="S7" i="4"/>
  <c r="K7" i="4"/>
  <c r="AI6" i="4"/>
  <c r="AH6" i="4"/>
  <c r="AH7" i="4" s="1"/>
  <c r="AA6" i="4"/>
  <c r="Z6" i="4"/>
  <c r="Z7" i="4" s="1"/>
  <c r="S6" i="4"/>
  <c r="R6" i="4"/>
  <c r="R7" i="4" s="1"/>
  <c r="R71" i="4" s="1"/>
  <c r="K6" i="4"/>
  <c r="J6" i="4"/>
  <c r="J7" i="4" s="1"/>
  <c r="E6" i="4"/>
  <c r="AD6" i="4" s="1"/>
  <c r="AD7" i="4" s="1"/>
  <c r="D34" i="2"/>
  <c r="C34" i="2"/>
  <c r="C35" i="2" s="1"/>
  <c r="C33" i="2"/>
  <c r="E31" i="2"/>
  <c r="F31" i="2" s="1"/>
  <c r="F30" i="2"/>
  <c r="J50" i="4" s="1"/>
  <c r="J52" i="4" s="1"/>
  <c r="E30" i="2"/>
  <c r="I50" i="4" s="1"/>
  <c r="I52" i="4" s="1"/>
  <c r="G27" i="2"/>
  <c r="H24" i="2" s="1"/>
  <c r="J25" i="2" s="1"/>
  <c r="F27" i="2"/>
  <c r="E27" i="2"/>
  <c r="D26" i="2"/>
  <c r="C26" i="2"/>
  <c r="H25" i="2"/>
  <c r="G24" i="2"/>
  <c r="F24" i="2"/>
  <c r="F26" i="2" s="1"/>
  <c r="E24" i="2"/>
  <c r="E26" i="2" s="1"/>
  <c r="D23" i="2"/>
  <c r="E20" i="2"/>
  <c r="D20" i="2"/>
  <c r="C20" i="2"/>
  <c r="E17" i="2"/>
  <c r="D17" i="2"/>
  <c r="AG14" i="2"/>
  <c r="AE14" i="2"/>
  <c r="AD14" i="2"/>
  <c r="AC14" i="2"/>
  <c r="AA14" i="2"/>
  <c r="Z14" i="2"/>
  <c r="Y14" i="2"/>
  <c r="W14" i="2"/>
  <c r="V14" i="2"/>
  <c r="U14" i="2"/>
  <c r="S14" i="2"/>
  <c r="R14" i="2"/>
  <c r="Q14" i="2"/>
  <c r="O14" i="2"/>
  <c r="N14" i="2"/>
  <c r="M14" i="2"/>
  <c r="K14" i="2"/>
  <c r="J14" i="2"/>
  <c r="I14" i="2"/>
  <c r="G14" i="2"/>
  <c r="F14" i="2"/>
  <c r="E14" i="2"/>
  <c r="C14" i="2"/>
  <c r="H13" i="2"/>
  <c r="H14" i="2" s="1"/>
  <c r="H12" i="2"/>
  <c r="D12" i="2"/>
  <c r="D14" i="2" s="1"/>
  <c r="C11" i="2"/>
  <c r="D11" i="2" s="1"/>
  <c r="E11" i="2" s="1"/>
  <c r="AG8" i="2"/>
  <c r="AE8" i="2"/>
  <c r="AC8" i="2"/>
  <c r="AA8" i="2"/>
  <c r="Y8" i="2"/>
  <c r="W8" i="2"/>
  <c r="U8" i="2"/>
  <c r="S8" i="2"/>
  <c r="Q8" i="2"/>
  <c r="O8" i="2"/>
  <c r="M8" i="2"/>
  <c r="K8" i="2"/>
  <c r="I8" i="2"/>
  <c r="G8" i="2"/>
  <c r="E8" i="2"/>
  <c r="D8" i="2"/>
  <c r="C8" i="2"/>
  <c r="D5" i="2"/>
  <c r="E5" i="2" s="1"/>
  <c r="V111" i="4" l="1"/>
  <c r="W99" i="4"/>
  <c r="X99" i="4" s="1"/>
  <c r="Y99" i="4" s="1"/>
  <c r="Z99" i="4" s="1"/>
  <c r="AA99" i="4" s="1"/>
  <c r="AB99" i="4" s="1"/>
  <c r="AC99" i="4" s="1"/>
  <c r="AD99" i="4" s="1"/>
  <c r="AE99" i="4" s="1"/>
  <c r="AF99" i="4" s="1"/>
  <c r="AG99" i="4" s="1"/>
  <c r="AH99" i="4" s="1"/>
  <c r="AI99" i="4" s="1"/>
  <c r="AJ99" i="4" s="1"/>
  <c r="AK99" i="4" s="1"/>
  <c r="G8" i="6"/>
  <c r="G9" i="6" s="1"/>
  <c r="G74" i="4"/>
  <c r="G25" i="2"/>
  <c r="G26" i="2" s="1"/>
  <c r="I32" i="4"/>
  <c r="I34" i="4" s="1"/>
  <c r="F11" i="2"/>
  <c r="R72" i="4"/>
  <c r="R68" i="4"/>
  <c r="S71" i="4"/>
  <c r="T33" i="4"/>
  <c r="Q33" i="4"/>
  <c r="R33" i="4" s="1"/>
  <c r="S33" i="4" s="1"/>
  <c r="H32" i="4"/>
  <c r="H34" i="4" s="1"/>
  <c r="D35" i="2"/>
  <c r="G31" i="2"/>
  <c r="G30" i="2"/>
  <c r="I26" i="4"/>
  <c r="I28" i="4" s="1"/>
  <c r="F7" i="2"/>
  <c r="H6" i="2"/>
  <c r="H8" i="2" s="1"/>
  <c r="I38" i="4"/>
  <c r="I40" i="4" s="1"/>
  <c r="F18" i="2"/>
  <c r="F20" i="2" s="1"/>
  <c r="F17" i="2"/>
  <c r="G19" i="2" s="1"/>
  <c r="H26" i="2"/>
  <c r="N15" i="4"/>
  <c r="AD15" i="4"/>
  <c r="Z39" i="4"/>
  <c r="AA39" i="4" s="1"/>
  <c r="AB39" i="4" s="1"/>
  <c r="L84" i="4"/>
  <c r="D33" i="2"/>
  <c r="E23" i="2"/>
  <c r="E33" i="2" s="1"/>
  <c r="H27" i="2"/>
  <c r="N6" i="4"/>
  <c r="N7" i="4" s="1"/>
  <c r="Q15" i="4"/>
  <c r="X27" i="4"/>
  <c r="U27" i="4"/>
  <c r="G32" i="4"/>
  <c r="G34" i="4" s="1"/>
  <c r="M33" i="4"/>
  <c r="N33" i="4" s="1"/>
  <c r="O33" i="4" s="1"/>
  <c r="H101" i="4"/>
  <c r="H105" i="4" s="1"/>
  <c r="H93" i="4"/>
  <c r="I91" i="4"/>
  <c r="F34" i="2"/>
  <c r="AJ15" i="4"/>
  <c r="AF15" i="4"/>
  <c r="AB15" i="4"/>
  <c r="X15" i="4"/>
  <c r="T15" i="4"/>
  <c r="P15" i="4"/>
  <c r="L15" i="4"/>
  <c r="H15" i="4"/>
  <c r="AI15" i="4"/>
  <c r="AE15" i="4"/>
  <c r="AA15" i="4"/>
  <c r="W15" i="4"/>
  <c r="S15" i="4"/>
  <c r="O15" i="4"/>
  <c r="K15" i="4"/>
  <c r="G15" i="4"/>
  <c r="V15" i="4"/>
  <c r="AH39" i="4"/>
  <c r="AI39" i="4" s="1"/>
  <c r="AJ39" i="4" s="1"/>
  <c r="AK6" i="4"/>
  <c r="AK7" i="4" s="1"/>
  <c r="AG6" i="4"/>
  <c r="AG7" i="4" s="1"/>
  <c r="AC6" i="4"/>
  <c r="AC7" i="4" s="1"/>
  <c r="Y6" i="4"/>
  <c r="Y7" i="4" s="1"/>
  <c r="U6" i="4"/>
  <c r="U7" i="4" s="1"/>
  <c r="Q6" i="4"/>
  <c r="Q7" i="4" s="1"/>
  <c r="M6" i="4"/>
  <c r="M7" i="4" s="1"/>
  <c r="I6" i="4"/>
  <c r="I7" i="4" s="1"/>
  <c r="AJ6" i="4"/>
  <c r="AJ7" i="4" s="1"/>
  <c r="AF6" i="4"/>
  <c r="AF7" i="4" s="1"/>
  <c r="AB6" i="4"/>
  <c r="AB7" i="4" s="1"/>
  <c r="X6" i="4"/>
  <c r="X7" i="4" s="1"/>
  <c r="T6" i="4"/>
  <c r="T7" i="4" s="1"/>
  <c r="P6" i="4"/>
  <c r="P7" i="4" s="1"/>
  <c r="L6" i="4"/>
  <c r="L7" i="4" s="1"/>
  <c r="H6" i="4"/>
  <c r="H7" i="4" s="1"/>
  <c r="V6" i="4"/>
  <c r="V7" i="4" s="1"/>
  <c r="I15" i="4"/>
  <c r="Y15" i="4"/>
  <c r="I25" i="2"/>
  <c r="E34" i="2"/>
  <c r="E35" i="2" s="1"/>
  <c r="G6" i="4"/>
  <c r="G7" i="4" s="1"/>
  <c r="G8" i="4" s="1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Y8" i="4" s="1"/>
  <c r="Z8" i="4" s="1"/>
  <c r="AA8" i="4" s="1"/>
  <c r="AB8" i="4" s="1"/>
  <c r="AC8" i="4" s="1"/>
  <c r="AD8" i="4" s="1"/>
  <c r="AE8" i="4" s="1"/>
  <c r="AF8" i="4" s="1"/>
  <c r="AG8" i="4" s="1"/>
  <c r="AH8" i="4" s="1"/>
  <c r="AI8" i="4" s="1"/>
  <c r="AJ8" i="4" s="1"/>
  <c r="AK8" i="4" s="1"/>
  <c r="O6" i="4"/>
  <c r="O7" i="4" s="1"/>
  <c r="W6" i="4"/>
  <c r="W7" i="4" s="1"/>
  <c r="AE6" i="4"/>
  <c r="AE7" i="4" s="1"/>
  <c r="J15" i="4"/>
  <c r="R15" i="4"/>
  <c r="Z15" i="4"/>
  <c r="AH15" i="4"/>
  <c r="V39" i="4"/>
  <c r="W39" i="4" s="1"/>
  <c r="X39" i="4" s="1"/>
  <c r="AD39" i="4"/>
  <c r="AE39" i="4" s="1"/>
  <c r="AF39" i="4" s="1"/>
  <c r="H52" i="4"/>
  <c r="G92" i="4"/>
  <c r="G108" i="4" s="1"/>
  <c r="H86" i="4"/>
  <c r="H87" i="4" s="1"/>
  <c r="T129" i="4"/>
  <c r="G9" i="7"/>
  <c r="G5" i="6"/>
  <c r="I10" i="5"/>
  <c r="I10" i="7" s="1"/>
  <c r="V108" i="4" l="1"/>
  <c r="V109" i="4"/>
  <c r="V110" i="4" s="1"/>
  <c r="J62" i="4"/>
  <c r="J63" i="4" s="1"/>
  <c r="M84" i="4"/>
  <c r="L86" i="4"/>
  <c r="L87" i="4" s="1"/>
  <c r="H31" i="2"/>
  <c r="H30" i="2"/>
  <c r="I101" i="4"/>
  <c r="I105" i="4" s="1"/>
  <c r="I93" i="4"/>
  <c r="J91" i="4"/>
  <c r="I24" i="2"/>
  <c r="I27" i="2"/>
  <c r="H34" i="2"/>
  <c r="F8" i="2"/>
  <c r="F5" i="2"/>
  <c r="H71" i="4"/>
  <c r="H79" i="4"/>
  <c r="G5" i="5"/>
  <c r="J38" i="4"/>
  <c r="J40" i="4" s="1"/>
  <c r="G18" i="2"/>
  <c r="X33" i="4"/>
  <c r="U33" i="4"/>
  <c r="V33" i="4" s="1"/>
  <c r="W33" i="4" s="1"/>
  <c r="U129" i="4"/>
  <c r="H5" i="5"/>
  <c r="F23" i="2"/>
  <c r="I44" i="4"/>
  <c r="I46" i="4" s="1"/>
  <c r="T71" i="4"/>
  <c r="S72" i="4"/>
  <c r="S68" i="4"/>
  <c r="J32" i="4"/>
  <c r="J34" i="4" s="1"/>
  <c r="G11" i="2"/>
  <c r="Y27" i="4"/>
  <c r="AB27" i="4"/>
  <c r="E36" i="2"/>
  <c r="G109" i="4"/>
  <c r="G110" i="4" s="1"/>
  <c r="G117" i="4" s="1"/>
  <c r="G34" i="2"/>
  <c r="D36" i="2"/>
  <c r="K50" i="4"/>
  <c r="K52" i="4" s="1"/>
  <c r="G20" i="2" l="1"/>
  <c r="G6" i="5"/>
  <c r="G7" i="5" s="1"/>
  <c r="G134" i="4"/>
  <c r="G139" i="4"/>
  <c r="K25" i="2"/>
  <c r="I26" i="2"/>
  <c r="I69" i="4"/>
  <c r="H14" i="5"/>
  <c r="N84" i="4"/>
  <c r="M86" i="4"/>
  <c r="M87" i="4" s="1"/>
  <c r="J26" i="4"/>
  <c r="J28" i="4" s="1"/>
  <c r="G5" i="2"/>
  <c r="G17" i="2"/>
  <c r="H19" i="2" s="1"/>
  <c r="J44" i="4"/>
  <c r="J46" i="4" s="1"/>
  <c r="G23" i="2"/>
  <c r="F33" i="2"/>
  <c r="H68" i="4"/>
  <c r="H72" i="4"/>
  <c r="I71" i="4"/>
  <c r="J101" i="4"/>
  <c r="J105" i="4" s="1"/>
  <c r="J93" i="4"/>
  <c r="L50" i="4"/>
  <c r="L52" i="4" s="1"/>
  <c r="F35" i="2"/>
  <c r="H66" i="4"/>
  <c r="V129" i="4"/>
  <c r="I79" i="4"/>
  <c r="H80" i="4"/>
  <c r="I5" i="5"/>
  <c r="AF27" i="4"/>
  <c r="AC27" i="4"/>
  <c r="H11" i="2"/>
  <c r="K32" i="4"/>
  <c r="K34" i="4" s="1"/>
  <c r="U71" i="4"/>
  <c r="T72" i="4"/>
  <c r="T68" i="4"/>
  <c r="AB33" i="4"/>
  <c r="Y33" i="4"/>
  <c r="Z33" i="4" s="1"/>
  <c r="AA33" i="4" s="1"/>
  <c r="J27" i="2"/>
  <c r="J24" i="2"/>
  <c r="I30" i="2"/>
  <c r="I31" i="2"/>
  <c r="I34" i="2" s="1"/>
  <c r="I66" i="4" l="1"/>
  <c r="K62" i="4"/>
  <c r="K63" i="4" s="1"/>
  <c r="I8" i="6"/>
  <c r="I9" i="6" s="1"/>
  <c r="Y67" i="4"/>
  <c r="J79" i="4"/>
  <c r="I80" i="4"/>
  <c r="H5" i="2"/>
  <c r="K26" i="4"/>
  <c r="K28" i="4" s="1"/>
  <c r="J69" i="4"/>
  <c r="H8" i="6"/>
  <c r="H9" i="6" s="1"/>
  <c r="H74" i="4"/>
  <c r="X67" i="4"/>
  <c r="H9" i="7"/>
  <c r="H5" i="6"/>
  <c r="L32" i="4"/>
  <c r="L34" i="4" s="1"/>
  <c r="I11" i="2"/>
  <c r="F36" i="2"/>
  <c r="J31" i="2"/>
  <c r="J34" i="2" s="1"/>
  <c r="J30" i="2"/>
  <c r="W129" i="4"/>
  <c r="K44" i="4"/>
  <c r="K46" i="4" s="1"/>
  <c r="H23" i="2"/>
  <c r="G33" i="2"/>
  <c r="G11" i="5"/>
  <c r="G8" i="5"/>
  <c r="J26" i="2"/>
  <c r="L25" i="2"/>
  <c r="AF33" i="4"/>
  <c r="AC33" i="4"/>
  <c r="AD33" i="4" s="1"/>
  <c r="AE33" i="4" s="1"/>
  <c r="G35" i="2"/>
  <c r="I72" i="4"/>
  <c r="I68" i="4"/>
  <c r="J71" i="4"/>
  <c r="K38" i="4"/>
  <c r="K40" i="4" s="1"/>
  <c r="H18" i="2"/>
  <c r="H17" i="2" s="1"/>
  <c r="I19" i="2" s="1"/>
  <c r="K27" i="2"/>
  <c r="K24" i="2"/>
  <c r="M50" i="4"/>
  <c r="M52" i="4" s="1"/>
  <c r="U72" i="4"/>
  <c r="U68" i="4"/>
  <c r="V71" i="4"/>
  <c r="AJ27" i="4"/>
  <c r="AK27" i="4" s="1"/>
  <c r="AG27" i="4"/>
  <c r="L91" i="4"/>
  <c r="K93" i="4"/>
  <c r="K101" i="4"/>
  <c r="K105" i="4" s="1"/>
  <c r="N86" i="4"/>
  <c r="N87" i="4" s="1"/>
  <c r="O84" i="4"/>
  <c r="L62" i="4" l="1"/>
  <c r="L63" i="4" s="1"/>
  <c r="L101" i="4"/>
  <c r="L105" i="4" s="1"/>
  <c r="L93" i="4"/>
  <c r="M91" i="4"/>
  <c r="M95" i="4" s="1"/>
  <c r="V72" i="4"/>
  <c r="V68" i="4"/>
  <c r="W71" i="4"/>
  <c r="L38" i="4"/>
  <c r="L40" i="4" s="1"/>
  <c r="I18" i="2"/>
  <c r="I20" i="2" s="1"/>
  <c r="H35" i="2"/>
  <c r="J72" i="4"/>
  <c r="J68" i="4"/>
  <c r="K71" i="4"/>
  <c r="G36" i="2"/>
  <c r="X129" i="4"/>
  <c r="I81" i="4"/>
  <c r="I70" i="4"/>
  <c r="J80" i="4"/>
  <c r="K79" i="4"/>
  <c r="J5" i="5"/>
  <c r="H81" i="4"/>
  <c r="K26" i="2"/>
  <c r="M25" i="2"/>
  <c r="H20" i="2"/>
  <c r="L44" i="4"/>
  <c r="L46" i="4" s="1"/>
  <c r="I23" i="2"/>
  <c r="H33" i="2"/>
  <c r="N50" i="4"/>
  <c r="N52" i="4" s="1"/>
  <c r="K31" i="2"/>
  <c r="K34" i="2" s="1"/>
  <c r="K30" i="2"/>
  <c r="M32" i="4"/>
  <c r="M34" i="4" s="1"/>
  <c r="J11" i="2"/>
  <c r="L26" i="4"/>
  <c r="L28" i="4" s="1"/>
  <c r="I5" i="2"/>
  <c r="L24" i="2"/>
  <c r="L27" i="2"/>
  <c r="AJ33" i="4"/>
  <c r="AK33" i="4" s="1"/>
  <c r="AG33" i="4"/>
  <c r="AH33" i="4" s="1"/>
  <c r="AI33" i="4" s="1"/>
  <c r="O86" i="4"/>
  <c r="O87" i="4" s="1"/>
  <c r="P84" i="4"/>
  <c r="G15" i="5"/>
  <c r="G12" i="5"/>
  <c r="K69" i="4"/>
  <c r="H36" i="2" l="1"/>
  <c r="L69" i="4"/>
  <c r="K5" i="5"/>
  <c r="J23" i="2"/>
  <c r="M44" i="4"/>
  <c r="M46" i="4" s="1"/>
  <c r="K80" i="4"/>
  <c r="L79" i="4"/>
  <c r="H92" i="4"/>
  <c r="H108" i="4" s="1"/>
  <c r="M101" i="4"/>
  <c r="M105" i="4" s="1"/>
  <c r="M93" i="4"/>
  <c r="N91" i="4"/>
  <c r="O91" i="4" s="1"/>
  <c r="G5" i="7"/>
  <c r="G19" i="5"/>
  <c r="G6" i="7" s="1"/>
  <c r="G16" i="5"/>
  <c r="J8" i="6"/>
  <c r="J9" i="6" s="1"/>
  <c r="Z67" i="4"/>
  <c r="K11" i="2"/>
  <c r="N32" i="4"/>
  <c r="N34" i="4" s="1"/>
  <c r="Y129" i="4"/>
  <c r="L71" i="4"/>
  <c r="K72" i="4"/>
  <c r="K68" i="4"/>
  <c r="X71" i="4"/>
  <c r="W72" i="4"/>
  <c r="W68" i="4"/>
  <c r="L31" i="2"/>
  <c r="L34" i="2" s="1"/>
  <c r="L30" i="2"/>
  <c r="J66" i="4"/>
  <c r="K70" i="4" s="1"/>
  <c r="K14" i="5" s="1"/>
  <c r="N25" i="2"/>
  <c r="L26" i="2"/>
  <c r="J70" i="4"/>
  <c r="J14" i="5" s="1"/>
  <c r="Q84" i="4"/>
  <c r="P86" i="4"/>
  <c r="P87" i="4" s="1"/>
  <c r="M24" i="2"/>
  <c r="M27" i="2"/>
  <c r="M26" i="4"/>
  <c r="M28" i="4" s="1"/>
  <c r="L6" i="2"/>
  <c r="J7" i="2"/>
  <c r="J8" i="2" s="1"/>
  <c r="J5" i="2"/>
  <c r="O50" i="4"/>
  <c r="O52" i="4" s="1"/>
  <c r="I14" i="5"/>
  <c r="I74" i="4"/>
  <c r="I17" i="2"/>
  <c r="J19" i="2" s="1"/>
  <c r="I33" i="2" l="1"/>
  <c r="M62" i="4"/>
  <c r="M63" i="4" s="1"/>
  <c r="K9" i="7"/>
  <c r="K5" i="6"/>
  <c r="I36" i="2"/>
  <c r="N26" i="4"/>
  <c r="N28" i="4" s="1"/>
  <c r="K5" i="2"/>
  <c r="H109" i="4"/>
  <c r="H110" i="4" s="1"/>
  <c r="H117" i="4" s="1"/>
  <c r="M38" i="4"/>
  <c r="M40" i="4" s="1"/>
  <c r="J18" i="2"/>
  <c r="I35" i="2"/>
  <c r="N27" i="2"/>
  <c r="N24" i="2"/>
  <c r="J5" i="6"/>
  <c r="J9" i="7"/>
  <c r="M71" i="4"/>
  <c r="L72" i="4"/>
  <c r="L68" i="4"/>
  <c r="J74" i="4"/>
  <c r="M26" i="2"/>
  <c r="O25" i="2"/>
  <c r="P50" i="4"/>
  <c r="P52" i="4" s="1"/>
  <c r="Y71" i="4"/>
  <c r="X72" i="4"/>
  <c r="X68" i="4"/>
  <c r="Z129" i="4"/>
  <c r="M79" i="4"/>
  <c r="L80" i="4"/>
  <c r="N44" i="4"/>
  <c r="N46" i="4" s="1"/>
  <c r="K23" i="2"/>
  <c r="M69" i="4"/>
  <c r="R84" i="4"/>
  <c r="Q86" i="4"/>
  <c r="Q87" i="4" s="1"/>
  <c r="J81" i="4"/>
  <c r="G20" i="5"/>
  <c r="K8" i="6"/>
  <c r="K9" i="6" s="1"/>
  <c r="K74" i="4"/>
  <c r="AA67" i="4"/>
  <c r="I92" i="4"/>
  <c r="I108" i="4" s="1"/>
  <c r="L5" i="5"/>
  <c r="I9" i="7"/>
  <c r="I5" i="6"/>
  <c r="M30" i="2"/>
  <c r="M31" i="2"/>
  <c r="M34" i="2" s="1"/>
  <c r="L12" i="2"/>
  <c r="O32" i="4"/>
  <c r="O34" i="4" s="1"/>
  <c r="L13" i="2"/>
  <c r="L11" i="2" s="1"/>
  <c r="N93" i="4"/>
  <c r="N101" i="4"/>
  <c r="N105" i="4" s="1"/>
  <c r="K81" i="4"/>
  <c r="M100" i="4" l="1"/>
  <c r="J17" i="2"/>
  <c r="K19" i="2" s="1"/>
  <c r="J20" i="2"/>
  <c r="I109" i="4"/>
  <c r="I110" i="4" s="1"/>
  <c r="I117" i="4" s="1"/>
  <c r="M5" i="5"/>
  <c r="P32" i="4"/>
  <c r="P34" i="4" s="1"/>
  <c r="M11" i="2"/>
  <c r="H6" i="5"/>
  <c r="H7" i="5" s="1"/>
  <c r="H134" i="4"/>
  <c r="H139" i="4"/>
  <c r="O44" i="4"/>
  <c r="O46" i="4" s="1"/>
  <c r="L23" i="2"/>
  <c r="Y72" i="4"/>
  <c r="Z71" i="4"/>
  <c r="Y68" i="4"/>
  <c r="M72" i="4"/>
  <c r="M68" i="4"/>
  <c r="N71" i="4"/>
  <c r="Q50" i="4"/>
  <c r="Q52" i="4" s="1"/>
  <c r="G7" i="7"/>
  <c r="G11" i="7" s="1"/>
  <c r="G4" i="6"/>
  <c r="G6" i="6" s="1"/>
  <c r="G14" i="6" s="1"/>
  <c r="G21" i="5"/>
  <c r="L66" i="4"/>
  <c r="M70" i="4" s="1"/>
  <c r="M14" i="5" s="1"/>
  <c r="N69" i="4"/>
  <c r="AA129" i="4"/>
  <c r="O24" i="2"/>
  <c r="O27" i="2"/>
  <c r="N31" i="2"/>
  <c r="N34" i="2" s="1"/>
  <c r="N30" i="2"/>
  <c r="J92" i="4"/>
  <c r="J108" i="4" s="1"/>
  <c r="J35" i="2"/>
  <c r="O101" i="4"/>
  <c r="O105" i="4" s="1"/>
  <c r="O93" i="4"/>
  <c r="P91" i="4"/>
  <c r="L70" i="4"/>
  <c r="L14" i="5" s="1"/>
  <c r="L7" i="2"/>
  <c r="L8" i="2" s="1"/>
  <c r="L5" i="2"/>
  <c r="O26" i="4"/>
  <c r="O28" i="4" s="1"/>
  <c r="L8" i="6"/>
  <c r="L9" i="6" s="1"/>
  <c r="AB67" i="4"/>
  <c r="L14" i="2"/>
  <c r="R86" i="4"/>
  <c r="R87" i="4" s="1"/>
  <c r="S84" i="4"/>
  <c r="N79" i="4"/>
  <c r="M80" i="4"/>
  <c r="N26" i="2"/>
  <c r="P25" i="2"/>
  <c r="J33" i="2" l="1"/>
  <c r="J36" i="2" s="1"/>
  <c r="K18" i="2"/>
  <c r="K20" i="2" s="1"/>
  <c r="N38" i="4"/>
  <c r="N40" i="4" s="1"/>
  <c r="N5" i="5" s="1"/>
  <c r="N62" i="4"/>
  <c r="N63" i="4" s="1"/>
  <c r="L81" i="4"/>
  <c r="J109" i="4"/>
  <c r="J110" i="4" s="1"/>
  <c r="J117" i="4" s="1"/>
  <c r="J128" i="4" s="1"/>
  <c r="S86" i="4"/>
  <c r="S87" i="4" s="1"/>
  <c r="T84" i="4"/>
  <c r="M5" i="2"/>
  <c r="P26" i="4"/>
  <c r="P28" i="4" s="1"/>
  <c r="P44" i="4"/>
  <c r="P46" i="4" s="1"/>
  <c r="M23" i="2"/>
  <c r="O31" i="2"/>
  <c r="O30" i="2"/>
  <c r="AB129" i="4"/>
  <c r="M5" i="6"/>
  <c r="M9" i="7"/>
  <c r="N72" i="4"/>
  <c r="N68" i="4"/>
  <c r="O71" i="4"/>
  <c r="Z72" i="4"/>
  <c r="AA71" i="4"/>
  <c r="Z68" i="4"/>
  <c r="L9" i="7"/>
  <c r="L5" i="6"/>
  <c r="R50" i="4"/>
  <c r="R52" i="4" s="1"/>
  <c r="O69" i="4"/>
  <c r="N80" i="4"/>
  <c r="O79" i="4"/>
  <c r="P101" i="4"/>
  <c r="P105" i="4" s="1"/>
  <c r="P93" i="4"/>
  <c r="Q91" i="4"/>
  <c r="P24" i="2"/>
  <c r="P27" i="2"/>
  <c r="K92" i="4"/>
  <c r="K108" i="4" s="1"/>
  <c r="G12" i="7"/>
  <c r="G17" i="7"/>
  <c r="Q32" i="4"/>
  <c r="Q34" i="4" s="1"/>
  <c r="N11" i="2"/>
  <c r="H11" i="5"/>
  <c r="H8" i="5"/>
  <c r="L74" i="4"/>
  <c r="AC67" i="4"/>
  <c r="M8" i="6"/>
  <c r="M9" i="6" s="1"/>
  <c r="M74" i="4"/>
  <c r="O26" i="2"/>
  <c r="Q25" i="2"/>
  <c r="M66" i="4"/>
  <c r="I6" i="5"/>
  <c r="I7" i="5" s="1"/>
  <c r="I134" i="4"/>
  <c r="I135" i="4" s="1"/>
  <c r="I139" i="4"/>
  <c r="N100" i="4" l="1"/>
  <c r="K17" i="2"/>
  <c r="L19" i="2" s="1"/>
  <c r="O62" i="4"/>
  <c r="O63" i="4" s="1"/>
  <c r="K109" i="4"/>
  <c r="K110" i="4" s="1"/>
  <c r="K117" i="4" s="1"/>
  <c r="K128" i="4" s="1"/>
  <c r="J6" i="5"/>
  <c r="J7" i="5" s="1"/>
  <c r="R32" i="4"/>
  <c r="R34" i="4" s="1"/>
  <c r="O11" i="2"/>
  <c r="Q24" i="2"/>
  <c r="Q27" i="2"/>
  <c r="O80" i="4"/>
  <c r="P79" i="4"/>
  <c r="N23" i="2"/>
  <c r="Q44" i="4"/>
  <c r="Q46" i="4" s="1"/>
  <c r="I11" i="5"/>
  <c r="I8" i="5"/>
  <c r="R25" i="2"/>
  <c r="P26" i="2"/>
  <c r="P71" i="4"/>
  <c r="O72" i="4"/>
  <c r="O68" i="4"/>
  <c r="P31" i="2"/>
  <c r="P34" i="2" s="1"/>
  <c r="P30" i="2"/>
  <c r="Q26" i="4"/>
  <c r="Q28" i="4" s="1"/>
  <c r="N7" i="2"/>
  <c r="N8" i="2" s="1"/>
  <c r="P6" i="2"/>
  <c r="L92" i="4"/>
  <c r="L108" i="4" s="1"/>
  <c r="N70" i="4"/>
  <c r="N14" i="5" s="1"/>
  <c r="S50" i="4"/>
  <c r="S52" i="4" s="1"/>
  <c r="N66" i="4"/>
  <c r="H15" i="5"/>
  <c r="H12" i="5"/>
  <c r="G18" i="7"/>
  <c r="L18" i="2"/>
  <c r="L20" i="2" s="1"/>
  <c r="L17" i="2"/>
  <c r="M19" i="2" s="1"/>
  <c r="O38" i="4"/>
  <c r="O40" i="4" s="1"/>
  <c r="K35" i="2"/>
  <c r="K33" i="2"/>
  <c r="AC129" i="4"/>
  <c r="M81" i="4"/>
  <c r="U84" i="4"/>
  <c r="T86" i="4"/>
  <c r="T87" i="4" s="1"/>
  <c r="O34" i="2"/>
  <c r="Q101" i="4"/>
  <c r="Q105" i="4" s="1"/>
  <c r="Q93" i="4"/>
  <c r="R91" i="4"/>
  <c r="S91" i="4" s="1"/>
  <c r="P69" i="4"/>
  <c r="AB71" i="4"/>
  <c r="AA72" i="4"/>
  <c r="AA68" i="4"/>
  <c r="P62" i="4" l="1"/>
  <c r="P63" i="4" s="1"/>
  <c r="N81" i="4"/>
  <c r="O70" i="4"/>
  <c r="O14" i="5" s="1"/>
  <c r="K6" i="5"/>
  <c r="K7" i="5" s="1"/>
  <c r="L109" i="4"/>
  <c r="L110" i="4" s="1"/>
  <c r="L117" i="4" s="1"/>
  <c r="L128" i="4" s="1"/>
  <c r="Q30" i="2"/>
  <c r="Q31" i="2"/>
  <c r="R44" i="4"/>
  <c r="R46" i="4" s="1"/>
  <c r="O23" i="2"/>
  <c r="R27" i="2"/>
  <c r="R24" i="2"/>
  <c r="J8" i="5"/>
  <c r="P38" i="4"/>
  <c r="P40" i="4" s="1"/>
  <c r="M18" i="2"/>
  <c r="M20" i="2" s="1"/>
  <c r="L35" i="2"/>
  <c r="L33" i="2"/>
  <c r="H5" i="7"/>
  <c r="H19" i="5"/>
  <c r="H6" i="7" s="1"/>
  <c r="H16" i="5"/>
  <c r="N5" i="6"/>
  <c r="N9" i="7"/>
  <c r="T50" i="4"/>
  <c r="T52" i="4" s="1"/>
  <c r="J132" i="4"/>
  <c r="J130" i="4"/>
  <c r="Q69" i="4"/>
  <c r="V84" i="4"/>
  <c r="U86" i="4"/>
  <c r="U87" i="4" s="1"/>
  <c r="K36" i="2"/>
  <c r="O100" i="4"/>
  <c r="R93" i="4"/>
  <c r="R101" i="4"/>
  <c r="R105" i="4" s="1"/>
  <c r="N8" i="6"/>
  <c r="N9" i="6" s="1"/>
  <c r="AD67" i="4"/>
  <c r="N74" i="4"/>
  <c r="I12" i="5"/>
  <c r="I15" i="5"/>
  <c r="Q79" i="4"/>
  <c r="P80" i="4"/>
  <c r="Q26" i="2"/>
  <c r="S25" i="2"/>
  <c r="P68" i="4"/>
  <c r="P72" i="4"/>
  <c r="AC71" i="4"/>
  <c r="AB72" i="4"/>
  <c r="AB68" i="4"/>
  <c r="AD129" i="4"/>
  <c r="O5" i="5"/>
  <c r="N5" i="2"/>
  <c r="P13" i="2"/>
  <c r="T12" i="2"/>
  <c r="S32" i="4"/>
  <c r="S34" i="4" s="1"/>
  <c r="P12" i="2"/>
  <c r="P14" i="2" s="1"/>
  <c r="M17" i="2" l="1"/>
  <c r="N19" i="2" s="1"/>
  <c r="L6" i="5"/>
  <c r="L7" i="5" s="1"/>
  <c r="AD68" i="4"/>
  <c r="R69" i="4"/>
  <c r="U50" i="4"/>
  <c r="U52" i="4" s="1"/>
  <c r="R30" i="2"/>
  <c r="R31" i="2"/>
  <c r="M108" i="4"/>
  <c r="R79" i="4"/>
  <c r="Q80" i="4"/>
  <c r="R26" i="4"/>
  <c r="R28" i="4" s="1"/>
  <c r="O5" i="2"/>
  <c r="I5" i="7"/>
  <c r="I16" i="5"/>
  <c r="I19" i="5"/>
  <c r="I6" i="7" s="1"/>
  <c r="H20" i="5"/>
  <c r="P100" i="4"/>
  <c r="L36" i="2"/>
  <c r="R26" i="2"/>
  <c r="T25" i="2"/>
  <c r="S44" i="4"/>
  <c r="S46" i="4" s="1"/>
  <c r="P23" i="2"/>
  <c r="K130" i="4"/>
  <c r="K132" i="4"/>
  <c r="R34" i="2"/>
  <c r="S27" i="2"/>
  <c r="S24" i="2"/>
  <c r="O9" i="7"/>
  <c r="O5" i="6"/>
  <c r="P11" i="2"/>
  <c r="AE129" i="4"/>
  <c r="AC72" i="4"/>
  <c r="AD71" i="4"/>
  <c r="AC68" i="4"/>
  <c r="T91" i="4"/>
  <c r="S93" i="4"/>
  <c r="S101" i="4"/>
  <c r="S105" i="4" s="1"/>
  <c r="V86" i="4"/>
  <c r="V87" i="4" s="1"/>
  <c r="W84" i="4"/>
  <c r="J134" i="4"/>
  <c r="J10" i="5"/>
  <c r="J139" i="4"/>
  <c r="P5" i="5"/>
  <c r="Q34" i="2"/>
  <c r="K8" i="5"/>
  <c r="M35" i="2" l="1"/>
  <c r="N18" i="2"/>
  <c r="N17" i="2" s="1"/>
  <c r="O19" i="2" s="1"/>
  <c r="Q62" i="4"/>
  <c r="Q63" i="4" s="1"/>
  <c r="M33" i="2"/>
  <c r="M36" i="2" s="1"/>
  <c r="Q38" i="4"/>
  <c r="Q40" i="4" s="1"/>
  <c r="Q5" i="5" s="1"/>
  <c r="M114" i="4"/>
  <c r="M115" i="4" s="1"/>
  <c r="M109" i="4"/>
  <c r="M110" i="4" s="1"/>
  <c r="T44" i="4"/>
  <c r="T46" i="4" s="1"/>
  <c r="Q23" i="2"/>
  <c r="J10" i="7"/>
  <c r="J11" i="5"/>
  <c r="P7" i="2"/>
  <c r="P8" i="2" s="1"/>
  <c r="S26" i="4"/>
  <c r="S28" i="4" s="1"/>
  <c r="N108" i="4"/>
  <c r="W86" i="4"/>
  <c r="W87" i="4" s="1"/>
  <c r="X84" i="4"/>
  <c r="T32" i="4"/>
  <c r="T34" i="4" s="1"/>
  <c r="Q11" i="2"/>
  <c r="S26" i="2"/>
  <c r="U25" i="2"/>
  <c r="K10" i="5"/>
  <c r="K134" i="4"/>
  <c r="K139" i="4"/>
  <c r="I20" i="5"/>
  <c r="S31" i="2"/>
  <c r="S34" i="2" s="1"/>
  <c r="S30" i="2"/>
  <c r="L132" i="4"/>
  <c r="L130" i="4"/>
  <c r="AF129" i="4"/>
  <c r="AD72" i="4"/>
  <c r="AE71" i="4"/>
  <c r="T101" i="4"/>
  <c r="T105" i="4" s="1"/>
  <c r="T93" i="4"/>
  <c r="U91" i="4"/>
  <c r="T24" i="2"/>
  <c r="T27" i="2"/>
  <c r="H4" i="6"/>
  <c r="H6" i="6" s="1"/>
  <c r="H14" i="6" s="1"/>
  <c r="H7" i="7"/>
  <c r="H11" i="7" s="1"/>
  <c r="H21" i="5"/>
  <c r="R80" i="4"/>
  <c r="S79" i="4"/>
  <c r="V50" i="4"/>
  <c r="V52" i="4" s="1"/>
  <c r="S69" i="4"/>
  <c r="O8" i="6"/>
  <c r="O9" i="6" s="1"/>
  <c r="O74" i="4"/>
  <c r="AE67" i="4"/>
  <c r="O66" i="4"/>
  <c r="L8" i="5"/>
  <c r="N20" i="2" l="1"/>
  <c r="Q100" i="4"/>
  <c r="R62" i="4"/>
  <c r="R63" i="4" s="1"/>
  <c r="N33" i="2"/>
  <c r="N36" i="2" s="1"/>
  <c r="O18" i="2"/>
  <c r="O20" i="2" s="1"/>
  <c r="N35" i="2"/>
  <c r="R38" i="4"/>
  <c r="R40" i="4" s="1"/>
  <c r="R5" i="5" s="1"/>
  <c r="R100" i="4"/>
  <c r="Y84" i="4"/>
  <c r="X86" i="4"/>
  <c r="X87" i="4" s="1"/>
  <c r="V25" i="2"/>
  <c r="T26" i="2"/>
  <c r="L10" i="5"/>
  <c r="L134" i="4"/>
  <c r="L139" i="4"/>
  <c r="I7" i="7"/>
  <c r="I11" i="7" s="1"/>
  <c r="I4" i="6"/>
  <c r="I6" i="6" s="1"/>
  <c r="I14" i="6" s="1"/>
  <c r="I21" i="5"/>
  <c r="K10" i="7"/>
  <c r="K11" i="5"/>
  <c r="J12" i="5"/>
  <c r="J15" i="5"/>
  <c r="R23" i="2"/>
  <c r="U44" i="4"/>
  <c r="U46" i="4" s="1"/>
  <c r="M117" i="4"/>
  <c r="M128" i="4" s="1"/>
  <c r="U24" i="2"/>
  <c r="U27" i="2"/>
  <c r="AF71" i="4"/>
  <c r="AE72" i="4"/>
  <c r="H17" i="7"/>
  <c r="H12" i="7"/>
  <c r="P66" i="4"/>
  <c r="O81" i="4"/>
  <c r="P70" i="4"/>
  <c r="P14" i="5" s="1"/>
  <c r="U101" i="4"/>
  <c r="U105" i="4" s="1"/>
  <c r="U93" i="4"/>
  <c r="W91" i="4"/>
  <c r="AG129" i="4"/>
  <c r="W50" i="4"/>
  <c r="W52" i="4" s="1"/>
  <c r="U32" i="4"/>
  <c r="U34" i="4" s="1"/>
  <c r="R11" i="2"/>
  <c r="N114" i="4"/>
  <c r="N115" i="4" s="1"/>
  <c r="N109" i="4"/>
  <c r="N110" i="4" s="1"/>
  <c r="P5" i="2"/>
  <c r="T69" i="4"/>
  <c r="S80" i="4"/>
  <c r="T79" i="4"/>
  <c r="AE68" i="4"/>
  <c r="P8" i="6"/>
  <c r="P9" i="6" s="1"/>
  <c r="AF67" i="4"/>
  <c r="AF68" i="4" s="1"/>
  <c r="T31" i="2"/>
  <c r="T34" i="2" s="1"/>
  <c r="T30" i="2"/>
  <c r="W97" i="4" l="1"/>
  <c r="W95" i="4"/>
  <c r="O17" i="2"/>
  <c r="P19" i="2" s="1"/>
  <c r="P74" i="4"/>
  <c r="S23" i="2"/>
  <c r="V44" i="4"/>
  <c r="V46" i="4" s="1"/>
  <c r="P9" i="7"/>
  <c r="P5" i="6"/>
  <c r="AG71" i="4"/>
  <c r="AF72" i="4"/>
  <c r="M6" i="5"/>
  <c r="M7" i="5" s="1"/>
  <c r="J5" i="7"/>
  <c r="J19" i="5"/>
  <c r="J6" i="7" s="1"/>
  <c r="J16" i="5"/>
  <c r="T26" i="4"/>
  <c r="T28" i="4" s="1"/>
  <c r="Q5" i="2"/>
  <c r="U26" i="2"/>
  <c r="W25" i="2"/>
  <c r="X50" i="4"/>
  <c r="X52" i="4" s="1"/>
  <c r="AH129" i="4"/>
  <c r="U79" i="4"/>
  <c r="T80" i="4"/>
  <c r="L10" i="7"/>
  <c r="L11" i="5"/>
  <c r="S11" i="2"/>
  <c r="V32" i="4"/>
  <c r="V34" i="4" s="1"/>
  <c r="Q66" i="4"/>
  <c r="Q70" i="4"/>
  <c r="Q14" i="5" s="1"/>
  <c r="P81" i="4"/>
  <c r="Z84" i="4"/>
  <c r="Y86" i="4"/>
  <c r="Y87" i="4" s="1"/>
  <c r="U69" i="4"/>
  <c r="U30" i="2"/>
  <c r="U31" i="2"/>
  <c r="Q8" i="6"/>
  <c r="Q9" i="6" s="1"/>
  <c r="AG67" i="4"/>
  <c r="AG68" i="4" s="1"/>
  <c r="S38" i="4"/>
  <c r="S40" i="4" s="1"/>
  <c r="P18" i="2"/>
  <c r="O33" i="2"/>
  <c r="N117" i="4"/>
  <c r="N128" i="4" s="1"/>
  <c r="O108" i="4"/>
  <c r="H18" i="7"/>
  <c r="V27" i="2"/>
  <c r="V24" i="2"/>
  <c r="K15" i="5"/>
  <c r="K12" i="5"/>
  <c r="I12" i="7"/>
  <c r="I17" i="7"/>
  <c r="I18" i="7" s="1"/>
  <c r="O35" i="2" l="1"/>
  <c r="S62" i="4"/>
  <c r="S63" i="4" s="1"/>
  <c r="P17" i="2"/>
  <c r="Q19" i="2" s="1"/>
  <c r="Q74" i="4"/>
  <c r="O114" i="4"/>
  <c r="O115" i="4" s="1"/>
  <c r="O109" i="4"/>
  <c r="O110" i="4" s="1"/>
  <c r="V31" i="2"/>
  <c r="V34" i="2" s="1"/>
  <c r="V30" i="2"/>
  <c r="T11" i="2"/>
  <c r="W32" i="4"/>
  <c r="W34" i="4" s="1"/>
  <c r="T13" i="2"/>
  <c r="T14" i="2" s="1"/>
  <c r="V79" i="4"/>
  <c r="U80" i="4"/>
  <c r="N6" i="5"/>
  <c r="N7" i="5" s="1"/>
  <c r="Y50" i="4"/>
  <c r="Y52" i="4" s="1"/>
  <c r="L12" i="5"/>
  <c r="L15" i="5"/>
  <c r="R8" i="6"/>
  <c r="R9" i="6" s="1"/>
  <c r="AH67" i="4"/>
  <c r="M132" i="4"/>
  <c r="M130" i="4"/>
  <c r="R70" i="4"/>
  <c r="R14" i="5" s="1"/>
  <c r="Q81" i="4"/>
  <c r="M8" i="5"/>
  <c r="W44" i="4"/>
  <c r="W46" i="4" s="1"/>
  <c r="T23" i="2"/>
  <c r="U34" i="2"/>
  <c r="T38" i="4"/>
  <c r="T40" i="4" s="1"/>
  <c r="Z86" i="4"/>
  <c r="Z87" i="4" s="1"/>
  <c r="AA84" i="4"/>
  <c r="K16" i="5"/>
  <c r="K5" i="7"/>
  <c r="K19" i="5"/>
  <c r="K6" i="7" s="1"/>
  <c r="W24" i="2"/>
  <c r="W27" i="2"/>
  <c r="P20" i="2"/>
  <c r="V69" i="4"/>
  <c r="W101" i="4"/>
  <c r="W105" i="4" s="1"/>
  <c r="X91" i="4"/>
  <c r="W93" i="4"/>
  <c r="AI129" i="4"/>
  <c r="V26" i="2"/>
  <c r="X25" i="2"/>
  <c r="S5" i="5"/>
  <c r="O36" i="2"/>
  <c r="Q9" i="7"/>
  <c r="Q5" i="6"/>
  <c r="U26" i="4"/>
  <c r="U28" i="4" s="1"/>
  <c r="T6" i="2"/>
  <c r="T8" i="2" s="1"/>
  <c r="R5" i="2"/>
  <c r="R7" i="2"/>
  <c r="R8" i="2" s="1"/>
  <c r="J20" i="5"/>
  <c r="AG72" i="4"/>
  <c r="AH71" i="4"/>
  <c r="X97" i="4" l="1"/>
  <c r="X101" i="4" s="1"/>
  <c r="X105" i="4" s="1"/>
  <c r="X95" i="4"/>
  <c r="P33" i="2"/>
  <c r="P36" i="2" s="1"/>
  <c r="P35" i="2"/>
  <c r="Q18" i="2"/>
  <c r="K20" i="5"/>
  <c r="K4" i="6" s="1"/>
  <c r="K6" i="6" s="1"/>
  <c r="K14" i="6" s="1"/>
  <c r="T62" i="4"/>
  <c r="T63" i="4" s="1"/>
  <c r="S100" i="4"/>
  <c r="R74" i="4"/>
  <c r="Q17" i="2"/>
  <c r="R19" i="2" s="1"/>
  <c r="P108" i="4"/>
  <c r="P109" i="4" s="1"/>
  <c r="AH72" i="4"/>
  <c r="AI71" i="4"/>
  <c r="W26" i="2"/>
  <c r="Y25" i="2"/>
  <c r="X32" i="4"/>
  <c r="X34" i="4" s="1"/>
  <c r="U11" i="2"/>
  <c r="O117" i="4"/>
  <c r="O128" i="4" s="1"/>
  <c r="X24" i="2"/>
  <c r="X27" i="2"/>
  <c r="X44" i="4"/>
  <c r="X46" i="4" s="1"/>
  <c r="U23" i="2"/>
  <c r="J7" i="7"/>
  <c r="J11" i="7" s="1"/>
  <c r="J21" i="5"/>
  <c r="J4" i="6"/>
  <c r="J6" i="6" s="1"/>
  <c r="J14" i="6" s="1"/>
  <c r="S66" i="4"/>
  <c r="X93" i="4"/>
  <c r="Y91" i="4"/>
  <c r="W69" i="4"/>
  <c r="T5" i="5"/>
  <c r="R5" i="6"/>
  <c r="R9" i="7"/>
  <c r="M134" i="4"/>
  <c r="M135" i="4" s="1"/>
  <c r="M10" i="5"/>
  <c r="M139" i="4"/>
  <c r="L19" i="5"/>
  <c r="L6" i="7" s="1"/>
  <c r="L16" i="5"/>
  <c r="L5" i="7"/>
  <c r="N8" i="5"/>
  <c r="V80" i="4"/>
  <c r="W79" i="4"/>
  <c r="Z50" i="4"/>
  <c r="Z52" i="4" s="1"/>
  <c r="V26" i="4"/>
  <c r="V28" i="4" s="1"/>
  <c r="S5" i="2"/>
  <c r="AJ129" i="4"/>
  <c r="AA86" i="4"/>
  <c r="AA87" i="4" s="1"/>
  <c r="AB84" i="4"/>
  <c r="Q20" i="2"/>
  <c r="S70" i="4"/>
  <c r="S14" i="5" s="1"/>
  <c r="R81" i="4"/>
  <c r="AH68" i="4"/>
  <c r="N132" i="4"/>
  <c r="N130" i="4"/>
  <c r="W31" i="2"/>
  <c r="W30" i="2"/>
  <c r="Y97" i="4" l="1"/>
  <c r="Y95" i="4"/>
  <c r="K7" i="7"/>
  <c r="K11" i="7" s="1"/>
  <c r="K12" i="7" s="1"/>
  <c r="Q35" i="2"/>
  <c r="Q33" i="2"/>
  <c r="K21" i="5"/>
  <c r="R18" i="2"/>
  <c r="R20" i="2" s="1"/>
  <c r="T100" i="4"/>
  <c r="P114" i="4"/>
  <c r="P115" i="4" s="1"/>
  <c r="U38" i="4"/>
  <c r="U40" i="4" s="1"/>
  <c r="U62" i="4"/>
  <c r="U63" i="4" s="1"/>
  <c r="P110" i="4"/>
  <c r="Q108" i="4"/>
  <c r="Q114" i="4" s="1"/>
  <c r="Q115" i="4" s="1"/>
  <c r="L20" i="5"/>
  <c r="L4" i="6" s="1"/>
  <c r="L6" i="6" s="1"/>
  <c r="L14" i="6" s="1"/>
  <c r="J17" i="7"/>
  <c r="J12" i="7"/>
  <c r="V23" i="2"/>
  <c r="Y44" i="4"/>
  <c r="Y46" i="4" s="1"/>
  <c r="Z25" i="2"/>
  <c r="X26" i="2"/>
  <c r="S5" i="6"/>
  <c r="S9" i="7"/>
  <c r="W26" i="4"/>
  <c r="W28" i="4" s="1"/>
  <c r="T5" i="2"/>
  <c r="W80" i="4"/>
  <c r="X79" i="4"/>
  <c r="X69" i="4"/>
  <c r="S8" i="6"/>
  <c r="S9" i="6" s="1"/>
  <c r="S74" i="4"/>
  <c r="AI67" i="4"/>
  <c r="AI68" i="4" s="1"/>
  <c r="T66" i="4"/>
  <c r="AJ71" i="4"/>
  <c r="AI72" i="4"/>
  <c r="AC84" i="4"/>
  <c r="AB86" i="4"/>
  <c r="AB87" i="4" s="1"/>
  <c r="M10" i="7"/>
  <c r="M11" i="5"/>
  <c r="Y24" i="2"/>
  <c r="Y27" i="2"/>
  <c r="O6" i="5"/>
  <c r="O7" i="5" s="1"/>
  <c r="Q36" i="2"/>
  <c r="X31" i="2"/>
  <c r="X30" i="2"/>
  <c r="N10" i="5"/>
  <c r="N134" i="4"/>
  <c r="N139" i="4"/>
  <c r="AA50" i="4"/>
  <c r="AA52" i="4" s="1"/>
  <c r="T70" i="4"/>
  <c r="T14" i="5" s="1"/>
  <c r="S81" i="4"/>
  <c r="AK129" i="4"/>
  <c r="Y101" i="4"/>
  <c r="Y105" i="4" s="1"/>
  <c r="Y93" i="4"/>
  <c r="Z91" i="4"/>
  <c r="W34" i="2"/>
  <c r="Y32" i="4"/>
  <c r="Y34" i="4" s="1"/>
  <c r="V11" i="2"/>
  <c r="U5" i="5"/>
  <c r="AA91" i="4" l="1"/>
  <c r="Z97" i="4"/>
  <c r="Z95" i="4"/>
  <c r="K17" i="7"/>
  <c r="K18" i="7" s="1"/>
  <c r="P117" i="4"/>
  <c r="R17" i="2"/>
  <c r="S19" i="2" s="1"/>
  <c r="U100" i="4"/>
  <c r="L7" i="7"/>
  <c r="L11" i="7" s="1"/>
  <c r="L17" i="7" s="1"/>
  <c r="L18" i="7" s="1"/>
  <c r="Q109" i="4"/>
  <c r="Q110" i="4" s="1"/>
  <c r="Q117" i="4" s="1"/>
  <c r="Q128" i="4" s="1"/>
  <c r="L21" i="5"/>
  <c r="R108" i="4"/>
  <c r="R109" i="4" s="1"/>
  <c r="R110" i="4" s="1"/>
  <c r="Z101" i="4"/>
  <c r="Z105" i="4" s="1"/>
  <c r="Z93" i="4"/>
  <c r="AB50" i="4"/>
  <c r="AB52" i="4" s="1"/>
  <c r="Z27" i="2"/>
  <c r="Z24" i="2"/>
  <c r="AD84" i="4"/>
  <c r="AC86" i="4"/>
  <c r="AC87" i="4" s="1"/>
  <c r="T8" i="6"/>
  <c r="T9" i="6" s="1"/>
  <c r="T74" i="4"/>
  <c r="AJ67" i="4"/>
  <c r="AJ68" i="4" s="1"/>
  <c r="Z44" i="4"/>
  <c r="Z46" i="4" s="1"/>
  <c r="W23" i="2"/>
  <c r="U70" i="4"/>
  <c r="U14" i="5" s="1"/>
  <c r="T81" i="4"/>
  <c r="Y30" i="2"/>
  <c r="Y31" i="2"/>
  <c r="Y34" i="2" s="1"/>
  <c r="O130" i="4"/>
  <c r="O132" i="4"/>
  <c r="AA25" i="2"/>
  <c r="Y26" i="2"/>
  <c r="AK71" i="4"/>
  <c r="AK72" i="4" s="1"/>
  <c r="AJ72" i="4"/>
  <c r="Y69" i="4"/>
  <c r="Y79" i="4"/>
  <c r="X80" i="4"/>
  <c r="O8" i="5"/>
  <c r="M12" i="5"/>
  <c r="M15" i="5"/>
  <c r="Z32" i="4"/>
  <c r="Z34" i="4" s="1"/>
  <c r="W11" i="2"/>
  <c r="T9" i="7"/>
  <c r="T5" i="6"/>
  <c r="N10" i="7"/>
  <c r="N11" i="5"/>
  <c r="X34" i="2"/>
  <c r="U5" i="2"/>
  <c r="X26" i="4"/>
  <c r="X28" i="4" s="1"/>
  <c r="V38" i="4"/>
  <c r="V40" i="4" s="1"/>
  <c r="S18" i="2"/>
  <c r="R35" i="2"/>
  <c r="R33" i="2"/>
  <c r="J18" i="7"/>
  <c r="P6" i="5" l="1"/>
  <c r="P7" i="5" s="1"/>
  <c r="P8" i="5" s="1"/>
  <c r="P128" i="4"/>
  <c r="P132" i="4" s="1"/>
  <c r="P134" i="4" s="1"/>
  <c r="AA97" i="4"/>
  <c r="AA95" i="4"/>
  <c r="V62" i="4"/>
  <c r="V63" i="4" s="1"/>
  <c r="L12" i="7"/>
  <c r="R114" i="4"/>
  <c r="R115" i="4" s="1"/>
  <c r="R117" i="4" s="1"/>
  <c r="R128" i="4" s="1"/>
  <c r="Z69" i="4"/>
  <c r="AC50" i="4"/>
  <c r="AC52" i="4" s="1"/>
  <c r="S108" i="4"/>
  <c r="R36" i="2"/>
  <c r="S20" i="2"/>
  <c r="Q6" i="5"/>
  <c r="Q7" i="5" s="1"/>
  <c r="M5" i="7"/>
  <c r="M19" i="5"/>
  <c r="M6" i="7" s="1"/>
  <c r="M16" i="5"/>
  <c r="U8" i="6"/>
  <c r="U9" i="6" s="1"/>
  <c r="AK67" i="4"/>
  <c r="AK68" i="4" s="1"/>
  <c r="U74" i="4"/>
  <c r="O10" i="5"/>
  <c r="O134" i="4"/>
  <c r="O139" i="4"/>
  <c r="AA27" i="2"/>
  <c r="AA24" i="2"/>
  <c r="Y26" i="4"/>
  <c r="Y28" i="4" s="1"/>
  <c r="V7" i="2"/>
  <c r="V5" i="2"/>
  <c r="V5" i="5"/>
  <c r="X11" i="2"/>
  <c r="X12" i="2"/>
  <c r="X13" i="2"/>
  <c r="AA32" i="4"/>
  <c r="AA34" i="4" s="1"/>
  <c r="Z79" i="4"/>
  <c r="Y80" i="4"/>
  <c r="U9" i="7"/>
  <c r="U5" i="6"/>
  <c r="AA44" i="4"/>
  <c r="AA46" i="4" s="1"/>
  <c r="X23" i="2"/>
  <c r="AD86" i="4"/>
  <c r="AD87" i="4" s="1"/>
  <c r="AE84" i="4"/>
  <c r="AB91" i="4"/>
  <c r="AA93" i="4"/>
  <c r="AA101" i="4"/>
  <c r="AA105" i="4" s="1"/>
  <c r="N15" i="5"/>
  <c r="N12" i="5"/>
  <c r="S17" i="2"/>
  <c r="T19" i="2" s="1"/>
  <c r="Z30" i="2"/>
  <c r="Z31" i="2"/>
  <c r="U66" i="4"/>
  <c r="Z26" i="2"/>
  <c r="AB25" i="2"/>
  <c r="P130" i="4" l="1"/>
  <c r="R132" i="4"/>
  <c r="R10" i="5" s="1"/>
  <c r="R10" i="7" s="1"/>
  <c r="R130" i="4"/>
  <c r="AB97" i="4"/>
  <c r="AB95" i="4"/>
  <c r="P139" i="4"/>
  <c r="P10" i="5"/>
  <c r="P10" i="7" s="1"/>
  <c r="W62" i="4"/>
  <c r="W63" i="4" s="1"/>
  <c r="M20" i="5"/>
  <c r="M21" i="5" s="1"/>
  <c r="S114" i="4"/>
  <c r="S115" i="4" s="1"/>
  <c r="S109" i="4"/>
  <c r="S110" i="4" s="1"/>
  <c r="AE86" i="4"/>
  <c r="AE87" i="4" s="1"/>
  <c r="AF84" i="4"/>
  <c r="Z80" i="4"/>
  <c r="AA79" i="4"/>
  <c r="AB32" i="4"/>
  <c r="AB34" i="4" s="1"/>
  <c r="Y11" i="2"/>
  <c r="Q8" i="5"/>
  <c r="AA69" i="4"/>
  <c r="V70" i="4"/>
  <c r="V14" i="5" s="1"/>
  <c r="U81" i="4"/>
  <c r="Q132" i="4"/>
  <c r="Q130" i="4"/>
  <c r="T108" i="4"/>
  <c r="T18" i="2"/>
  <c r="W38" i="4"/>
  <c r="W40" i="4" s="1"/>
  <c r="S35" i="2"/>
  <c r="S33" i="2"/>
  <c r="AD50" i="4"/>
  <c r="AD52" i="4" s="1"/>
  <c r="AB101" i="4"/>
  <c r="AB105" i="4" s="1"/>
  <c r="AB93" i="4"/>
  <c r="AC91" i="4"/>
  <c r="Z26" i="4"/>
  <c r="Z28" i="4" s="1"/>
  <c r="W5" i="2"/>
  <c r="AA31" i="2"/>
  <c r="AA30" i="2"/>
  <c r="AA26" i="2"/>
  <c r="AC25" i="2"/>
  <c r="N5" i="7"/>
  <c r="N19" i="5"/>
  <c r="N6" i="7" s="1"/>
  <c r="N16" i="5"/>
  <c r="AB24" i="2"/>
  <c r="AA34" i="2"/>
  <c r="AB27" i="2"/>
  <c r="O10" i="7"/>
  <c r="O11" i="5"/>
  <c r="R6" i="5"/>
  <c r="R7" i="5" s="1"/>
  <c r="AB44" i="4"/>
  <c r="AB46" i="4" s="1"/>
  <c r="Y23" i="2"/>
  <c r="X14" i="2"/>
  <c r="V8" i="2"/>
  <c r="X6" i="2"/>
  <c r="Z34" i="2"/>
  <c r="R134" i="4" l="1"/>
  <c r="R139" i="4"/>
  <c r="P11" i="5"/>
  <c r="P15" i="5" s="1"/>
  <c r="AC97" i="4"/>
  <c r="AC95" i="4"/>
  <c r="M4" i="6"/>
  <c r="M6" i="6" s="1"/>
  <c r="M14" i="6" s="1"/>
  <c r="M7" i="7"/>
  <c r="M11" i="7" s="1"/>
  <c r="M17" i="7" s="1"/>
  <c r="V8" i="6"/>
  <c r="V9" i="6" s="1"/>
  <c r="V74" i="4"/>
  <c r="Z23" i="2"/>
  <c r="AC44" i="4"/>
  <c r="AC46" i="4" s="1"/>
  <c r="N20" i="5"/>
  <c r="T20" i="2"/>
  <c r="AB69" i="4"/>
  <c r="P12" i="5"/>
  <c r="AA80" i="4"/>
  <c r="AB79" i="4"/>
  <c r="AA26" i="4"/>
  <c r="AA28" i="4" s="1"/>
  <c r="X7" i="2"/>
  <c r="X5" i="2"/>
  <c r="T114" i="4"/>
  <c r="T115" i="4" s="1"/>
  <c r="T109" i="4"/>
  <c r="T110" i="4" s="1"/>
  <c r="V9" i="7"/>
  <c r="V5" i="6"/>
  <c r="X8" i="2"/>
  <c r="W5" i="5"/>
  <c r="V66" i="4"/>
  <c r="AC32" i="4"/>
  <c r="AC34" i="4" s="1"/>
  <c r="Z11" i="2"/>
  <c r="S117" i="4"/>
  <c r="S128" i="4" s="1"/>
  <c r="AC24" i="2"/>
  <c r="AC27" i="2"/>
  <c r="R8" i="5"/>
  <c r="R11" i="5"/>
  <c r="AE50" i="4"/>
  <c r="AE52" i="4" s="1"/>
  <c r="O15" i="5"/>
  <c r="O12" i="5"/>
  <c r="AD25" i="2"/>
  <c r="AB26" i="2"/>
  <c r="AB31" i="2"/>
  <c r="AB34" i="2" s="1"/>
  <c r="AB30" i="2"/>
  <c r="AC93" i="4"/>
  <c r="AD91" i="4"/>
  <c r="AC101" i="4"/>
  <c r="AC105" i="4" s="1"/>
  <c r="S36" i="2"/>
  <c r="W100" i="4"/>
  <c r="T17" i="2"/>
  <c r="U19" i="2" s="1"/>
  <c r="Q134" i="4"/>
  <c r="Q135" i="4" s="1"/>
  <c r="Q10" i="5"/>
  <c r="Q139" i="4"/>
  <c r="AG84" i="4"/>
  <c r="AF86" i="4"/>
  <c r="AF87" i="4" s="1"/>
  <c r="AD97" i="4" l="1"/>
  <c r="AD95" i="4"/>
  <c r="X62" i="4"/>
  <c r="X63" i="4" s="1"/>
  <c r="M12" i="7"/>
  <c r="U108" i="4"/>
  <c r="W66" i="4"/>
  <c r="S6" i="5"/>
  <c r="S7" i="5" s="1"/>
  <c r="T117" i="4"/>
  <c r="T128" i="4" s="1"/>
  <c r="P19" i="5"/>
  <c r="P6" i="7" s="1"/>
  <c r="P16" i="5"/>
  <c r="P5" i="7"/>
  <c r="N21" i="5"/>
  <c r="N7" i="7"/>
  <c r="N11" i="7" s="1"/>
  <c r="N4" i="6"/>
  <c r="N6" i="6" s="1"/>
  <c r="N14" i="6" s="1"/>
  <c r="AA11" i="2"/>
  <c r="AD32" i="4"/>
  <c r="AD34" i="4" s="1"/>
  <c r="AA23" i="2"/>
  <c r="AD44" i="4"/>
  <c r="AD46" i="4" s="1"/>
  <c r="X38" i="4"/>
  <c r="X40" i="4" s="1"/>
  <c r="U18" i="2"/>
  <c r="T35" i="2"/>
  <c r="T33" i="2"/>
  <c r="AF50" i="4"/>
  <c r="AF52" i="4" s="1"/>
  <c r="AD27" i="2"/>
  <c r="AD24" i="2"/>
  <c r="AB26" i="4"/>
  <c r="AB28" i="4" s="1"/>
  <c r="Y5" i="2"/>
  <c r="AC79" i="4"/>
  <c r="AB80" i="4"/>
  <c r="M18" i="7"/>
  <c r="Q10" i="7"/>
  <c r="Q11" i="5"/>
  <c r="AH84" i="4"/>
  <c r="AG86" i="4"/>
  <c r="AG87" i="4" s="1"/>
  <c r="AE91" i="4"/>
  <c r="AD101" i="4"/>
  <c r="AD105" i="4" s="1"/>
  <c r="AD93" i="4"/>
  <c r="AC30" i="2"/>
  <c r="AC31" i="2"/>
  <c r="O19" i="5"/>
  <c r="O6" i="7" s="1"/>
  <c r="O16" i="5"/>
  <c r="O5" i="7"/>
  <c r="R12" i="5"/>
  <c r="R15" i="5"/>
  <c r="AC26" i="2"/>
  <c r="AE25" i="2"/>
  <c r="W70" i="4"/>
  <c r="W14" i="5" s="1"/>
  <c r="V81" i="4"/>
  <c r="AC69" i="4"/>
  <c r="AE97" i="4" l="1"/>
  <c r="AE101" i="4" s="1"/>
  <c r="AE105" i="4" s="1"/>
  <c r="AE95" i="4"/>
  <c r="U20" i="2"/>
  <c r="U114" i="4"/>
  <c r="U115" i="4" s="1"/>
  <c r="U109" i="4"/>
  <c r="U110" i="4" s="1"/>
  <c r="O20" i="5"/>
  <c r="O7" i="7" s="1"/>
  <c r="O11" i="7" s="1"/>
  <c r="P20" i="5"/>
  <c r="P4" i="6" s="1"/>
  <c r="P6" i="6" s="1"/>
  <c r="P14" i="6" s="1"/>
  <c r="AD31" i="2"/>
  <c r="AD34" i="2" s="1"/>
  <c r="AD30" i="2"/>
  <c r="AH86" i="4"/>
  <c r="AH87" i="4" s="1"/>
  <c r="AI84" i="4"/>
  <c r="AD26" i="2"/>
  <c r="AF25" i="2"/>
  <c r="N12" i="7"/>
  <c r="N17" i="7"/>
  <c r="S8" i="5"/>
  <c r="W9" i="7"/>
  <c r="W5" i="6"/>
  <c r="AG50" i="4"/>
  <c r="AG52" i="4" s="1"/>
  <c r="AE93" i="4"/>
  <c r="AF91" i="4"/>
  <c r="Q12" i="5"/>
  <c r="Q15" i="5"/>
  <c r="AD79" i="4"/>
  <c r="AC80" i="4"/>
  <c r="AC34" i="2"/>
  <c r="U17" i="2"/>
  <c r="V19" i="2" s="1"/>
  <c r="AB12" i="2"/>
  <c r="AB13" i="2"/>
  <c r="AE32" i="4"/>
  <c r="AE34" i="4" s="1"/>
  <c r="S130" i="4"/>
  <c r="S132" i="4"/>
  <c r="AD69" i="4"/>
  <c r="R16" i="5"/>
  <c r="R5" i="7"/>
  <c r="R19" i="5"/>
  <c r="R6" i="7" s="1"/>
  <c r="AC26" i="4"/>
  <c r="AC28" i="4" s="1"/>
  <c r="Z7" i="2"/>
  <c r="AE24" i="2"/>
  <c r="AE27" i="2"/>
  <c r="X100" i="4"/>
  <c r="T36" i="2"/>
  <c r="X5" i="5"/>
  <c r="AE44" i="4"/>
  <c r="AE46" i="4" s="1"/>
  <c r="AB23" i="2"/>
  <c r="T6" i="5"/>
  <c r="T7" i="5" s="1"/>
  <c r="X70" i="4"/>
  <c r="X14" i="5" s="1"/>
  <c r="W81" i="4"/>
  <c r="W8" i="6"/>
  <c r="W9" i="6" s="1"/>
  <c r="W74" i="4"/>
  <c r="AF95" i="4" l="1"/>
  <c r="AF97" i="4"/>
  <c r="AF101" i="4" s="1"/>
  <c r="AF105" i="4" s="1"/>
  <c r="Y62" i="4"/>
  <c r="Y63" i="4" s="1"/>
  <c r="U117" i="4"/>
  <c r="U128" i="4" s="1"/>
  <c r="P21" i="5"/>
  <c r="P7" i="7"/>
  <c r="P11" i="7" s="1"/>
  <c r="P17" i="7" s="1"/>
  <c r="O4" i="6"/>
  <c r="O6" i="6" s="1"/>
  <c r="O14" i="6" s="1"/>
  <c r="O21" i="5"/>
  <c r="V114" i="4"/>
  <c r="V115" i="4" s="1"/>
  <c r="X9" i="7"/>
  <c r="X5" i="6"/>
  <c r="T130" i="4"/>
  <c r="T132" i="4"/>
  <c r="AF24" i="2"/>
  <c r="AF26" i="2" s="1"/>
  <c r="AF27" i="2"/>
  <c r="Z8" i="2"/>
  <c r="AB6" i="2"/>
  <c r="R20" i="5"/>
  <c r="AB14" i="2"/>
  <c r="N18" i="7"/>
  <c r="AE31" i="2"/>
  <c r="AE34" i="2" s="1"/>
  <c r="AE30" i="2"/>
  <c r="T8" i="5"/>
  <c r="AE26" i="2"/>
  <c r="AG25" i="2"/>
  <c r="AE69" i="4"/>
  <c r="AF93" i="4"/>
  <c r="AG91" i="4"/>
  <c r="AI86" i="4"/>
  <c r="AI87" i="4" s="1"/>
  <c r="AJ84" i="4"/>
  <c r="AF44" i="4"/>
  <c r="AF46" i="4" s="1"/>
  <c r="AC23" i="2"/>
  <c r="Y38" i="4"/>
  <c r="Y40" i="4" s="1"/>
  <c r="V18" i="2"/>
  <c r="U35" i="2"/>
  <c r="U33" i="2"/>
  <c r="AD80" i="4"/>
  <c r="AE79" i="4"/>
  <c r="Z5" i="2"/>
  <c r="S10" i="5"/>
  <c r="S134" i="4"/>
  <c r="S139" i="4"/>
  <c r="AB11" i="2"/>
  <c r="Q5" i="7"/>
  <c r="Q16" i="5"/>
  <c r="Q19" i="5"/>
  <c r="Q6" i="7" s="1"/>
  <c r="AH50" i="4"/>
  <c r="AH52" i="4" s="1"/>
  <c r="O12" i="7"/>
  <c r="O17" i="7"/>
  <c r="O18" i="7" s="1"/>
  <c r="W108" i="4" l="1"/>
  <c r="W111" i="4"/>
  <c r="AG97" i="4"/>
  <c r="AG95" i="4"/>
  <c r="U6" i="5"/>
  <c r="U7" i="5" s="1"/>
  <c r="U8" i="5" s="1"/>
  <c r="V20" i="2"/>
  <c r="P12" i="7"/>
  <c r="V17" i="2"/>
  <c r="W19" i="2" s="1"/>
  <c r="S10" i="7"/>
  <c r="S11" i="5"/>
  <c r="X74" i="4"/>
  <c r="X8" i="6"/>
  <c r="X9" i="6" s="1"/>
  <c r="X66" i="4"/>
  <c r="Y5" i="5"/>
  <c r="U130" i="4"/>
  <c r="U132" i="4"/>
  <c r="AF32" i="4"/>
  <c r="AF34" i="4" s="1"/>
  <c r="AC11" i="2"/>
  <c r="AD26" i="4"/>
  <c r="AD28" i="4" s="1"/>
  <c r="AA5" i="2"/>
  <c r="AE80" i="4"/>
  <c r="AF79" i="4"/>
  <c r="Z38" i="4"/>
  <c r="Z40" i="4" s="1"/>
  <c r="AK85" i="4"/>
  <c r="AJ86" i="4"/>
  <c r="AJ87" i="4" s="1"/>
  <c r="AF69" i="4"/>
  <c r="R21" i="5"/>
  <c r="R7" i="7"/>
  <c r="R11" i="7" s="1"/>
  <c r="R4" i="6"/>
  <c r="R6" i="6" s="1"/>
  <c r="R14" i="6" s="1"/>
  <c r="AG24" i="2"/>
  <c r="AG26" i="2" s="1"/>
  <c r="AG27" i="2"/>
  <c r="P18" i="7"/>
  <c r="AI50" i="4"/>
  <c r="AI52" i="4" s="1"/>
  <c r="T10" i="5"/>
  <c r="T134" i="4"/>
  <c r="T139" i="4"/>
  <c r="Q20" i="5"/>
  <c r="Y100" i="4"/>
  <c r="U36" i="2"/>
  <c r="AD23" i="2"/>
  <c r="AG44" i="4"/>
  <c r="AG46" i="4" s="1"/>
  <c r="AG101" i="4"/>
  <c r="AG105" i="4" s="1"/>
  <c r="AG93" i="4"/>
  <c r="AH91" i="4"/>
  <c r="AF31" i="2"/>
  <c r="AF30" i="2"/>
  <c r="V117" i="4"/>
  <c r="V128" i="4" s="1"/>
  <c r="AH97" i="4" l="1"/>
  <c r="AH95" i="4"/>
  <c r="V35" i="2"/>
  <c r="Z62" i="4"/>
  <c r="Z63" i="4" s="1"/>
  <c r="W18" i="2"/>
  <c r="W20" i="2" s="1"/>
  <c r="V33" i="2"/>
  <c r="V36" i="2" s="1"/>
  <c r="AH44" i="4"/>
  <c r="AH46" i="4" s="1"/>
  <c r="AE23" i="2"/>
  <c r="AE26" i="4"/>
  <c r="AE28" i="4" s="1"/>
  <c r="AB7" i="2"/>
  <c r="AB8" i="2" s="1"/>
  <c r="U134" i="4"/>
  <c r="U135" i="4" s="1"/>
  <c r="U10" i="5"/>
  <c r="U139" i="4"/>
  <c r="T10" i="7"/>
  <c r="T11" i="5"/>
  <c r="AG69" i="4"/>
  <c r="Z5" i="5"/>
  <c r="AG30" i="2"/>
  <c r="AG31" i="2"/>
  <c r="AG34" i="2" s="1"/>
  <c r="AF34" i="2"/>
  <c r="R17" i="7"/>
  <c r="R12" i="7"/>
  <c r="AG79" i="4"/>
  <c r="AF80" i="4"/>
  <c r="AG32" i="4"/>
  <c r="AG34" i="4" s="1"/>
  <c r="AD11" i="2"/>
  <c r="S15" i="5"/>
  <c r="S12" i="5"/>
  <c r="V6" i="5"/>
  <c r="V7" i="5" s="1"/>
  <c r="Q21" i="5"/>
  <c r="Q7" i="7"/>
  <c r="Q11" i="7" s="1"/>
  <c r="Q4" i="6"/>
  <c r="Q6" i="6" s="1"/>
  <c r="Q14" i="6" s="1"/>
  <c r="Y66" i="4"/>
  <c r="AI91" i="4"/>
  <c r="AH101" i="4"/>
  <c r="AH105" i="4" s="1"/>
  <c r="AH93" i="4"/>
  <c r="AJ50" i="4"/>
  <c r="AJ52" i="4" s="1"/>
  <c r="AK11" i="6"/>
  <c r="AK12" i="6" s="1"/>
  <c r="AK87" i="4"/>
  <c r="W114" i="4"/>
  <c r="W115" i="4" s="1"/>
  <c r="W109" i="4"/>
  <c r="W110" i="4" s="1"/>
  <c r="X81" i="4"/>
  <c r="Y70" i="4"/>
  <c r="Y14" i="5" s="1"/>
  <c r="AI97" i="4" l="1"/>
  <c r="AI95" i="4"/>
  <c r="W17" i="2"/>
  <c r="X19" i="2" s="1"/>
  <c r="AA62" i="4"/>
  <c r="AA63" i="4" s="1"/>
  <c r="Z100" i="4"/>
  <c r="W33" i="2"/>
  <c r="W35" i="2"/>
  <c r="AA38" i="4"/>
  <c r="AA40" i="4" s="1"/>
  <c r="AA5" i="5" s="1"/>
  <c r="Y5" i="6"/>
  <c r="Y9" i="7"/>
  <c r="W117" i="4"/>
  <c r="W128" i="4" s="1"/>
  <c r="S5" i="7"/>
  <c r="S19" i="5"/>
  <c r="S6" i="7" s="1"/>
  <c r="S16" i="5"/>
  <c r="AH79" i="4"/>
  <c r="AG80" i="4"/>
  <c r="W36" i="2"/>
  <c r="V130" i="4"/>
  <c r="V132" i="4"/>
  <c r="AH32" i="4"/>
  <c r="AH34" i="4" s="1"/>
  <c r="AE11" i="2"/>
  <c r="AK50" i="4"/>
  <c r="AK52" i="4" s="1"/>
  <c r="AI44" i="4"/>
  <c r="AI46" i="4" s="1"/>
  <c r="AF23" i="2"/>
  <c r="Z70" i="4"/>
  <c r="Z14" i="5" s="1"/>
  <c r="Y81" i="4"/>
  <c r="AI101" i="4"/>
  <c r="AI105" i="4" s="1"/>
  <c r="AJ91" i="4"/>
  <c r="AI93" i="4"/>
  <c r="Q12" i="7"/>
  <c r="Q17" i="7"/>
  <c r="Q18" i="7" s="1"/>
  <c r="V8" i="5"/>
  <c r="AH69" i="4"/>
  <c r="Y8" i="6"/>
  <c r="Y9" i="6" s="1"/>
  <c r="Y74" i="4"/>
  <c r="T15" i="5"/>
  <c r="T12" i="5"/>
  <c r="U10" i="7"/>
  <c r="U11" i="5"/>
  <c r="AB5" i="2"/>
  <c r="X108" i="4" l="1"/>
  <c r="X114" i="4" s="1"/>
  <c r="X115" i="4" s="1"/>
  <c r="X111" i="4"/>
  <c r="AJ95" i="4"/>
  <c r="AJ97" i="4"/>
  <c r="X18" i="2"/>
  <c r="X20" i="2" s="1"/>
  <c r="AA100" i="4"/>
  <c r="X17" i="2"/>
  <c r="Y19" i="2" s="1"/>
  <c r="S20" i="5"/>
  <c r="S4" i="6" s="1"/>
  <c r="S6" i="6" s="1"/>
  <c r="S14" i="6" s="1"/>
  <c r="R18" i="7"/>
  <c r="U12" i="5"/>
  <c r="U15" i="5"/>
  <c r="AI69" i="4"/>
  <c r="AF13" i="2"/>
  <c r="AF11" i="2"/>
  <c r="AI32" i="4"/>
  <c r="AI34" i="4" s="1"/>
  <c r="AF12" i="2"/>
  <c r="AJ101" i="4"/>
  <c r="AJ105" i="4" s="1"/>
  <c r="AJ93" i="4"/>
  <c r="AK91" i="4"/>
  <c r="AH80" i="4"/>
  <c r="AI79" i="4"/>
  <c r="Z5" i="6"/>
  <c r="Z9" i="7"/>
  <c r="AJ44" i="4"/>
  <c r="AJ46" i="4" s="1"/>
  <c r="AG23" i="2"/>
  <c r="V134" i="4"/>
  <c r="V10" i="5"/>
  <c r="V139" i="4"/>
  <c r="W6" i="5"/>
  <c r="W7" i="5" s="1"/>
  <c r="Z8" i="6"/>
  <c r="Z9" i="6" s="1"/>
  <c r="Z74" i="4"/>
  <c r="AC5" i="2"/>
  <c r="AF26" i="4"/>
  <c r="AF28" i="4" s="1"/>
  <c r="T19" i="5"/>
  <c r="T6" i="7" s="1"/>
  <c r="T16" i="5"/>
  <c r="T5" i="7"/>
  <c r="Z66" i="4"/>
  <c r="X109" i="4" l="1"/>
  <c r="X110" i="4" s="1"/>
  <c r="X117" i="4" s="1"/>
  <c r="X128" i="4" s="1"/>
  <c r="Y108" i="4"/>
  <c r="Y109" i="4" s="1"/>
  <c r="Y110" i="4" s="1"/>
  <c r="Y111" i="4"/>
  <c r="AK97" i="4"/>
  <c r="AK95" i="4"/>
  <c r="S7" i="7"/>
  <c r="S11" i="7" s="1"/>
  <c r="S17" i="7" s="1"/>
  <c r="S18" i="7" s="1"/>
  <c r="AB38" i="4"/>
  <c r="AB40" i="4" s="1"/>
  <c r="AB5" i="5" s="1"/>
  <c r="S21" i="5"/>
  <c r="X35" i="2"/>
  <c r="AB62" i="4"/>
  <c r="AB63" i="4" s="1"/>
  <c r="X33" i="2"/>
  <c r="Y18" i="2"/>
  <c r="Y20" i="2" s="1"/>
  <c r="AA66" i="4"/>
  <c r="Z81" i="4"/>
  <c r="AA70" i="4"/>
  <c r="AA14" i="5" s="1"/>
  <c r="AA8" i="6"/>
  <c r="AA9" i="6" s="1"/>
  <c r="AJ32" i="4"/>
  <c r="AJ34" i="4" s="1"/>
  <c r="AG11" i="2"/>
  <c r="AK32" i="4" s="1"/>
  <c r="AK34" i="4" s="1"/>
  <c r="AJ69" i="4"/>
  <c r="W130" i="4"/>
  <c r="W132" i="4"/>
  <c r="V10" i="7"/>
  <c r="V11" i="5"/>
  <c r="AK44" i="4"/>
  <c r="AK46" i="4" s="1"/>
  <c r="AI80" i="4"/>
  <c r="AJ79" i="4"/>
  <c r="AF14" i="2"/>
  <c r="W8" i="5"/>
  <c r="AK101" i="4"/>
  <c r="AK105" i="4" s="1"/>
  <c r="AK93" i="4"/>
  <c r="T20" i="5"/>
  <c r="X36" i="2"/>
  <c r="AG26" i="4"/>
  <c r="AG28" i="4" s="1"/>
  <c r="AD7" i="2"/>
  <c r="U5" i="7"/>
  <c r="U19" i="5"/>
  <c r="U6" i="7" s="1"/>
  <c r="U16" i="5"/>
  <c r="S12" i="7" l="1"/>
  <c r="Y17" i="2"/>
  <c r="Z19" i="2" s="1"/>
  <c r="Y35" i="2"/>
  <c r="Y114" i="4"/>
  <c r="Y115" i="4" s="1"/>
  <c r="Y117" i="4" s="1"/>
  <c r="Y128" i="4" s="1"/>
  <c r="AB100" i="4"/>
  <c r="AK69" i="4"/>
  <c r="AA81" i="4"/>
  <c r="AB70" i="4"/>
  <c r="AB14" i="5" s="1"/>
  <c r="T4" i="6"/>
  <c r="T6" i="6" s="1"/>
  <c r="T14" i="6" s="1"/>
  <c r="T7" i="7"/>
  <c r="T11" i="7" s="1"/>
  <c r="T21" i="5"/>
  <c r="AK79" i="4"/>
  <c r="AK80" i="4" s="1"/>
  <c r="AJ80" i="4"/>
  <c r="V15" i="5"/>
  <c r="V12" i="5"/>
  <c r="AA9" i="7"/>
  <c r="AA5" i="6"/>
  <c r="AD8" i="2"/>
  <c r="AF6" i="2"/>
  <c r="U20" i="5"/>
  <c r="AB66" i="4"/>
  <c r="AD5" i="2"/>
  <c r="X6" i="5"/>
  <c r="X7" i="5" s="1"/>
  <c r="W10" i="5"/>
  <c r="W134" i="4"/>
  <c r="W139" i="4"/>
  <c r="AA74" i="4"/>
  <c r="Z108" i="4" l="1"/>
  <c r="Z114" i="4" s="1"/>
  <c r="Z115" i="4" s="1"/>
  <c r="Z111" i="4"/>
  <c r="Z18" i="2"/>
  <c r="Z20" i="2" s="1"/>
  <c r="AC62" i="4"/>
  <c r="AC63" i="4" s="1"/>
  <c r="Z17" i="2"/>
  <c r="AA19" i="2" s="1"/>
  <c r="Y33" i="2"/>
  <c r="Y36" i="2" s="1"/>
  <c r="AC38" i="4"/>
  <c r="AC40" i="4" s="1"/>
  <c r="AC5" i="5" s="1"/>
  <c r="AD62" i="4"/>
  <c r="AD63" i="4" s="1"/>
  <c r="AC70" i="4"/>
  <c r="AC14" i="5" s="1"/>
  <c r="AB81" i="4"/>
  <c r="Y6" i="5"/>
  <c r="Y7" i="5" s="1"/>
  <c r="AH26" i="4"/>
  <c r="AH28" i="4" s="1"/>
  <c r="AE5" i="2"/>
  <c r="AB74" i="4"/>
  <c r="AB8" i="6"/>
  <c r="AB9" i="6" s="1"/>
  <c r="V5" i="7"/>
  <c r="V19" i="5"/>
  <c r="V6" i="7" s="1"/>
  <c r="V16" i="5"/>
  <c r="AB9" i="7"/>
  <c r="AB5" i="6"/>
  <c r="X130" i="4"/>
  <c r="X132" i="4"/>
  <c r="U7" i="7"/>
  <c r="U11" i="7" s="1"/>
  <c r="U21" i="5"/>
  <c r="U4" i="6"/>
  <c r="U6" i="6" s="1"/>
  <c r="U14" i="6" s="1"/>
  <c r="X8" i="5"/>
  <c r="W10" i="7"/>
  <c r="W11" i="5"/>
  <c r="AA18" i="2"/>
  <c r="Z35" i="2"/>
  <c r="T17" i="7"/>
  <c r="T18" i="7" s="1"/>
  <c r="T12" i="7"/>
  <c r="Z33" i="2" l="1"/>
  <c r="AC100" i="4"/>
  <c r="AD38" i="4"/>
  <c r="AD40" i="4" s="1"/>
  <c r="AD5" i="5" s="1"/>
  <c r="Z109" i="4"/>
  <c r="Z110" i="4" s="1"/>
  <c r="Z117" i="4" s="1"/>
  <c r="Z128" i="4" s="1"/>
  <c r="AA20" i="2"/>
  <c r="AA108" i="4"/>
  <c r="AA114" i="4" s="1"/>
  <c r="AA115" i="4" s="1"/>
  <c r="AI26" i="4"/>
  <c r="AI28" i="4" s="1"/>
  <c r="AF7" i="2"/>
  <c r="AF8" i="2" s="1"/>
  <c r="Y130" i="4"/>
  <c r="Y132" i="4"/>
  <c r="Z36" i="2"/>
  <c r="AC9" i="7"/>
  <c r="AC5" i="6"/>
  <c r="X10" i="5"/>
  <c r="X134" i="4"/>
  <c r="X139" i="4"/>
  <c r="AC8" i="6"/>
  <c r="AC9" i="6" s="1"/>
  <c r="AC74" i="4"/>
  <c r="AC66" i="4"/>
  <c r="AA17" i="2"/>
  <c r="AB19" i="2" s="1"/>
  <c r="W15" i="5"/>
  <c r="W12" i="5"/>
  <c r="U17" i="7"/>
  <c r="U18" i="7" s="1"/>
  <c r="U12" i="7"/>
  <c r="AD100" i="4"/>
  <c r="V20" i="5"/>
  <c r="Y8" i="5"/>
  <c r="AB108" i="4"/>
  <c r="AE62" i="4" l="1"/>
  <c r="AE63" i="4" s="1"/>
  <c r="AA109" i="4"/>
  <c r="AA110" i="4" s="1"/>
  <c r="AA117" i="4" s="1"/>
  <c r="AA128" i="4" s="1"/>
  <c r="AB114" i="4"/>
  <c r="AB115" i="4" s="1"/>
  <c r="AB109" i="4"/>
  <c r="AB110" i="4" s="1"/>
  <c r="X10" i="7"/>
  <c r="X11" i="5"/>
  <c r="Z6" i="5"/>
  <c r="Z7" i="5" s="1"/>
  <c r="AD66" i="4"/>
  <c r="AE100" i="4"/>
  <c r="W5" i="7"/>
  <c r="W16" i="5"/>
  <c r="W19" i="5"/>
  <c r="W6" i="7" s="1"/>
  <c r="AF5" i="2"/>
  <c r="V21" i="5"/>
  <c r="V4" i="6"/>
  <c r="V6" i="6" s="1"/>
  <c r="V14" i="6" s="1"/>
  <c r="V7" i="7"/>
  <c r="V11" i="7" s="1"/>
  <c r="AB18" i="2"/>
  <c r="AE38" i="4"/>
  <c r="AE40" i="4" s="1"/>
  <c r="AA35" i="2"/>
  <c r="AA33" i="2"/>
  <c r="AD70" i="4"/>
  <c r="AD14" i="5" s="1"/>
  <c r="AC81" i="4"/>
  <c r="Y134" i="4"/>
  <c r="Y135" i="4" s="1"/>
  <c r="Y10" i="5"/>
  <c r="Y139" i="4"/>
  <c r="AB17" i="2" l="1"/>
  <c r="AC19" i="2" s="1"/>
  <c r="AD8" i="6"/>
  <c r="AD9" i="6" s="1"/>
  <c r="AD74" i="4"/>
  <c r="AD9" i="7"/>
  <c r="AD5" i="6"/>
  <c r="AB20" i="2"/>
  <c r="AJ26" i="4"/>
  <c r="AJ28" i="4" s="1"/>
  <c r="AG5" i="2"/>
  <c r="AK26" i="4" s="1"/>
  <c r="AK28" i="4" s="1"/>
  <c r="Z130" i="4"/>
  <c r="Z132" i="4"/>
  <c r="AA36" i="2"/>
  <c r="AD81" i="4"/>
  <c r="AE70" i="4"/>
  <c r="AE14" i="5" s="1"/>
  <c r="V12" i="7"/>
  <c r="V17" i="7"/>
  <c r="V18" i="7" s="1"/>
  <c r="AF100" i="4"/>
  <c r="Z8" i="5"/>
  <c r="AB117" i="4"/>
  <c r="AB128" i="4" s="1"/>
  <c r="Y10" i="7"/>
  <c r="Y11" i="5"/>
  <c r="AE5" i="5"/>
  <c r="W20" i="5"/>
  <c r="AA6" i="5"/>
  <c r="AA7" i="5" s="1"/>
  <c r="X12" i="5"/>
  <c r="X15" i="5"/>
  <c r="AC18" i="2" l="1"/>
  <c r="AC20" i="2" s="1"/>
  <c r="AB33" i="2"/>
  <c r="AB35" i="2"/>
  <c r="AF38" i="4"/>
  <c r="AF40" i="4" s="1"/>
  <c r="AF5" i="5" s="1"/>
  <c r="AF62" i="4"/>
  <c r="AF63" i="4" s="1"/>
  <c r="AB6" i="5"/>
  <c r="AB7" i="5" s="1"/>
  <c r="AD108" i="4"/>
  <c r="Y12" i="5"/>
  <c r="Y15" i="5"/>
  <c r="AB36" i="2"/>
  <c r="W7" i="7"/>
  <c r="W11" i="7" s="1"/>
  <c r="W4" i="6"/>
  <c r="W6" i="6" s="1"/>
  <c r="W14" i="6" s="1"/>
  <c r="W21" i="5"/>
  <c r="AC108" i="4"/>
  <c r="Z134" i="4"/>
  <c r="Z10" i="5"/>
  <c r="Z139" i="4"/>
  <c r="AA130" i="4"/>
  <c r="AA132" i="4"/>
  <c r="X5" i="7"/>
  <c r="X19" i="5"/>
  <c r="X6" i="7" s="1"/>
  <c r="X16" i="5"/>
  <c r="AA8" i="5"/>
  <c r="AG100" i="4"/>
  <c r="AE5" i="6"/>
  <c r="AE9" i="7"/>
  <c r="AC17" i="2" l="1"/>
  <c r="AD19" i="2" s="1"/>
  <c r="AG62" i="4"/>
  <c r="AG63" i="4" s="1"/>
  <c r="X20" i="5"/>
  <c r="X21" i="5" s="1"/>
  <c r="AD114" i="4"/>
  <c r="AD115" i="4" s="1"/>
  <c r="AD109" i="4"/>
  <c r="AD110" i="4" s="1"/>
  <c r="Y5" i="7"/>
  <c r="Y16" i="5"/>
  <c r="Y19" i="5"/>
  <c r="Y6" i="7" s="1"/>
  <c r="AE8" i="6"/>
  <c r="AE9" i="6" s="1"/>
  <c r="AE74" i="4"/>
  <c r="AE66" i="4"/>
  <c r="AA10" i="5"/>
  <c r="AA134" i="4"/>
  <c r="AA139" i="4"/>
  <c r="W12" i="7"/>
  <c r="W17" i="7"/>
  <c r="W18" i="7" s="1"/>
  <c r="AC114" i="4"/>
  <c r="AC115" i="4" s="1"/>
  <c r="AC109" i="4"/>
  <c r="AC110" i="4" s="1"/>
  <c r="AG38" i="4"/>
  <c r="AG40" i="4" s="1"/>
  <c r="AD18" i="2"/>
  <c r="AD20" i="2" s="1"/>
  <c r="AC35" i="2"/>
  <c r="AC33" i="2"/>
  <c r="AB130" i="4"/>
  <c r="AB132" i="4"/>
  <c r="Z10" i="7"/>
  <c r="Z11" i="5"/>
  <c r="AH100" i="4"/>
  <c r="AB8" i="5"/>
  <c r="X4" i="6" l="1"/>
  <c r="X6" i="6" s="1"/>
  <c r="X14" i="6" s="1"/>
  <c r="X7" i="7"/>
  <c r="X11" i="7" s="1"/>
  <c r="X12" i="7" s="1"/>
  <c r="AD17" i="2"/>
  <c r="AE19" i="2" s="1"/>
  <c r="AB134" i="4"/>
  <c r="AB10" i="5"/>
  <c r="AB139" i="4"/>
  <c r="AF8" i="6"/>
  <c r="AF9" i="6" s="1"/>
  <c r="Z12" i="5"/>
  <c r="Z15" i="5"/>
  <c r="AA10" i="7"/>
  <c r="AA11" i="5"/>
  <c r="AF66" i="4"/>
  <c r="AF70" i="4"/>
  <c r="AF14" i="5" s="1"/>
  <c r="AE81" i="4"/>
  <c r="AI100" i="4"/>
  <c r="AC36" i="2"/>
  <c r="AG5" i="5"/>
  <c r="AC117" i="4"/>
  <c r="AC128" i="4" s="1"/>
  <c r="Y20" i="5"/>
  <c r="AD117" i="4"/>
  <c r="AD128" i="4" s="1"/>
  <c r="X17" i="7" l="1"/>
  <c r="X18" i="7" s="1"/>
  <c r="AD35" i="2"/>
  <c r="AH38" i="4"/>
  <c r="AH40" i="4" s="1"/>
  <c r="AH5" i="5" s="1"/>
  <c r="AD33" i="2"/>
  <c r="AD36" i="2" s="1"/>
  <c r="AE18" i="2"/>
  <c r="AE20" i="2" s="1"/>
  <c r="AH62" i="4"/>
  <c r="AH63" i="4" s="1"/>
  <c r="AE108" i="4"/>
  <c r="Z19" i="5"/>
  <c r="Z6" i="7" s="1"/>
  <c r="Z16" i="5"/>
  <c r="Z5" i="7"/>
  <c r="AF81" i="4"/>
  <c r="AG70" i="4"/>
  <c r="AG14" i="5" s="1"/>
  <c r="AB10" i="7"/>
  <c r="AB11" i="5"/>
  <c r="AJ100" i="4"/>
  <c r="AK100" i="4"/>
  <c r="Y7" i="7"/>
  <c r="Y11" i="7" s="1"/>
  <c r="Y21" i="5"/>
  <c r="Y4" i="6"/>
  <c r="Y6" i="6" s="1"/>
  <c r="Y14" i="6" s="1"/>
  <c r="AA15" i="5"/>
  <c r="AA12" i="5"/>
  <c r="AF74" i="4"/>
  <c r="AD6" i="5"/>
  <c r="AD7" i="5" s="1"/>
  <c r="AC6" i="5"/>
  <c r="AC7" i="5" s="1"/>
  <c r="AF9" i="7"/>
  <c r="AF5" i="6"/>
  <c r="AE17" i="2" l="1"/>
  <c r="AF19" i="2" s="1"/>
  <c r="AI38" i="4"/>
  <c r="AI40" i="4" s="1"/>
  <c r="AI5" i="5" s="1"/>
  <c r="AE35" i="2"/>
  <c r="AF18" i="2"/>
  <c r="AE114" i="4"/>
  <c r="AE115" i="4" s="1"/>
  <c r="AE109" i="4"/>
  <c r="AE110" i="4" s="1"/>
  <c r="AD130" i="4"/>
  <c r="AD132" i="4"/>
  <c r="AC130" i="4"/>
  <c r="AC132" i="4"/>
  <c r="AA5" i="7"/>
  <c r="AA19" i="5"/>
  <c r="AA6" i="7" s="1"/>
  <c r="AA16" i="5"/>
  <c r="AG9" i="7"/>
  <c r="AG5" i="6"/>
  <c r="AC8" i="5"/>
  <c r="Y12" i="7"/>
  <c r="Y17" i="7"/>
  <c r="Y18" i="7" s="1"/>
  <c r="AG8" i="6"/>
  <c r="AG9" i="6" s="1"/>
  <c r="AG74" i="4"/>
  <c r="AD8" i="5"/>
  <c r="AB12" i="5"/>
  <c r="AB15" i="5"/>
  <c r="AG66" i="4"/>
  <c r="Z20" i="5"/>
  <c r="AE33" i="2" l="1"/>
  <c r="AE36" i="2" s="1"/>
  <c r="AI62" i="4"/>
  <c r="AI63" i="4" s="1"/>
  <c r="AF20" i="2"/>
  <c r="AF17" i="2"/>
  <c r="AG19" i="2" s="1"/>
  <c r="AA20" i="5"/>
  <c r="AA7" i="7" s="1"/>
  <c r="AA11" i="7" s="1"/>
  <c r="AF108" i="4"/>
  <c r="AF109" i="4" s="1"/>
  <c r="AF110" i="4" s="1"/>
  <c r="Z7" i="7"/>
  <c r="Z11" i="7" s="1"/>
  <c r="Z21" i="5"/>
  <c r="Z4" i="6"/>
  <c r="Z6" i="6" s="1"/>
  <c r="Z14" i="6" s="1"/>
  <c r="AC134" i="4"/>
  <c r="AC135" i="4" s="1"/>
  <c r="AC10" i="5"/>
  <c r="AC139" i="4"/>
  <c r="AE117" i="4"/>
  <c r="AE128" i="4" s="1"/>
  <c r="AH66" i="4"/>
  <c r="AH70" i="4"/>
  <c r="AH14" i="5" s="1"/>
  <c r="AG81" i="4"/>
  <c r="AB19" i="5"/>
  <c r="AB6" i="7" s="1"/>
  <c r="AB16" i="5"/>
  <c r="AB5" i="7"/>
  <c r="AH8" i="6"/>
  <c r="AH9" i="6" s="1"/>
  <c r="AD10" i="5"/>
  <c r="AD134" i="4"/>
  <c r="AD139" i="4"/>
  <c r="AG18" i="2" l="1"/>
  <c r="AA21" i="5"/>
  <c r="AA4" i="6"/>
  <c r="AA6" i="6" s="1"/>
  <c r="AA14" i="6" s="1"/>
  <c r="AH74" i="4"/>
  <c r="AJ62" i="4"/>
  <c r="AJ63" i="4" s="1"/>
  <c r="AG20" i="2"/>
  <c r="AF114" i="4"/>
  <c r="AF115" i="4" s="1"/>
  <c r="AF117" i="4" s="1"/>
  <c r="AF128" i="4" s="1"/>
  <c r="AF33" i="2"/>
  <c r="AF36" i="2" s="1"/>
  <c r="AJ38" i="4"/>
  <c r="AJ40" i="4" s="1"/>
  <c r="AJ5" i="5" s="1"/>
  <c r="AF35" i="2"/>
  <c r="AB20" i="5"/>
  <c r="AB21" i="5" s="1"/>
  <c r="AC10" i="7"/>
  <c r="AC11" i="5"/>
  <c r="AA12" i="7"/>
  <c r="AA17" i="7"/>
  <c r="Z17" i="7"/>
  <c r="Z18" i="7" s="1"/>
  <c r="Z12" i="7"/>
  <c r="AH5" i="6"/>
  <c r="AH9" i="7"/>
  <c r="AI66" i="4"/>
  <c r="AI70" i="4"/>
  <c r="AI14" i="5" s="1"/>
  <c r="AH81" i="4"/>
  <c r="AE6" i="5"/>
  <c r="AE7" i="5" s="1"/>
  <c r="AD10" i="7"/>
  <c r="AD11" i="5"/>
  <c r="AI8" i="6"/>
  <c r="AI9" i="6" s="1"/>
  <c r="AG17" i="2"/>
  <c r="AK62" i="4" s="1"/>
  <c r="AK63" i="4" l="1"/>
  <c r="AI74" i="4"/>
  <c r="AB7" i="7"/>
  <c r="AB11" i="7" s="1"/>
  <c r="AB12" i="7" s="1"/>
  <c r="AB4" i="6"/>
  <c r="AB6" i="6" s="1"/>
  <c r="AB14" i="6" s="1"/>
  <c r="AF6" i="5"/>
  <c r="AF7" i="5" s="1"/>
  <c r="AI81" i="4"/>
  <c r="AJ70" i="4"/>
  <c r="AJ14" i="5" s="1"/>
  <c r="AC12" i="5"/>
  <c r="AC15" i="5"/>
  <c r="AD15" i="5"/>
  <c r="AD12" i="5"/>
  <c r="AG108" i="4"/>
  <c r="AE130" i="4"/>
  <c r="AE132" i="4"/>
  <c r="AI5" i="6"/>
  <c r="AI9" i="7"/>
  <c r="AK38" i="4"/>
  <c r="AK40" i="4" s="1"/>
  <c r="AG35" i="2"/>
  <c r="AG33" i="2"/>
  <c r="AE8" i="5"/>
  <c r="AH108" i="4"/>
  <c r="AA18" i="7"/>
  <c r="AJ66" i="4"/>
  <c r="AB17" i="7" l="1"/>
  <c r="AB18" i="7" s="1"/>
  <c r="AK70" i="4"/>
  <c r="AK14" i="5" s="1"/>
  <c r="AJ81" i="4"/>
  <c r="AH114" i="4"/>
  <c r="AH115" i="4" s="1"/>
  <c r="AH109" i="4"/>
  <c r="AH110" i="4" s="1"/>
  <c r="AK5" i="5"/>
  <c r="AG114" i="4"/>
  <c r="AG115" i="4" s="1"/>
  <c r="AG109" i="4"/>
  <c r="AG110" i="4" s="1"/>
  <c r="AJ9" i="7"/>
  <c r="AJ5" i="6"/>
  <c r="D15" i="8"/>
  <c r="AG36" i="2"/>
  <c r="AC5" i="7"/>
  <c r="AC19" i="5"/>
  <c r="AC6" i="7" s="1"/>
  <c r="AC16" i="5"/>
  <c r="AF130" i="4"/>
  <c r="AF132" i="4"/>
  <c r="AJ8" i="6"/>
  <c r="AJ9" i="6" s="1"/>
  <c r="AJ74" i="4"/>
  <c r="AE10" i="5"/>
  <c r="AE134" i="4"/>
  <c r="AE139" i="4"/>
  <c r="AD5" i="7"/>
  <c r="AD16" i="5"/>
  <c r="AD19" i="5"/>
  <c r="AD6" i="7" s="1"/>
  <c r="AF8" i="5"/>
  <c r="AI108" i="4" l="1"/>
  <c r="AI114" i="4" s="1"/>
  <c r="AI115" i="4" s="1"/>
  <c r="AD20" i="5"/>
  <c r="AF10" i="5"/>
  <c r="AF134" i="4"/>
  <c r="AF139" i="4"/>
  <c r="AC20" i="5"/>
  <c r="AG117" i="4"/>
  <c r="AG128" i="4" s="1"/>
  <c r="AK9" i="7"/>
  <c r="AK5" i="6"/>
  <c r="AE10" i="7"/>
  <c r="AE11" i="5"/>
  <c r="D14" i="8"/>
  <c r="AH117" i="4"/>
  <c r="AH128" i="4" s="1"/>
  <c r="AI109" i="4" l="1"/>
  <c r="AI110" i="4" s="1"/>
  <c r="AI117" i="4" s="1"/>
  <c r="AI128" i="4" s="1"/>
  <c r="AJ108" i="4"/>
  <c r="AJ114" i="4" s="1"/>
  <c r="AJ115" i="4" s="1"/>
  <c r="AH6" i="5"/>
  <c r="AH7" i="5" s="1"/>
  <c r="AG6" i="5"/>
  <c r="AG7" i="5" s="1"/>
  <c r="AE15" i="5"/>
  <c r="AE12" i="5"/>
  <c r="AF10" i="7"/>
  <c r="AF11" i="5"/>
  <c r="AK8" i="6"/>
  <c r="AK9" i="6" s="1"/>
  <c r="AK74" i="4"/>
  <c r="AK66" i="4"/>
  <c r="AC4" i="6"/>
  <c r="AC6" i="6" s="1"/>
  <c r="AC14" i="6" s="1"/>
  <c r="AC21" i="5"/>
  <c r="AC7" i="7"/>
  <c r="AC11" i="7" s="1"/>
  <c r="AD21" i="5"/>
  <c r="AD7" i="7"/>
  <c r="AD11" i="7" s="1"/>
  <c r="AD4" i="6"/>
  <c r="AD6" i="6" s="1"/>
  <c r="AD14" i="6" s="1"/>
  <c r="AJ109" i="4" l="1"/>
  <c r="AJ110" i="4" s="1"/>
  <c r="AJ117" i="4" s="1"/>
  <c r="AJ128" i="4" s="1"/>
  <c r="AC12" i="7"/>
  <c r="AC17" i="7"/>
  <c r="AC18" i="7" s="1"/>
  <c r="AG8" i="5"/>
  <c r="AH130" i="4"/>
  <c r="AH132" i="4"/>
  <c r="AE5" i="7"/>
  <c r="AE19" i="5"/>
  <c r="AE6" i="7" s="1"/>
  <c r="AE16" i="5"/>
  <c r="AG130" i="4"/>
  <c r="AG132" i="4"/>
  <c r="AD12" i="7"/>
  <c r="AD17" i="7"/>
  <c r="D20" i="7"/>
  <c r="D6" i="8" s="1"/>
  <c r="AI6" i="5"/>
  <c r="AI7" i="5" s="1"/>
  <c r="AF12" i="5"/>
  <c r="AF15" i="5"/>
  <c r="AK81" i="4"/>
  <c r="AH8" i="5"/>
  <c r="AE20" i="5" l="1"/>
  <c r="AE7" i="7" s="1"/>
  <c r="AE11" i="7" s="1"/>
  <c r="AI130" i="4"/>
  <c r="AI132" i="4"/>
  <c r="AG134" i="4"/>
  <c r="AG135" i="4" s="1"/>
  <c r="AG10" i="5"/>
  <c r="AG139" i="4"/>
  <c r="D21" i="7"/>
  <c r="AD18" i="7"/>
  <c r="D23" i="7" s="1"/>
  <c r="D9" i="8" s="1"/>
  <c r="AH10" i="5"/>
  <c r="AH134" i="4"/>
  <c r="AH139" i="4"/>
  <c r="AF19" i="5"/>
  <c r="AF6" i="7" s="1"/>
  <c r="AF16" i="5"/>
  <c r="AF5" i="7"/>
  <c r="AJ6" i="5"/>
  <c r="AJ7" i="5" s="1"/>
  <c r="AI8" i="5"/>
  <c r="AE21" i="5" l="1"/>
  <c r="AE4" i="6"/>
  <c r="AE6" i="6" s="1"/>
  <c r="AE14" i="6" s="1"/>
  <c r="AK108" i="4"/>
  <c r="AE12" i="7"/>
  <c r="AE17" i="7"/>
  <c r="AE18" i="7" s="1"/>
  <c r="AJ8" i="5"/>
  <c r="D7" i="8"/>
  <c r="AF20" i="5"/>
  <c r="AH10" i="7"/>
  <c r="AH11" i="5"/>
  <c r="AG10" i="7"/>
  <c r="AG11" i="5"/>
  <c r="AJ130" i="4"/>
  <c r="AJ132" i="4"/>
  <c r="AI10" i="5"/>
  <c r="AI134" i="4"/>
  <c r="AI139" i="4"/>
  <c r="AK114" i="4" l="1"/>
  <c r="AK115" i="4" s="1"/>
  <c r="AK109" i="4"/>
  <c r="AK110" i="4" s="1"/>
  <c r="AI10" i="7"/>
  <c r="AI11" i="5"/>
  <c r="AF7" i="7"/>
  <c r="AF11" i="7" s="1"/>
  <c r="AF21" i="5"/>
  <c r="AF4" i="6"/>
  <c r="AF6" i="6" s="1"/>
  <c r="AF14" i="6" s="1"/>
  <c r="AG12" i="5"/>
  <c r="AG15" i="5"/>
  <c r="AJ10" i="5"/>
  <c r="AJ134" i="4"/>
  <c r="AJ139" i="4"/>
  <c r="AH12" i="5"/>
  <c r="AH15" i="5"/>
  <c r="AK117" i="4" l="1"/>
  <c r="AF17" i="7"/>
  <c r="AF18" i="7" s="1"/>
  <c r="AF12" i="7"/>
  <c r="AG5" i="7"/>
  <c r="AG16" i="5"/>
  <c r="AG19" i="5"/>
  <c r="AG6" i="7" s="1"/>
  <c r="AI15" i="5"/>
  <c r="AI12" i="5"/>
  <c r="AH19" i="5"/>
  <c r="AH6" i="7" s="1"/>
  <c r="AH16" i="5"/>
  <c r="AH5" i="7"/>
  <c r="AJ10" i="7"/>
  <c r="AJ11" i="5"/>
  <c r="AK6" i="5" l="1"/>
  <c r="AK7" i="5" s="1"/>
  <c r="AK8" i="5" s="1"/>
  <c r="AK128" i="4"/>
  <c r="AK132" i="4" s="1"/>
  <c r="AI5" i="7"/>
  <c r="AI19" i="5"/>
  <c r="AI6" i="7" s="1"/>
  <c r="AI16" i="5"/>
  <c r="AJ15" i="5"/>
  <c r="AJ12" i="5"/>
  <c r="AH20" i="5"/>
  <c r="AG20" i="5"/>
  <c r="AK130" i="4" l="1"/>
  <c r="AI20" i="5"/>
  <c r="AI7" i="7" s="1"/>
  <c r="AI11" i="7" s="1"/>
  <c r="AG7" i="7"/>
  <c r="AG11" i="7" s="1"/>
  <c r="AG21" i="5"/>
  <c r="AG4" i="6"/>
  <c r="AG6" i="6" s="1"/>
  <c r="AG14" i="6" s="1"/>
  <c r="AJ19" i="5"/>
  <c r="AJ6" i="7" s="1"/>
  <c r="AJ16" i="5"/>
  <c r="AJ5" i="7"/>
  <c r="AK10" i="5"/>
  <c r="AK134" i="4"/>
  <c r="AK135" i="4" s="1"/>
  <c r="AK139" i="4"/>
  <c r="D22" i="7" s="1" a="1"/>
  <c r="D22" i="7" s="1"/>
  <c r="D8" i="8" s="1"/>
  <c r="AH21" i="5"/>
  <c r="AH4" i="6"/>
  <c r="AH6" i="6" s="1"/>
  <c r="AH14" i="6" s="1"/>
  <c r="AH7" i="7"/>
  <c r="AH11" i="7" s="1"/>
  <c r="AI21" i="5" l="1"/>
  <c r="AI4" i="6"/>
  <c r="AI6" i="6" s="1"/>
  <c r="AI14" i="6" s="1"/>
  <c r="AJ20" i="5"/>
  <c r="AJ4" i="6" s="1"/>
  <c r="AJ6" i="6" s="1"/>
  <c r="AJ14" i="6" s="1"/>
  <c r="AG17" i="7"/>
  <c r="AG18" i="7" s="1"/>
  <c r="AG12" i="7"/>
  <c r="AH17" i="7"/>
  <c r="AH12" i="7"/>
  <c r="AK10" i="7"/>
  <c r="AK11" i="5"/>
  <c r="AI12" i="7"/>
  <c r="AI17" i="7"/>
  <c r="AH18" i="7" l="1"/>
  <c r="AJ21" i="5"/>
  <c r="AI18" i="7"/>
  <c r="AJ7" i="7"/>
  <c r="AJ11" i="7" s="1"/>
  <c r="AJ17" i="7" s="1"/>
  <c r="AJ18" i="7" s="1"/>
  <c r="AK12" i="5"/>
  <c r="AK15" i="5"/>
  <c r="AJ12" i="7" l="1"/>
  <c r="AK5" i="7"/>
  <c r="AK19" i="5"/>
  <c r="AK6" i="7" s="1"/>
  <c r="AK16" i="5"/>
  <c r="AK20" i="5" l="1"/>
  <c r="D10" i="8" l="1"/>
  <c r="AK7" i="7"/>
  <c r="AK11" i="7" s="1"/>
  <c r="AK21" i="5"/>
  <c r="AK4" i="6"/>
  <c r="AK6" i="6" s="1"/>
  <c r="AK14" i="6" s="1"/>
  <c r="AK17" i="7" l="1"/>
  <c r="AK18" i="7" s="1"/>
  <c r="AK12" i="7"/>
</calcChain>
</file>

<file path=xl/sharedStrings.xml><?xml version="1.0" encoding="utf-8"?>
<sst xmlns="http://schemas.openxmlformats.org/spreadsheetml/2006/main" count="690" uniqueCount="293">
  <si>
    <t>Financial (Pricing) Model</t>
  </si>
  <si>
    <t>№</t>
  </si>
  <si>
    <t>List</t>
  </si>
  <si>
    <t>Content</t>
  </si>
  <si>
    <t>Contents</t>
  </si>
  <si>
    <t>Chapter list</t>
  </si>
  <si>
    <t>Active Users</t>
  </si>
  <si>
    <t>Consumers inflow and outflow</t>
  </si>
  <si>
    <t>Customer Profile</t>
  </si>
  <si>
    <t>Consumers profile and penetration of products</t>
  </si>
  <si>
    <t>I/S</t>
  </si>
  <si>
    <t>Income Statement for Edventures</t>
  </si>
  <si>
    <t>P&amp;L</t>
  </si>
  <si>
    <t>Profit and loss report</t>
  </si>
  <si>
    <t>CFS</t>
  </si>
  <si>
    <t>Cash Flow Statement Report</t>
  </si>
  <si>
    <t>DCF</t>
  </si>
  <si>
    <t>Discounted Cash Flows</t>
  </si>
  <si>
    <t>Output</t>
  </si>
  <si>
    <t>Key indecies, metrics and results</t>
  </si>
  <si>
    <t>2Q2025</t>
  </si>
  <si>
    <t>3Q2025</t>
  </si>
  <si>
    <t>4Q2025</t>
  </si>
  <si>
    <t>1Q2026</t>
  </si>
  <si>
    <t>2Q2026</t>
  </si>
  <si>
    <t>3Q2026</t>
  </si>
  <si>
    <t>4Q2026</t>
  </si>
  <si>
    <t>1Q2027</t>
  </si>
  <si>
    <t>2Q2027</t>
  </si>
  <si>
    <t>3Q2027</t>
  </si>
  <si>
    <t>4Q2027</t>
  </si>
  <si>
    <t>1Q2028</t>
  </si>
  <si>
    <t>2Q2028</t>
  </si>
  <si>
    <t>3Q2028</t>
  </si>
  <si>
    <t>4Q2028</t>
  </si>
  <si>
    <t>1Q2029</t>
  </si>
  <si>
    <t>2Q2029</t>
  </si>
  <si>
    <t>3Q2029</t>
  </si>
  <si>
    <t>4Q2029</t>
  </si>
  <si>
    <t>1Q2030</t>
  </si>
  <si>
    <t>2Q2030</t>
  </si>
  <si>
    <t>3Q2030</t>
  </si>
  <si>
    <t>4Q2030</t>
  </si>
  <si>
    <t>1Q2031</t>
  </si>
  <si>
    <t>2Q2031</t>
  </si>
  <si>
    <t>3Q2031</t>
  </si>
  <si>
    <t>4Q2031</t>
  </si>
  <si>
    <t>1Q2032</t>
  </si>
  <si>
    <t>2Q2032</t>
  </si>
  <si>
    <t>3Q2032</t>
  </si>
  <si>
    <t>4Q2032</t>
  </si>
  <si>
    <t>Group 1.1</t>
  </si>
  <si>
    <t>Active users</t>
  </si>
  <si>
    <t>Plus</t>
  </si>
  <si>
    <t>Minus</t>
  </si>
  <si>
    <t>Delta</t>
  </si>
  <si>
    <t>Note</t>
  </si>
  <si>
    <t>Economic faculty (EF) of Donja Gorica</t>
  </si>
  <si>
    <t xml:space="preserve"> </t>
  </si>
  <si>
    <t>EF of Donja Gorica, EF of Mediteran Podgorica</t>
  </si>
  <si>
    <t>All Donja Gorica, all Mediteran Podgorica, and EF of Univ. Crne Gore</t>
  </si>
  <si>
    <t>All Donja Gorica, all Mediteran Podgorica, all Univ. Crne Gore</t>
  </si>
  <si>
    <t>All Donja Gorica, Mediteran Podgorica, Univ. Crne Gore. EF of Univ. of Belgrade</t>
  </si>
  <si>
    <t>All Donja Gorica, Mediteran Podgorica, Univ. Crne Gore, Univ. of Belgrade</t>
  </si>
  <si>
    <t>Group 1.2</t>
  </si>
  <si>
    <t>Test group at the end of the year</t>
  </si>
  <si>
    <t>1 school from Sep (46 schools, 25 727 studentsi in sum)</t>
  </si>
  <si>
    <t>10 schools in Montenegro</t>
  </si>
  <si>
    <t>35 schools in Montenegro</t>
  </si>
  <si>
    <t>35 in Montenegro + 10 high schools in Serbia</t>
  </si>
  <si>
    <t>35 in Montenegro + 100 high schools in Serbia</t>
  </si>
  <si>
    <t>35 in Montenegro + 200 high schools in Serbia</t>
  </si>
  <si>
    <t>35 in Montenegro + 300 in Serbia</t>
  </si>
  <si>
    <t>35 in Montenegro + 400 in Serbia</t>
  </si>
  <si>
    <t>Group 2</t>
  </si>
  <si>
    <t>Test group</t>
  </si>
  <si>
    <t>The system is implemented all across Montenegro</t>
  </si>
  <si>
    <t>Each quater it decreases on average 0.53%</t>
  </si>
  <si>
    <t>Program has shown its effectibveness, expand to Serbia, p.1</t>
  </si>
  <si>
    <t>Program has shown its effectibveness, expand to Serbia, p.2</t>
  </si>
  <si>
    <t>Expand to Bosnia and Herzegovina</t>
  </si>
  <si>
    <t>Expand to Northern Macedonia</t>
  </si>
  <si>
    <t>Expand to Croatia</t>
  </si>
  <si>
    <t>Group 3.1</t>
  </si>
  <si>
    <t>Bank clients</t>
  </si>
  <si>
    <t>Test group in Lovcen Banka with 300 clients</t>
  </si>
  <si>
    <t>The system is implemented all across the bank + new clients</t>
  </si>
  <si>
    <t>The system is implemented in other small banks across the Montenegro: Prva Banka Crne Gore (+25000) and Adriatic Banka (+20000)</t>
  </si>
  <si>
    <t>Hipotekarna Banka adds +50000 clients</t>
  </si>
  <si>
    <t>Huge banking systems like CKB banka (+250000 clients), Erste banka (+110000) and Addiko Banka (+80000)</t>
  </si>
  <si>
    <t>Other banks like NLB will add approximately 50000 potential cliant base</t>
  </si>
  <si>
    <t>Expand to Serbian region with OTP banka (whose group member was CKB) and NLB (which was also in Montenegrian region)</t>
  </si>
  <si>
    <t>Add other Serbian banks across the country (Postanska stedionica and others)</t>
  </si>
  <si>
    <t>New markets across Balkan region in Bosnia, Croatia, Makedonia and Slovenia with minimum 6000000 clients coverage in the next 3 years</t>
  </si>
  <si>
    <t>Group 3.2</t>
  </si>
  <si>
    <t>New markets across Balkan region in Bosnia, Croatia, Makedonia and Slovenia with minimum 6,000,000 clients coverage in the next 3 years</t>
  </si>
  <si>
    <t>TAU</t>
  </si>
  <si>
    <t>Bank clients mean</t>
  </si>
  <si>
    <t>Total target groups coverage</t>
  </si>
  <si>
    <t>TAU Delta</t>
  </si>
  <si>
    <t>Loans</t>
  </si>
  <si>
    <t>Corrected weights 1:</t>
  </si>
  <si>
    <t>Corrected weights 2:</t>
  </si>
  <si>
    <t>Non-client inflow norm</t>
  </si>
  <si>
    <t>Client inflow norm</t>
  </si>
  <si>
    <t>After-course clients</t>
  </si>
  <si>
    <t>Other Financial Products</t>
  </si>
  <si>
    <t>Client portion holders</t>
  </si>
  <si>
    <t>Metric units</t>
  </si>
  <si>
    <t>Comment</t>
  </si>
  <si>
    <t>Fixed values</t>
  </si>
  <si>
    <t>Main characteristics of the tartger groups</t>
  </si>
  <si>
    <t>Group 1 (Students)</t>
  </si>
  <si>
    <t>Age</t>
  </si>
  <si>
    <t>years</t>
  </si>
  <si>
    <t>min</t>
  </si>
  <si>
    <t>max</t>
  </si>
  <si>
    <t>Average monthly inclome</t>
  </si>
  <si>
    <t>euro</t>
  </si>
  <si>
    <t>Group 2 (Unemployed)</t>
  </si>
  <si>
    <t>Group 3.1 (Credited party)</t>
  </si>
  <si>
    <t>Group 3.2 (Other bank clients)</t>
  </si>
  <si>
    <t>мин.</t>
  </si>
  <si>
    <t>макс.</t>
  </si>
  <si>
    <t>Penetration of banking products</t>
  </si>
  <si>
    <t>Group 3</t>
  </si>
  <si>
    <t>From total residents</t>
  </si>
  <si>
    <t>Debit cards</t>
  </si>
  <si>
    <t>%</t>
  </si>
  <si>
    <t>Without courses</t>
  </si>
  <si>
    <t>Course members (estimated)</t>
  </si>
  <si>
    <t xml:space="preserve">Credit cards </t>
  </si>
  <si>
    <t>Target</t>
  </si>
  <si>
    <t>Deposits</t>
  </si>
  <si>
    <t>Savings accounts</t>
  </si>
  <si>
    <t>Lifetime</t>
  </si>
  <si>
    <t>Group 1.1 (University Students)</t>
  </si>
  <si>
    <t>Expected period</t>
  </si>
  <si>
    <t>mon.</t>
  </si>
  <si>
    <t>Group 1.1 (Middle School Students)</t>
  </si>
  <si>
    <t xml:space="preserve"> Before getting loanable funds</t>
  </si>
  <si>
    <t>After getting loanable funds</t>
  </si>
  <si>
    <t>First module</t>
  </si>
  <si>
    <t>Full course</t>
  </si>
  <si>
    <t>Finance (Pricing) Model</t>
  </si>
  <si>
    <t>In shares</t>
  </si>
  <si>
    <t>Macroeconomic indicies</t>
  </si>
  <si>
    <t>CPI</t>
  </si>
  <si>
    <t>MONSTAT</t>
  </si>
  <si>
    <t>CPI per period (quarter)</t>
  </si>
  <si>
    <t>CPI (to the previous period)</t>
  </si>
  <si>
    <t>-</t>
  </si>
  <si>
    <t>CPI (to the beginning of the project)</t>
  </si>
  <si>
    <t>Income tax</t>
  </si>
  <si>
    <t xml:space="preserve">    Pension &amp; Diability insurance</t>
  </si>
  <si>
    <t xml:space="preserve">    Health insurance</t>
  </si>
  <si>
    <t xml:space="preserve">    Work accident and occupational disease insurance</t>
  </si>
  <si>
    <t>Insurance contributions to the Social Fund</t>
  </si>
  <si>
    <t>Price correction due to scalability</t>
  </si>
  <si>
    <t>Salary growth rate MON</t>
  </si>
  <si>
    <t>% / year</t>
  </si>
  <si>
    <t>Salary growth rate SWE</t>
  </si>
  <si>
    <t>Income Statement</t>
  </si>
  <si>
    <t>Total Revenue</t>
  </si>
  <si>
    <t xml:space="preserve">   TAU</t>
  </si>
  <si>
    <t>people</t>
  </si>
  <si>
    <t xml:space="preserve">   Price of use per person per quater</t>
  </si>
  <si>
    <t>$ USD</t>
  </si>
  <si>
    <t xml:space="preserve">   Total returns from segment</t>
  </si>
  <si>
    <t xml:space="preserve">   Comment</t>
  </si>
  <si>
    <t>Total Returns</t>
  </si>
  <si>
    <t>$USD</t>
  </si>
  <si>
    <t>.</t>
  </si>
  <si>
    <t>OPEX</t>
  </si>
  <si>
    <t>Clients</t>
  </si>
  <si>
    <t xml:space="preserve">   Change in TAU</t>
  </si>
  <si>
    <t>Servers</t>
  </si>
  <si>
    <t xml:space="preserve">   Number of servers</t>
  </si>
  <si>
    <t>units</t>
  </si>
  <si>
    <t xml:space="preserve">   Old servers depreciated</t>
  </si>
  <si>
    <t xml:space="preserve">  </t>
  </si>
  <si>
    <t xml:space="preserve">   Re-purchase of servers</t>
  </si>
  <si>
    <t xml:space="preserve">$ USD </t>
  </si>
  <si>
    <t xml:space="preserve">   Depreciation for old servers per server</t>
  </si>
  <si>
    <t>$ USD / server</t>
  </si>
  <si>
    <t>Useful life = 4 years</t>
  </si>
  <si>
    <t xml:space="preserve">   Depreciation costs</t>
  </si>
  <si>
    <t xml:space="preserve">   Cost of 1 server</t>
  </si>
  <si>
    <t xml:space="preserve">   Costs per new client per quarter</t>
  </si>
  <si>
    <t>1 server = 10k active users</t>
  </si>
  <si>
    <t xml:space="preserve">   Costs for new clients</t>
  </si>
  <si>
    <t xml:space="preserve">   Total server costs</t>
  </si>
  <si>
    <t>Electricity</t>
  </si>
  <si>
    <t xml:space="preserve">  Consumption per server per hour</t>
  </si>
  <si>
    <t>kW / hour</t>
  </si>
  <si>
    <t xml:space="preserve">  Load per day</t>
  </si>
  <si>
    <t>hours</t>
  </si>
  <si>
    <t xml:space="preserve">  Price</t>
  </si>
  <si>
    <t>$ USD  / hour</t>
  </si>
  <si>
    <t xml:space="preserve">  Price of elecricity for 1 server</t>
  </si>
  <si>
    <t>$ USD  / day</t>
  </si>
  <si>
    <t xml:space="preserve">  Total electricity costs</t>
  </si>
  <si>
    <t>Loan expenses</t>
  </si>
  <si>
    <t xml:space="preserve">  Left to repay</t>
  </si>
  <si>
    <t>Loan for 6 years from 2Q2025</t>
  </si>
  <si>
    <t xml:space="preserve">  Repayment of par value</t>
  </si>
  <si>
    <t xml:space="preserve">  Income expence</t>
  </si>
  <si>
    <t xml:space="preserve">  Total loan expense</t>
  </si>
  <si>
    <t>Labor fund costs</t>
  </si>
  <si>
    <t>AI Engineers</t>
  </si>
  <si>
    <t>1 engineer per 40000 clients</t>
  </si>
  <si>
    <t xml:space="preserve">     Average salary</t>
  </si>
  <si>
    <t>Average salary among small business companies</t>
  </si>
  <si>
    <t>Technical Support</t>
  </si>
  <si>
    <t>Proportional to engineers 0.8 : 1</t>
  </si>
  <si>
    <t xml:space="preserve"> Proportional to engineers as 0.4 : 1 in the beginning of period and 0.3 : 1 after entering Serbian market</t>
  </si>
  <si>
    <t>Marketing specialists</t>
  </si>
  <si>
    <t>1 market specialist per 200000 clients after implementing the system in Adriatic and Prva Banks</t>
  </si>
  <si>
    <t xml:space="preserve">      Average salary</t>
  </si>
  <si>
    <t>Proportional to engineers as 0.8 : 1 in the beginning and 0.6 : 1 after entering Serbian market</t>
  </si>
  <si>
    <t>Designers</t>
  </si>
  <si>
    <t>Proportional to Marketing specialists as 0.75 : 1 in the beginning and as 0.67 : 1 after entering Serbian market</t>
  </si>
  <si>
    <t xml:space="preserve"> Proportional to engineers as 0.6 : 1 in the beginning of period and 0.4 : 1 after entering Serbian market</t>
  </si>
  <si>
    <t>CFO</t>
  </si>
  <si>
    <t>Accountants</t>
  </si>
  <si>
    <t>Proportional to designers 1 : 1</t>
  </si>
  <si>
    <t>Lawer</t>
  </si>
  <si>
    <t>HR-managers</t>
  </si>
  <si>
    <t>Сybersecurity department</t>
  </si>
  <si>
    <t>Salaries to other workers</t>
  </si>
  <si>
    <t>10% of main groups' expenditures</t>
  </si>
  <si>
    <t>Total salaries</t>
  </si>
  <si>
    <t>Net salaries</t>
  </si>
  <si>
    <t>Other operational costs</t>
  </si>
  <si>
    <t xml:space="preserve">   Audit services</t>
  </si>
  <si>
    <t xml:space="preserve">   Other</t>
  </si>
  <si>
    <t xml:space="preserve">   Total other</t>
  </si>
  <si>
    <t>Total OPEX</t>
  </si>
  <si>
    <t>CAPEX</t>
  </si>
  <si>
    <t>Offices</t>
  </si>
  <si>
    <t xml:space="preserve">  Rent</t>
  </si>
  <si>
    <t xml:space="preserve">  Acquisition property</t>
  </si>
  <si>
    <t xml:space="preserve">  Property depreciation</t>
  </si>
  <si>
    <t xml:space="preserve">  Total offices</t>
  </si>
  <si>
    <t>Other</t>
  </si>
  <si>
    <t xml:space="preserve">  Market analysis</t>
  </si>
  <si>
    <t xml:space="preserve">  Development of an AI assistant mascot</t>
  </si>
  <si>
    <t xml:space="preserve">  Total other</t>
  </si>
  <si>
    <t>Total CAPEX</t>
  </si>
  <si>
    <t>Total expenses</t>
  </si>
  <si>
    <t>Net Income</t>
  </si>
  <si>
    <t>Net Income before tax</t>
  </si>
  <si>
    <t>Pronosis of sales and revenues</t>
  </si>
  <si>
    <t xml:space="preserve">  Revenue</t>
  </si>
  <si>
    <t xml:space="preserve">  OPEX without DA</t>
  </si>
  <si>
    <t>Валовая прибыль</t>
  </si>
  <si>
    <t xml:space="preserve">   Profitability</t>
  </si>
  <si>
    <t xml:space="preserve">   CAPEX without DA</t>
  </si>
  <si>
    <t>EBITDA</t>
  </si>
  <si>
    <t xml:space="preserve">   DA</t>
  </si>
  <si>
    <t>EBIT</t>
  </si>
  <si>
    <t xml:space="preserve">   Income tax</t>
  </si>
  <si>
    <t>Earnings after tax</t>
  </si>
  <si>
    <t>Amortization</t>
  </si>
  <si>
    <t>Equipment payment</t>
  </si>
  <si>
    <t>CFI</t>
  </si>
  <si>
    <t>Proceeds loans</t>
  </si>
  <si>
    <t>CFF</t>
  </si>
  <si>
    <t>NCF</t>
  </si>
  <si>
    <t>Time period</t>
  </si>
  <si>
    <t>NOPAT</t>
  </si>
  <si>
    <t>DA</t>
  </si>
  <si>
    <t>CAPEX without DA</t>
  </si>
  <si>
    <t>FCF</t>
  </si>
  <si>
    <t xml:space="preserve">  Profitability by FCF</t>
  </si>
  <si>
    <t>WACC</t>
  </si>
  <si>
    <t>Estimated</t>
  </si>
  <si>
    <t>5,5%</t>
  </si>
  <si>
    <t>Discount rate</t>
  </si>
  <si>
    <t>Discount factor</t>
  </si>
  <si>
    <t>$ UDS</t>
  </si>
  <si>
    <t xml:space="preserve">  Accumulated DCF</t>
  </si>
  <si>
    <t>IRR</t>
  </si>
  <si>
    <t>NPV</t>
  </si>
  <si>
    <t>ROI</t>
  </si>
  <si>
    <t>DPP</t>
  </si>
  <si>
    <t>quarters</t>
  </si>
  <si>
    <t>Investing metrics</t>
  </si>
  <si>
    <t>Estimated WACC</t>
  </si>
  <si>
    <t>Final Quarter Net Income</t>
  </si>
  <si>
    <t>Active clients coverage</t>
  </si>
  <si>
    <t xml:space="preserve">Average TAU Delta </t>
  </si>
  <si>
    <t>Final Qarter 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</si>
</sst>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m/d/yyyy"/>
    <numFmt numFmtId="165" formatCode="###\ ###\ ##0"/>
    <numFmt numFmtId="166" formatCode="#,##0.0000"/>
    <numFmt numFmtId="167" formatCode="0.0000"/>
    <numFmt numFmtId="168" formatCode="#,##0;\(#,##0\)"/>
    <numFmt numFmtId="169" formatCode="##,##0.000"/>
    <numFmt numFmtId="170" formatCode="#,##0.00;\(#,##0.00\)"/>
    <numFmt numFmtId="171" formatCode="###\ ###\ ##0.00"/>
    <numFmt numFmtId="172" formatCode="###\ ###\ ###"/>
    <numFmt numFmtId="173" formatCode="##,##0.00"/>
    <numFmt numFmtId="174" formatCode="#\ ###\ ##0;\(#\ ###\ ##0\)"/>
  </numFmts>
  <fonts count="30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FFFFFF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rgb="FFE60000"/>
      <name val="Arial"/>
    </font>
    <font>
      <sz val="10"/>
      <color rgb="FF1F48F7"/>
      <name val="Arial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666666"/>
      <name val="Arial"/>
      <scheme val="minor"/>
    </font>
    <font>
      <sz val="10"/>
      <color rgb="FF4285F4"/>
      <name val="Arial"/>
      <scheme val="minor"/>
    </font>
    <font>
      <sz val="10"/>
      <color rgb="FFFF0000"/>
      <name val="Arial"/>
    </font>
    <font>
      <b/>
      <sz val="10"/>
      <color rgb="FF545454"/>
      <name val="Arial"/>
    </font>
    <font>
      <i/>
      <sz val="10"/>
      <color rgb="FF000000"/>
      <name val="Arial"/>
    </font>
    <font>
      <sz val="10"/>
      <color rgb="FFB7B7B7"/>
      <name val="Arial"/>
    </font>
    <font>
      <sz val="10"/>
      <color rgb="FF2248F7"/>
      <name val="Arial"/>
    </font>
    <font>
      <i/>
      <sz val="10"/>
      <color theme="1"/>
      <name val="Arial"/>
    </font>
    <font>
      <sz val="10"/>
      <color rgb="FF666666"/>
      <name val="Arial"/>
    </font>
    <font>
      <i/>
      <sz val="10"/>
      <color theme="1"/>
      <name val="Arial"/>
      <scheme val="minor"/>
    </font>
    <font>
      <sz val="10"/>
      <color rgb="FFC00000"/>
      <name val="Arial"/>
    </font>
    <font>
      <i/>
      <sz val="10"/>
      <color rgb="FF000000"/>
      <name val="Arial"/>
      <scheme val="minor"/>
    </font>
    <font>
      <b/>
      <sz val="10"/>
      <color rgb="FFF2F2F2"/>
      <name val="Arial"/>
    </font>
    <font>
      <b/>
      <sz val="10"/>
      <color rgb="FF666666"/>
      <name val="Arial"/>
    </font>
    <font>
      <sz val="10"/>
      <color rgb="FFF2F2F2"/>
      <name val="Arial"/>
    </font>
  </fonts>
  <fills count="8">
    <fill>
      <patternFill patternType="none"/>
    </fill>
    <fill>
      <patternFill patternType="gray125"/>
    </fill>
    <fill>
      <patternFill patternType="solid">
        <fgColor rgb="FF794EFF"/>
        <bgColor rgb="FF794EF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5F1FC"/>
        <bgColor rgb="FFF5F1FC"/>
      </patternFill>
    </fill>
    <fill>
      <patternFill patternType="solid">
        <fgColor rgb="FFD8D8D8"/>
        <bgColor rgb="FFD8D8D8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63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5" fillId="3" borderId="5" xfId="0" applyFont="1" applyFill="1" applyBorder="1" applyAlignment="1"/>
    <xf numFmtId="0" fontId="4" fillId="3" borderId="5" xfId="0" applyFont="1" applyFill="1" applyBorder="1" applyAlignme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2" fillId="3" borderId="0" xfId="0" applyFont="1" applyFill="1"/>
    <xf numFmtId="0" fontId="2" fillId="0" borderId="3" xfId="0" applyFont="1" applyBorder="1"/>
    <xf numFmtId="0" fontId="2" fillId="0" borderId="3" xfId="0" applyFont="1" applyBorder="1" applyAlignment="1"/>
    <xf numFmtId="0" fontId="2" fillId="0" borderId="0" xfId="0" applyFont="1" applyAlignment="1"/>
    <xf numFmtId="0" fontId="7" fillId="4" borderId="3" xfId="0" applyFont="1" applyFill="1" applyBorder="1" applyAlignment="1"/>
    <xf numFmtId="0" fontId="2" fillId="4" borderId="3" xfId="0" applyFont="1" applyFill="1" applyBorder="1"/>
    <xf numFmtId="0" fontId="2" fillId="4" borderId="3" xfId="0" applyFont="1" applyFill="1" applyBorder="1" applyAlignment="1"/>
    <xf numFmtId="165" fontId="2" fillId="4" borderId="3" xfId="0" applyNumberFormat="1" applyFont="1" applyFill="1" applyBorder="1" applyAlignment="1"/>
    <xf numFmtId="165" fontId="2" fillId="4" borderId="3" xfId="0" applyNumberFormat="1" applyFont="1" applyFill="1" applyBorder="1"/>
    <xf numFmtId="0" fontId="2" fillId="0" borderId="0" xfId="0" applyFont="1" applyAlignment="1">
      <alignment vertical="center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7" fillId="0" borderId="3" xfId="0" applyFont="1" applyBorder="1" applyAlignment="1"/>
    <xf numFmtId="165" fontId="2" fillId="0" borderId="3" xfId="0" applyNumberFormat="1" applyFont="1" applyBorder="1" applyAlignment="1"/>
    <xf numFmtId="165" fontId="2" fillId="0" borderId="3" xfId="0" applyNumberFormat="1" applyFont="1" applyBorder="1"/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1" fontId="2" fillId="4" borderId="3" xfId="0" applyNumberFormat="1" applyFont="1" applyFill="1" applyBorder="1" applyAlignment="1"/>
    <xf numFmtId="165" fontId="2" fillId="4" borderId="3" xfId="0" applyNumberFormat="1" applyFont="1" applyFill="1" applyBorder="1" applyAlignment="1"/>
    <xf numFmtId="165" fontId="2" fillId="4" borderId="3" xfId="0" applyNumberFormat="1" applyFont="1" applyFill="1" applyBorder="1"/>
    <xf numFmtId="1" fontId="2" fillId="0" borderId="3" xfId="0" applyNumberFormat="1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1" fontId="2" fillId="4" borderId="3" xfId="0" applyNumberFormat="1" applyFont="1" applyFill="1" applyBorder="1"/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wrapText="1"/>
    </xf>
    <xf numFmtId="0" fontId="7" fillId="5" borderId="3" xfId="0" applyFont="1" applyFill="1" applyBorder="1" applyAlignment="1"/>
    <xf numFmtId="165" fontId="2" fillId="5" borderId="3" xfId="0" applyNumberFormat="1" applyFont="1" applyFill="1" applyBorder="1"/>
    <xf numFmtId="1" fontId="2" fillId="0" borderId="0" xfId="0" applyNumberFormat="1" applyFont="1"/>
    <xf numFmtId="1" fontId="7" fillId="5" borderId="3" xfId="0" applyNumberFormat="1" applyFont="1" applyFill="1" applyBorder="1" applyAlignment="1"/>
    <xf numFmtId="165" fontId="2" fillId="5" borderId="3" xfId="0" applyNumberFormat="1" applyFont="1" applyFill="1" applyBorder="1" applyAlignment="1"/>
    <xf numFmtId="1" fontId="4" fillId="0" borderId="0" xfId="0" applyNumberFormat="1" applyFont="1" applyAlignment="1"/>
    <xf numFmtId="1" fontId="5" fillId="5" borderId="3" xfId="0" applyNumberFormat="1" applyFont="1" applyFill="1" applyBorder="1" applyAlignment="1"/>
    <xf numFmtId="165" fontId="4" fillId="5" borderId="3" xfId="0" applyNumberFormat="1" applyFont="1" applyFill="1" applyBorder="1" applyAlignment="1">
      <alignment horizontal="right"/>
    </xf>
    <xf numFmtId="165" fontId="4" fillId="5" borderId="3" xfId="0" applyNumberFormat="1" applyFont="1" applyFill="1" applyBorder="1" applyAlignment="1">
      <alignment horizontal="right"/>
    </xf>
    <xf numFmtId="1" fontId="7" fillId="0" borderId="0" xfId="0" applyNumberFormat="1" applyFont="1" applyAlignment="1"/>
    <xf numFmtId="165" fontId="2" fillId="0" borderId="0" xfId="0" applyNumberFormat="1" applyFont="1" applyAlignment="1"/>
    <xf numFmtId="0" fontId="2" fillId="6" borderId="0" xfId="0" applyFont="1" applyFill="1" applyAlignment="1"/>
    <xf numFmtId="0" fontId="2" fillId="6" borderId="0" xfId="0" applyFont="1" applyFill="1"/>
    <xf numFmtId="166" fontId="2" fillId="6" borderId="0" xfId="0" applyNumberFormat="1" applyFont="1" applyFill="1" applyAlignment="1"/>
    <xf numFmtId="167" fontId="2" fillId="6" borderId="0" xfId="0" applyNumberFormat="1" applyFont="1" applyFill="1" applyAlignment="1"/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/>
    <xf numFmtId="0" fontId="8" fillId="2" borderId="0" xfId="0" applyFont="1" applyFill="1" applyAlignment="1">
      <alignment horizontal="center"/>
    </xf>
    <xf numFmtId="0" fontId="8" fillId="3" borderId="6" xfId="0" applyFont="1" applyFill="1" applyBorder="1" applyAlignment="1"/>
    <xf numFmtId="0" fontId="8" fillId="3" borderId="6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8" fillId="3" borderId="0" xfId="0" applyFont="1" applyFill="1" applyAlignment="1"/>
    <xf numFmtId="0" fontId="9" fillId="3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10" fontId="1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7" borderId="0" xfId="0" applyFont="1" applyFill="1" applyAlignment="1"/>
    <xf numFmtId="0" fontId="9" fillId="7" borderId="0" xfId="0" applyFont="1" applyFill="1" applyAlignment="1">
      <alignment horizontal="left"/>
    </xf>
    <xf numFmtId="0" fontId="8" fillId="7" borderId="0" xfId="0" applyFont="1" applyFill="1" applyAlignment="1">
      <alignment horizontal="center"/>
    </xf>
    <xf numFmtId="10" fontId="1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168" fontId="2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4" fillId="0" borderId="0" xfId="0" applyFont="1"/>
    <xf numFmtId="0" fontId="5" fillId="0" borderId="6" xfId="0" applyFont="1" applyBorder="1" applyAlignment="1"/>
    <xf numFmtId="0" fontId="4" fillId="0" borderId="6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/>
    <xf numFmtId="10" fontId="16" fillId="0" borderId="0" xfId="0" applyNumberFormat="1" applyFont="1" applyAlignment="1">
      <alignment horizontal="center" vertical="center"/>
    </xf>
    <xf numFmtId="10" fontId="16" fillId="0" borderId="3" xfId="0" applyNumberFormat="1" applyFont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7" borderId="0" xfId="0" applyFont="1" applyFill="1" applyAlignment="1"/>
    <xf numFmtId="0" fontId="14" fillId="7" borderId="0" xfId="0" applyFont="1" applyFill="1" applyAlignment="1">
      <alignment horizontal="center" vertical="center"/>
    </xf>
    <xf numFmtId="0" fontId="2" fillId="7" borderId="0" xfId="0" applyFont="1" applyFill="1"/>
    <xf numFmtId="0" fontId="4" fillId="0" borderId="0" xfId="0" applyFont="1" applyAlignment="1"/>
    <xf numFmtId="0" fontId="13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4" fillId="0" borderId="6" xfId="0" applyFont="1" applyBorder="1"/>
    <xf numFmtId="1" fontId="4" fillId="0" borderId="6" xfId="0" applyNumberFormat="1" applyFont="1" applyBorder="1"/>
    <xf numFmtId="0" fontId="4" fillId="0" borderId="0" xfId="0" applyFont="1" applyAlignment="1"/>
    <xf numFmtId="1" fontId="4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0" fontId="12" fillId="0" borderId="0" xfId="0" applyNumberFormat="1" applyFont="1" applyAlignment="1">
      <alignment horizontal="center"/>
    </xf>
    <xf numFmtId="0" fontId="8" fillId="0" borderId="0" xfId="0" applyFont="1" applyAlignment="1"/>
    <xf numFmtId="0" fontId="8" fillId="3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10" fontId="8" fillId="3" borderId="3" xfId="0" applyNumberFormat="1" applyFont="1" applyFill="1" applyBorder="1" applyAlignment="1">
      <alignment horizontal="center"/>
    </xf>
    <xf numFmtId="10" fontId="8" fillId="3" borderId="0" xfId="0" applyNumberFormat="1" applyFont="1" applyFill="1" applyAlignment="1">
      <alignment horizontal="center"/>
    </xf>
    <xf numFmtId="10" fontId="8" fillId="0" borderId="0" xfId="0" applyNumberFormat="1" applyFont="1" applyAlignment="1">
      <alignment horizontal="center"/>
    </xf>
    <xf numFmtId="0" fontId="8" fillId="3" borderId="0" xfId="0" applyFont="1" applyFill="1" applyAlignment="1"/>
    <xf numFmtId="169" fontId="8" fillId="3" borderId="0" xfId="0" applyNumberFormat="1" applyFont="1" applyFill="1" applyAlignment="1">
      <alignment horizontal="center"/>
    </xf>
    <xf numFmtId="4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10" fontId="8" fillId="3" borderId="7" xfId="0" applyNumberFormat="1" applyFont="1" applyFill="1" applyBorder="1" applyAlignment="1">
      <alignment horizontal="center"/>
    </xf>
    <xf numFmtId="10" fontId="8" fillId="3" borderId="0" xfId="0" applyNumberFormat="1" applyFont="1" applyFill="1" applyAlignment="1">
      <alignment horizontal="center"/>
    </xf>
    <xf numFmtId="10" fontId="8" fillId="3" borderId="1" xfId="0" applyNumberFormat="1" applyFont="1" applyFill="1" applyBorder="1" applyAlignment="1">
      <alignment horizontal="center"/>
    </xf>
    <xf numFmtId="10" fontId="8" fillId="3" borderId="8" xfId="0" applyNumberFormat="1" applyFont="1" applyFill="1" applyBorder="1" applyAlignment="1">
      <alignment horizontal="center"/>
    </xf>
    <xf numFmtId="9" fontId="8" fillId="3" borderId="0" xfId="0" applyNumberFormat="1" applyFont="1" applyFill="1" applyAlignment="1">
      <alignment horizontal="center"/>
    </xf>
    <xf numFmtId="0" fontId="17" fillId="3" borderId="0" xfId="0" applyFont="1" applyFill="1" applyAlignment="1"/>
    <xf numFmtId="0" fontId="8" fillId="3" borderId="0" xfId="0" applyFont="1" applyFill="1" applyAlignment="1">
      <alignment horizontal="left"/>
    </xf>
    <xf numFmtId="0" fontId="17" fillId="3" borderId="0" xfId="0" applyFont="1" applyFill="1" applyAlignment="1">
      <alignment horizontal="center"/>
    </xf>
    <xf numFmtId="10" fontId="17" fillId="3" borderId="1" xfId="0" applyNumberFormat="1" applyFont="1" applyFill="1" applyBorder="1" applyAlignment="1">
      <alignment horizontal="center"/>
    </xf>
    <xf numFmtId="0" fontId="17" fillId="0" borderId="0" xfId="0" applyFont="1" applyAlignment="1"/>
    <xf numFmtId="10" fontId="8" fillId="3" borderId="4" xfId="0" applyNumberFormat="1" applyFont="1" applyFill="1" applyBorder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10" fontId="4" fillId="3" borderId="3" xfId="0" applyNumberFormat="1" applyFont="1" applyFill="1" applyBorder="1" applyAlignment="1">
      <alignment horizontal="center" vertical="center"/>
    </xf>
    <xf numFmtId="10" fontId="17" fillId="3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/>
    <xf numFmtId="0" fontId="9" fillId="3" borderId="0" xfId="0" applyFont="1" applyFill="1" applyAlignment="1">
      <alignment horizontal="center"/>
    </xf>
    <xf numFmtId="170" fontId="8" fillId="3" borderId="0" xfId="0" applyNumberFormat="1" applyFont="1" applyFill="1" applyAlignment="1"/>
    <xf numFmtId="0" fontId="8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170" fontId="8" fillId="7" borderId="0" xfId="0" applyNumberFormat="1" applyFont="1" applyFill="1" applyAlignment="1"/>
    <xf numFmtId="0" fontId="9" fillId="3" borderId="0" xfId="0" applyFont="1" applyFill="1" applyAlignment="1">
      <alignment horizontal="left" vertical="center"/>
    </xf>
    <xf numFmtId="170" fontId="8" fillId="3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left" vertical="center"/>
    </xf>
    <xf numFmtId="165" fontId="8" fillId="3" borderId="0" xfId="0" applyNumberFormat="1" applyFont="1" applyFill="1" applyAlignment="1">
      <alignment horizontal="center"/>
    </xf>
    <xf numFmtId="171" fontId="8" fillId="3" borderId="0" xfId="0" applyNumberFormat="1" applyFont="1" applyFill="1" applyAlignment="1"/>
    <xf numFmtId="171" fontId="8" fillId="3" borderId="0" xfId="0" applyNumberFormat="1" applyFont="1" applyFill="1" applyAlignment="1">
      <alignment horizontal="left" vertical="center"/>
    </xf>
    <xf numFmtId="171" fontId="8" fillId="3" borderId="0" xfId="0" applyNumberFormat="1" applyFont="1" applyFill="1" applyAlignment="1">
      <alignment horizontal="center"/>
    </xf>
    <xf numFmtId="171" fontId="8" fillId="3" borderId="0" xfId="0" applyNumberFormat="1" applyFont="1" applyFill="1" applyAlignment="1">
      <alignment horizontal="center"/>
    </xf>
    <xf numFmtId="171" fontId="8" fillId="0" borderId="0" xfId="0" applyNumberFormat="1" applyFont="1" applyAlignment="1"/>
    <xf numFmtId="0" fontId="8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172" fontId="8" fillId="3" borderId="0" xfId="0" applyNumberFormat="1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72" fontId="8" fillId="3" borderId="0" xfId="0" applyNumberFormat="1" applyFont="1" applyFill="1" applyAlignment="1">
      <alignment horizontal="center"/>
    </xf>
    <xf numFmtId="0" fontId="8" fillId="6" borderId="0" xfId="0" applyFont="1" applyFill="1" applyAlignment="1"/>
    <xf numFmtId="0" fontId="9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center"/>
    </xf>
    <xf numFmtId="172" fontId="8" fillId="6" borderId="0" xfId="0" applyNumberFormat="1" applyFont="1" applyFill="1" applyAlignment="1">
      <alignment horizontal="center"/>
    </xf>
    <xf numFmtId="0" fontId="8" fillId="6" borderId="0" xfId="0" applyFont="1" applyFill="1" applyAlignment="1">
      <alignment horizontal="left" vertical="center"/>
    </xf>
    <xf numFmtId="165" fontId="8" fillId="6" borderId="0" xfId="0" applyNumberFormat="1" applyFont="1" applyFill="1" applyAlignment="1">
      <alignment horizontal="center"/>
    </xf>
    <xf numFmtId="171" fontId="8" fillId="6" borderId="0" xfId="0" applyNumberFormat="1" applyFont="1" applyFill="1" applyAlignment="1"/>
    <xf numFmtId="171" fontId="8" fillId="6" borderId="0" xfId="0" applyNumberFormat="1" applyFont="1" applyFill="1" applyAlignment="1">
      <alignment horizontal="left" vertical="center"/>
    </xf>
    <xf numFmtId="171" fontId="8" fillId="6" borderId="0" xfId="0" applyNumberFormat="1" applyFont="1" applyFill="1" applyAlignment="1">
      <alignment horizontal="center"/>
    </xf>
    <xf numFmtId="171" fontId="8" fillId="6" borderId="0" xfId="0" applyNumberFormat="1" applyFont="1" applyFill="1" applyAlignment="1">
      <alignment horizontal="center"/>
    </xf>
    <xf numFmtId="0" fontId="4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172" fontId="8" fillId="6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65" fontId="8" fillId="3" borderId="0" xfId="0" applyNumberFormat="1" applyFont="1" applyFill="1" applyAlignment="1">
      <alignment horizontal="center"/>
    </xf>
    <xf numFmtId="171" fontId="8" fillId="0" borderId="0" xfId="0" applyNumberFormat="1" applyFont="1" applyAlignment="1">
      <alignment horizont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172" fontId="8" fillId="3" borderId="0" xfId="0" applyNumberFormat="1" applyFont="1" applyFill="1" applyAlignment="1">
      <alignment horizontal="center" vertical="center" wrapText="1"/>
    </xf>
    <xf numFmtId="0" fontId="4" fillId="6" borderId="0" xfId="0" applyFont="1" applyFill="1" applyAlignment="1"/>
    <xf numFmtId="0" fontId="4" fillId="6" borderId="0" xfId="0" applyFont="1" applyFill="1" applyAlignment="1">
      <alignment vertical="center"/>
    </xf>
    <xf numFmtId="0" fontId="4" fillId="6" borderId="0" xfId="0" applyFont="1" applyFill="1" applyAlignment="1"/>
    <xf numFmtId="0" fontId="2" fillId="6" borderId="0" xfId="0" applyFont="1" applyFill="1" applyAlignment="1">
      <alignment vertical="center" wrapText="1"/>
    </xf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wrapText="1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3" borderId="0" xfId="0" applyFont="1" applyFill="1" applyAlignment="1">
      <alignment horizontal="center"/>
    </xf>
    <xf numFmtId="0" fontId="9" fillId="3" borderId="1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171" fontId="9" fillId="3" borderId="1" xfId="0" applyNumberFormat="1" applyFont="1" applyFill="1" applyBorder="1" applyAlignment="1">
      <alignment horizontal="center"/>
    </xf>
    <xf numFmtId="0" fontId="18" fillId="7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165" fontId="4" fillId="3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173" fontId="4" fillId="3" borderId="0" xfId="0" applyNumberFormat="1" applyFont="1" applyFill="1" applyAlignment="1">
      <alignment horizontal="center"/>
    </xf>
    <xf numFmtId="0" fontId="4" fillId="3" borderId="9" xfId="0" applyFont="1" applyFill="1" applyBorder="1" applyAlignment="1">
      <alignment horizontal="left"/>
    </xf>
    <xf numFmtId="165" fontId="4" fillId="3" borderId="9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1" fontId="8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8" fillId="3" borderId="0" xfId="0" applyFont="1" applyFill="1" applyAlignment="1"/>
    <xf numFmtId="0" fontId="4" fillId="0" borderId="0" xfId="0" applyFont="1" applyAlignment="1">
      <alignment horizontal="left"/>
    </xf>
    <xf numFmtId="1" fontId="8" fillId="0" borderId="0" xfId="0" applyNumberFormat="1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4" fillId="0" borderId="0" xfId="0" applyFont="1"/>
    <xf numFmtId="0" fontId="2" fillId="3" borderId="9" xfId="0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14" fillId="3" borderId="0" xfId="0" applyFont="1" applyFill="1"/>
    <xf numFmtId="165" fontId="8" fillId="3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9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65" fontId="8" fillId="0" borderId="9" xfId="0" applyNumberFormat="1" applyFont="1" applyBorder="1" applyAlignment="1">
      <alignment horizontal="center"/>
    </xf>
    <xf numFmtId="0" fontId="9" fillId="0" borderId="0" xfId="0" applyFont="1" applyAlignment="1">
      <alignment horizontal="left"/>
    </xf>
    <xf numFmtId="0" fontId="8" fillId="6" borderId="0" xfId="0" applyFont="1" applyFill="1" applyAlignment="1">
      <alignment horizontal="left"/>
    </xf>
    <xf numFmtId="0" fontId="8" fillId="6" borderId="0" xfId="0" applyFont="1" applyFill="1" applyAlignment="1">
      <alignment horizontal="center"/>
    </xf>
    <xf numFmtId="1" fontId="8" fillId="6" borderId="0" xfId="0" applyNumberFormat="1" applyFont="1" applyFill="1" applyAlignment="1">
      <alignment horizontal="center"/>
    </xf>
    <xf numFmtId="0" fontId="19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170" fontId="8" fillId="6" borderId="0" xfId="0" applyNumberFormat="1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" fontId="8" fillId="6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170" fontId="8" fillId="0" borderId="0" xfId="0" applyNumberFormat="1" applyFont="1" applyAlignment="1">
      <alignment horizontal="center"/>
    </xf>
    <xf numFmtId="0" fontId="1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70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vertical="center"/>
    </xf>
    <xf numFmtId="170" fontId="2" fillId="6" borderId="0" xfId="0" applyNumberFormat="1" applyFont="1" applyFill="1" applyAlignment="1">
      <alignment horizontal="center" vertical="center"/>
    </xf>
    <xf numFmtId="4" fontId="2" fillId="6" borderId="0" xfId="0" applyNumberFormat="1" applyFont="1" applyFill="1" applyAlignment="1">
      <alignment vertical="center"/>
    </xf>
    <xf numFmtId="1" fontId="2" fillId="6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170" fontId="2" fillId="0" borderId="0" xfId="0" applyNumberFormat="1" applyFont="1" applyAlignment="1">
      <alignment horizontal="center" vertical="center"/>
    </xf>
    <xf numFmtId="0" fontId="8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left" vertical="center"/>
    </xf>
    <xf numFmtId="4" fontId="8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3" borderId="0" xfId="0" applyNumberFormat="1" applyFont="1" applyFill="1"/>
    <xf numFmtId="4" fontId="2" fillId="3" borderId="9" xfId="0" applyNumberFormat="1" applyFont="1" applyFill="1" applyBorder="1" applyAlignment="1">
      <alignment horizontal="left"/>
    </xf>
    <xf numFmtId="4" fontId="8" fillId="3" borderId="0" xfId="0" applyNumberFormat="1" applyFont="1" applyFill="1" applyAlignment="1">
      <alignment horizontal="center"/>
    </xf>
    <xf numFmtId="4" fontId="2" fillId="3" borderId="0" xfId="0" applyNumberFormat="1" applyFont="1" applyFill="1" applyAlignment="1">
      <alignment horizontal="center"/>
    </xf>
    <xf numFmtId="165" fontId="2" fillId="3" borderId="9" xfId="0" applyNumberFormat="1" applyFont="1" applyFill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9" xfId="0" applyFont="1" applyBorder="1" applyAlignment="1">
      <alignment horizontal="left"/>
    </xf>
    <xf numFmtId="165" fontId="2" fillId="0" borderId="9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70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70" fontId="7" fillId="3" borderId="1" xfId="0" applyNumberFormat="1" applyFont="1" applyFill="1" applyBorder="1" applyAlignment="1">
      <alignment horizontal="left"/>
    </xf>
    <xf numFmtId="170" fontId="4" fillId="3" borderId="0" xfId="0" applyNumberFormat="1" applyFont="1" applyFill="1" applyAlignment="1">
      <alignment horizontal="center"/>
    </xf>
    <xf numFmtId="170" fontId="14" fillId="3" borderId="0" xfId="0" applyNumberFormat="1" applyFont="1" applyFill="1" applyAlignment="1">
      <alignment horizontal="center"/>
    </xf>
    <xf numFmtId="170" fontId="2" fillId="3" borderId="0" xfId="0" applyNumberFormat="1" applyFont="1" applyFill="1" applyAlignment="1">
      <alignment horizontal="center"/>
    </xf>
    <xf numFmtId="165" fontId="7" fillId="3" borderId="1" xfId="0" applyNumberFormat="1" applyFont="1" applyFill="1" applyBorder="1" applyAlignment="1">
      <alignment horizontal="center"/>
    </xf>
    <xf numFmtId="0" fontId="5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0" fontId="8" fillId="7" borderId="0" xfId="0" applyFont="1" applyFill="1" applyAlignment="1"/>
    <xf numFmtId="0" fontId="4" fillId="7" borderId="0" xfId="0" applyFont="1" applyFill="1" applyAlignment="1"/>
    <xf numFmtId="0" fontId="4" fillId="0" borderId="0" xfId="0" applyFont="1" applyAlignment="1">
      <alignment horizontal="left"/>
    </xf>
    <xf numFmtId="170" fontId="8" fillId="3" borderId="0" xfId="0" applyNumberFormat="1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13" fillId="0" borderId="0" xfId="0" applyFont="1" applyAlignment="1">
      <alignment horizontal="center"/>
    </xf>
    <xf numFmtId="170" fontId="5" fillId="3" borderId="0" xfId="0" applyNumberFormat="1" applyFont="1" applyFill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0" fontId="4" fillId="3" borderId="0" xfId="0" applyFont="1" applyFill="1" applyAlignment="1">
      <alignment horizontal="left"/>
    </xf>
    <xf numFmtId="0" fontId="20" fillId="3" borderId="0" xfId="0" applyFont="1" applyFill="1" applyAlignment="1">
      <alignment horizontal="center"/>
    </xf>
    <xf numFmtId="10" fontId="21" fillId="3" borderId="0" xfId="0" applyNumberFormat="1" applyFont="1" applyFill="1" applyAlignment="1">
      <alignment horizontal="center"/>
    </xf>
    <xf numFmtId="165" fontId="8" fillId="0" borderId="0" xfId="0" applyNumberFormat="1" applyFont="1" applyAlignment="1"/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center"/>
    </xf>
    <xf numFmtId="0" fontId="22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9" fillId="7" borderId="0" xfId="0" applyFont="1" applyFill="1" applyAlignment="1"/>
    <xf numFmtId="0" fontId="8" fillId="7" borderId="10" xfId="0" applyFont="1" applyFill="1" applyBorder="1" applyAlignment="1"/>
    <xf numFmtId="0" fontId="15" fillId="0" borderId="0" xfId="0" applyFont="1"/>
    <xf numFmtId="0" fontId="23" fillId="3" borderId="0" xfId="0" applyFont="1" applyFill="1" applyAlignment="1"/>
    <xf numFmtId="0" fontId="23" fillId="3" borderId="0" xfId="0" applyFont="1" applyFill="1" applyAlignment="1">
      <alignment horizontal="center"/>
    </xf>
    <xf numFmtId="171" fontId="23" fillId="3" borderId="0" xfId="0" applyNumberFormat="1" applyFont="1" applyFill="1" applyAlignment="1">
      <alignment horizontal="center"/>
    </xf>
    <xf numFmtId="165" fontId="23" fillId="3" borderId="0" xfId="0" applyNumberFormat="1" applyFont="1" applyFill="1" applyAlignment="1">
      <alignment horizontal="center"/>
    </xf>
    <xf numFmtId="0" fontId="13" fillId="0" borderId="0" xfId="0" applyFont="1"/>
    <xf numFmtId="0" fontId="9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/>
    <xf numFmtId="0" fontId="9" fillId="3" borderId="1" xfId="0" applyFont="1" applyFill="1" applyBorder="1" applyAlignment="1">
      <alignment horizontal="center"/>
    </xf>
    <xf numFmtId="171" fontId="9" fillId="3" borderId="1" xfId="0" applyNumberFormat="1" applyFont="1" applyFill="1" applyBorder="1" applyAlignment="1">
      <alignment horizontal="center"/>
    </xf>
    <xf numFmtId="10" fontId="24" fillId="0" borderId="0" xfId="0" applyNumberFormat="1" applyFont="1" applyAlignment="1">
      <alignment horizontal="center"/>
    </xf>
    <xf numFmtId="0" fontId="19" fillId="3" borderId="0" xfId="0" applyFont="1" applyFill="1" applyAlignment="1">
      <alignment horizontal="left"/>
    </xf>
    <xf numFmtId="10" fontId="19" fillId="3" borderId="0" xfId="0" applyNumberFormat="1" applyFont="1" applyFill="1" applyAlignment="1">
      <alignment horizontal="center"/>
    </xf>
    <xf numFmtId="10" fontId="19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0" fontId="23" fillId="3" borderId="0" xfId="0" applyFont="1" applyFill="1" applyAlignment="1">
      <alignment horizontal="center"/>
    </xf>
    <xf numFmtId="10" fontId="2" fillId="0" borderId="0" xfId="0" applyNumberFormat="1" applyFont="1"/>
    <xf numFmtId="10" fontId="8" fillId="3" borderId="0" xfId="0" applyNumberFormat="1" applyFont="1" applyFill="1" applyAlignment="1"/>
    <xf numFmtId="0" fontId="25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10" fontId="8" fillId="3" borderId="3" xfId="0" applyNumberFormat="1" applyFont="1" applyFill="1" applyBorder="1" applyAlignment="1">
      <alignment horizontal="center"/>
    </xf>
    <xf numFmtId="0" fontId="23" fillId="3" borderId="0" xfId="0" applyFont="1" applyFill="1" applyAlignment="1"/>
    <xf numFmtId="170" fontId="2" fillId="0" borderId="0" xfId="0" applyNumberFormat="1" applyFont="1"/>
    <xf numFmtId="170" fontId="8" fillId="3" borderId="0" xfId="0" applyNumberFormat="1" applyFont="1" applyFill="1" applyAlignment="1">
      <alignment horizontal="center"/>
    </xf>
    <xf numFmtId="170" fontId="27" fillId="3" borderId="0" xfId="0" applyNumberFormat="1" applyFont="1" applyFill="1" applyAlignment="1">
      <alignment horizontal="center"/>
    </xf>
    <xf numFmtId="170" fontId="5" fillId="3" borderId="1" xfId="0" applyNumberFormat="1" applyFont="1" applyFill="1" applyBorder="1" applyAlignment="1">
      <alignment horizontal="center"/>
    </xf>
    <xf numFmtId="170" fontId="9" fillId="3" borderId="0" xfId="0" applyNumberFormat="1" applyFont="1" applyFill="1" applyAlignment="1"/>
    <xf numFmtId="170" fontId="28" fillId="3" borderId="0" xfId="0" applyNumberFormat="1" applyFont="1" applyFill="1" applyAlignment="1">
      <alignment horizontal="center"/>
    </xf>
    <xf numFmtId="0" fontId="9" fillId="3" borderId="0" xfId="0" applyFont="1" applyFill="1" applyAlignment="1"/>
    <xf numFmtId="0" fontId="29" fillId="3" borderId="0" xfId="0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174" fontId="8" fillId="3" borderId="6" xfId="0" applyNumberFormat="1" applyFont="1" applyFill="1" applyBorder="1" applyAlignment="1"/>
    <xf numFmtId="174" fontId="8" fillId="3" borderId="6" xfId="0" applyNumberFormat="1" applyFont="1" applyFill="1" applyBorder="1" applyAlignment="1">
      <alignment horizontal="left"/>
    </xf>
    <xf numFmtId="174" fontId="9" fillId="3" borderId="6" xfId="0" applyNumberFormat="1" applyFont="1" applyFill="1" applyBorder="1" applyAlignment="1">
      <alignment horizontal="center"/>
    </xf>
    <xf numFmtId="174" fontId="9" fillId="3" borderId="6" xfId="0" applyNumberFormat="1" applyFont="1" applyFill="1" applyBorder="1" applyAlignment="1">
      <alignment horizontal="center"/>
    </xf>
    <xf numFmtId="174" fontId="2" fillId="0" borderId="3" xfId="0" applyNumberFormat="1" applyFont="1" applyBorder="1" applyAlignment="1"/>
    <xf numFmtId="174" fontId="11" fillId="3" borderId="0" xfId="0" applyNumberFormat="1" applyFont="1" applyFill="1" applyAlignment="1">
      <alignment horizontal="center"/>
    </xf>
    <xf numFmtId="174" fontId="8" fillId="3" borderId="0" xfId="0" applyNumberFormat="1" applyFont="1" applyFill="1" applyAlignment="1"/>
    <xf numFmtId="174" fontId="8" fillId="0" borderId="0" xfId="0" applyNumberFormat="1" applyFont="1" applyAlignment="1">
      <alignment horizontal="left"/>
    </xf>
    <xf numFmtId="174" fontId="8" fillId="0" borderId="0" xfId="0" applyNumberFormat="1" applyFont="1" applyAlignment="1"/>
    <xf numFmtId="174" fontId="8" fillId="3" borderId="0" xfId="0" applyNumberFormat="1" applyFont="1" applyFill="1" applyAlignment="1">
      <alignment horizontal="center"/>
    </xf>
    <xf numFmtId="174" fontId="15" fillId="0" borderId="0" xfId="0" applyNumberFormat="1" applyFont="1" applyAlignment="1">
      <alignment horizontal="center"/>
    </xf>
    <xf numFmtId="174" fontId="14" fillId="0" borderId="0" xfId="0" applyNumberFormat="1" applyFont="1" applyAlignment="1">
      <alignment horizontal="left"/>
    </xf>
    <xf numFmtId="174" fontId="8" fillId="3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74" fontId="15" fillId="0" borderId="0" xfId="0" applyNumberFormat="1" applyFont="1"/>
    <xf numFmtId="174" fontId="7" fillId="0" borderId="0" xfId="0" applyNumberFormat="1" applyFont="1"/>
    <xf numFmtId="174" fontId="13" fillId="0" borderId="1" xfId="0" applyNumberFormat="1" applyFont="1" applyBorder="1" applyAlignment="1">
      <alignment horizontal="left"/>
    </xf>
    <xf numFmtId="174" fontId="13" fillId="0" borderId="1" xfId="0" applyNumberFormat="1" applyFont="1" applyBorder="1" applyAlignment="1">
      <alignment horizontal="center"/>
    </xf>
    <xf numFmtId="174" fontId="7" fillId="0" borderId="1" xfId="0" applyNumberFormat="1" applyFont="1" applyBorder="1"/>
    <xf numFmtId="174" fontId="7" fillId="0" borderId="1" xfId="0" applyNumberFormat="1" applyFont="1" applyBorder="1" applyAlignment="1">
      <alignment horizontal="center"/>
    </xf>
    <xf numFmtId="174" fontId="2" fillId="0" borderId="0" xfId="0" applyNumberFormat="1" applyFont="1"/>
    <xf numFmtId="174" fontId="14" fillId="0" borderId="0" xfId="0" applyNumberFormat="1" applyFont="1" applyAlignment="1">
      <alignment horizontal="left"/>
    </xf>
    <xf numFmtId="174" fontId="14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center"/>
    </xf>
    <xf numFmtId="174" fontId="13" fillId="0" borderId="1" xfId="0" applyNumberFormat="1" applyFont="1" applyBorder="1" applyAlignment="1">
      <alignment horizontal="center"/>
    </xf>
    <xf numFmtId="174" fontId="15" fillId="0" borderId="0" xfId="0" applyNumberFormat="1" applyFont="1" applyAlignment="1">
      <alignment horizontal="center"/>
    </xf>
    <xf numFmtId="174" fontId="14" fillId="0" borderId="0" xfId="0" applyNumberFormat="1" applyFont="1"/>
    <xf numFmtId="0" fontId="14" fillId="0" borderId="0" xfId="0" applyFont="1" applyAlignment="1">
      <alignment horizontal="left"/>
    </xf>
    <xf numFmtId="171" fontId="15" fillId="0" borderId="0" xfId="0" applyNumberFormat="1" applyFont="1" applyAlignment="1">
      <alignment horizontal="center"/>
    </xf>
    <xf numFmtId="170" fontId="15" fillId="0" borderId="0" xfId="0" applyNumberFormat="1" applyFont="1" applyAlignment="1">
      <alignment horizontal="center"/>
    </xf>
    <xf numFmtId="0" fontId="7" fillId="0" borderId="0" xfId="0" applyFont="1"/>
    <xf numFmtId="0" fontId="13" fillId="0" borderId="9" xfId="0" applyFont="1" applyBorder="1" applyAlignment="1">
      <alignment horizontal="left"/>
    </xf>
    <xf numFmtId="0" fontId="13" fillId="0" borderId="9" xfId="0" applyFont="1" applyBorder="1" applyAlignment="1">
      <alignment horizontal="center"/>
    </xf>
    <xf numFmtId="0" fontId="13" fillId="0" borderId="9" xfId="0" applyFont="1" applyBorder="1"/>
    <xf numFmtId="0" fontId="13" fillId="0" borderId="9" xfId="0" applyFont="1" applyBorder="1" applyAlignment="1">
      <alignment horizontal="center"/>
    </xf>
    <xf numFmtId="0" fontId="7" fillId="0" borderId="9" xfId="0" applyFont="1" applyBorder="1"/>
    <xf numFmtId="171" fontId="7" fillId="0" borderId="9" xfId="0" applyNumberFormat="1" applyFont="1" applyBorder="1" applyAlignment="1">
      <alignment horizontal="center"/>
    </xf>
    <xf numFmtId="165" fontId="15" fillId="0" borderId="0" xfId="0" applyNumberFormat="1" applyFont="1" applyAlignment="1">
      <alignment horizontal="center"/>
    </xf>
    <xf numFmtId="170" fontId="15" fillId="0" borderId="0" xfId="0" applyNumberFormat="1" applyFont="1"/>
    <xf numFmtId="170" fontId="14" fillId="0" borderId="0" xfId="0" applyNumberFormat="1" applyFont="1" applyAlignment="1">
      <alignment horizontal="left"/>
    </xf>
    <xf numFmtId="170" fontId="14" fillId="0" borderId="0" xfId="0" applyNumberFormat="1" applyFont="1" applyAlignment="1">
      <alignment horizontal="center"/>
    </xf>
    <xf numFmtId="170" fontId="14" fillId="0" borderId="0" xfId="0" applyNumberFormat="1" applyFont="1"/>
    <xf numFmtId="170" fontId="7" fillId="0" borderId="0" xfId="0" applyNumberFormat="1" applyFont="1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7" fillId="0" borderId="0" xfId="0" applyFont="1" applyAlignment="1"/>
    <xf numFmtId="10" fontId="14" fillId="0" borderId="0" xfId="0" applyNumberFormat="1" applyFont="1" applyAlignment="1">
      <alignment horizontal="center"/>
    </xf>
    <xf numFmtId="0" fontId="15" fillId="0" borderId="0" xfId="0" applyFont="1" applyAlignment="1"/>
    <xf numFmtId="2" fontId="15" fillId="0" borderId="0" xfId="0" applyNumberFormat="1" applyFont="1" applyAlignment="1">
      <alignment horizontal="center"/>
    </xf>
    <xf numFmtId="170" fontId="13" fillId="0" borderId="9" xfId="0" applyNumberFormat="1" applyFont="1" applyBorder="1" applyAlignment="1">
      <alignment horizontal="left"/>
    </xf>
    <xf numFmtId="170" fontId="13" fillId="0" borderId="9" xfId="0" applyNumberFormat="1" applyFont="1" applyBorder="1" applyAlignment="1">
      <alignment horizontal="center"/>
    </xf>
    <xf numFmtId="170" fontId="13" fillId="0" borderId="9" xfId="0" applyNumberFormat="1" applyFont="1" applyBorder="1"/>
    <xf numFmtId="170" fontId="13" fillId="0" borderId="9" xfId="0" applyNumberFormat="1" applyFont="1" applyBorder="1" applyAlignment="1">
      <alignment horizontal="center"/>
    </xf>
    <xf numFmtId="170" fontId="7" fillId="0" borderId="9" xfId="0" applyNumberFormat="1" applyFont="1" applyBorder="1"/>
    <xf numFmtId="174" fontId="7" fillId="0" borderId="9" xfId="0" applyNumberFormat="1" applyFont="1" applyBorder="1" applyAlignment="1">
      <alignment horizontal="center"/>
    </xf>
    <xf numFmtId="0" fontId="24" fillId="0" borderId="0" xfId="0" applyFont="1"/>
    <xf numFmtId="0" fontId="26" fillId="0" borderId="0" xfId="0" applyFont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174" fontId="24" fillId="0" borderId="0" xfId="0" applyNumberFormat="1" applyFont="1" applyAlignment="1">
      <alignment horizontal="center"/>
    </xf>
    <xf numFmtId="170" fontId="24" fillId="0" borderId="0" xfId="0" applyNumberFormat="1" applyFont="1"/>
    <xf numFmtId="0" fontId="9" fillId="4" borderId="11" xfId="0" applyFont="1" applyFill="1" applyBorder="1" applyAlignment="1"/>
    <xf numFmtId="0" fontId="8" fillId="4" borderId="9" xfId="0" applyFont="1" applyFill="1" applyBorder="1" applyAlignment="1">
      <alignment horizontal="center"/>
    </xf>
    <xf numFmtId="10" fontId="25" fillId="4" borderId="12" xfId="0" applyNumberFormat="1" applyFont="1" applyFill="1" applyBorder="1" applyAlignment="1">
      <alignment horizontal="center"/>
    </xf>
    <xf numFmtId="0" fontId="9" fillId="4" borderId="13" xfId="0" applyFont="1" applyFill="1" applyBorder="1" applyAlignment="1"/>
    <xf numFmtId="0" fontId="8" fillId="4" borderId="0" xfId="0" applyFont="1" applyFill="1" applyAlignment="1">
      <alignment horizontal="center"/>
    </xf>
    <xf numFmtId="174" fontId="25" fillId="4" borderId="14" xfId="0" applyNumberFormat="1" applyFont="1" applyFill="1" applyBorder="1" applyAlignment="1">
      <alignment horizontal="center"/>
    </xf>
    <xf numFmtId="0" fontId="9" fillId="7" borderId="13" xfId="0" applyFont="1" applyFill="1" applyBorder="1" applyAlignment="1"/>
    <xf numFmtId="10" fontId="25" fillId="4" borderId="14" xfId="0" applyNumberFormat="1" applyFont="1" applyFill="1" applyBorder="1" applyAlignment="1">
      <alignment horizontal="center"/>
    </xf>
    <xf numFmtId="0" fontId="9" fillId="7" borderId="15" xfId="0" applyFont="1" applyFill="1" applyBorder="1" applyAlignment="1"/>
    <xf numFmtId="0" fontId="8" fillId="7" borderId="6" xfId="0" applyFont="1" applyFill="1" applyBorder="1" applyAlignment="1">
      <alignment horizontal="center"/>
    </xf>
    <xf numFmtId="0" fontId="25" fillId="4" borderId="5" xfId="0" applyFont="1" applyFill="1" applyBorder="1" applyAlignment="1">
      <alignment horizontal="center"/>
    </xf>
    <xf numFmtId="0" fontId="14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70" fontId="2" fillId="7" borderId="0" xfId="0" applyNumberFormat="1" applyFont="1" applyFill="1"/>
    <xf numFmtId="0" fontId="25" fillId="4" borderId="14" xfId="0" applyFont="1" applyFill="1" applyBorder="1" applyAlignment="1">
      <alignment horizontal="center"/>
    </xf>
    <xf numFmtId="165" fontId="25" fillId="4" borderId="5" xfId="0" applyNumberFormat="1" applyFont="1" applyFill="1" applyBorder="1" applyAlignment="1">
      <alignment horizontal="center"/>
    </xf>
    <xf numFmtId="0" fontId="14" fillId="7" borderId="0" xfId="0" applyFont="1" applyFill="1"/>
    <xf numFmtId="0" fontId="13" fillId="7" borderId="0" xfId="0" applyFont="1" applyFill="1" applyAlignment="1">
      <alignment horizontal="left"/>
    </xf>
    <xf numFmtId="174" fontId="25" fillId="4" borderId="12" xfId="0" applyNumberFormat="1" applyFont="1" applyFill="1" applyBorder="1" applyAlignment="1">
      <alignment horizontal="center"/>
    </xf>
    <xf numFmtId="0" fontId="9" fillId="4" borderId="15" xfId="0" applyFont="1" applyFill="1" applyBorder="1" applyAlignment="1"/>
    <xf numFmtId="0" fontId="8" fillId="4" borderId="6" xfId="0" applyFont="1" applyFill="1" applyBorder="1" applyAlignment="1">
      <alignment horizontal="center"/>
    </xf>
    <xf numFmtId="174" fontId="25" fillId="4" borderId="5" xfId="0" applyNumberFormat="1" applyFont="1" applyFill="1" applyBorder="1" applyAlignment="1">
      <alignment horizontal="center"/>
    </xf>
    <xf numFmtId="0" fontId="9" fillId="0" borderId="0" xfId="0" applyFont="1" applyAlignment="1"/>
    <xf numFmtId="0" fontId="25" fillId="0" borderId="0" xfId="0" applyFont="1" applyAlignment="1">
      <alignment horizontal="center"/>
    </xf>
    <xf numFmtId="10" fontId="25" fillId="0" borderId="0" xfId="0" applyNumberFormat="1" applyFont="1" applyAlignment="1">
      <alignment horizontal="center"/>
    </xf>
    <xf numFmtId="0" fontId="7" fillId="3" borderId="0" xfId="0" applyFont="1" applyFill="1" applyAlignment="1"/>
    <xf numFmtId="0" fontId="14" fillId="3" borderId="0" xfId="0" applyFont="1" applyFill="1" applyAlignment="1">
      <alignment horizontal="center"/>
    </xf>
    <xf numFmtId="170" fontId="2" fillId="3" borderId="0" xfId="0" applyNumberFormat="1" applyFont="1" applyFill="1"/>
    <xf numFmtId="1" fontId="0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10" fillId="0" borderId="6" xfId="0" applyFont="1" applyBorder="1"/>
    <xf numFmtId="0" fontId="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4" fillId="0" borderId="6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10" fontId="4" fillId="0" borderId="0" xfId="0" applyNumberFormat="1" applyFont="1"/>
    <xf numFmtId="0" fontId="8" fillId="7" borderId="0" xfId="0" applyFont="1" applyFill="1" applyAlignment="1">
      <alignment horizontal="center"/>
    </xf>
    <xf numFmtId="0" fontId="2" fillId="0" borderId="6" xfId="0" applyFont="1" applyBorder="1" applyAlignment="1">
      <alignment horizontal="center" vertical="center"/>
    </xf>
    <xf numFmtId="10" fontId="15" fillId="0" borderId="0" xfId="0" applyNumberFormat="1" applyFont="1" applyAlignment="1">
      <alignment horizontal="center" vertical="center"/>
    </xf>
    <xf numFmtId="0" fontId="3" fillId="2" borderId="0" xfId="0" applyFont="1" applyFill="1" applyAlignment="1"/>
    <xf numFmtId="0" fontId="8" fillId="2" borderId="0" xfId="0" applyFont="1" applyFill="1" applyAlignment="1"/>
    <xf numFmtId="0" fontId="9" fillId="3" borderId="6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.77734375" customWidth="1"/>
    <col min="2" max="2" width="12.109375" customWidth="1"/>
    <col min="3" max="3" width="22" customWidth="1"/>
    <col min="4" max="4" width="41.77734375" customWidth="1"/>
  </cols>
  <sheetData>
    <row r="1" spans="1:26" ht="13.2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3" spans="1:26" ht="13.2" x14ac:dyDescent="0.25">
      <c r="B3" s="4" t="s">
        <v>1</v>
      </c>
      <c r="C3" s="5" t="s">
        <v>2</v>
      </c>
      <c r="D3" s="6" t="s">
        <v>3</v>
      </c>
    </row>
    <row r="4" spans="1:26" ht="13.2" x14ac:dyDescent="0.25">
      <c r="B4" s="7">
        <v>1</v>
      </c>
      <c r="C4" s="8" t="s">
        <v>4</v>
      </c>
      <c r="D4" s="9" t="s">
        <v>5</v>
      </c>
    </row>
    <row r="5" spans="1:26" ht="13.2" x14ac:dyDescent="0.25">
      <c r="B5" s="7">
        <v>2</v>
      </c>
      <c r="C5" s="8" t="s">
        <v>6</v>
      </c>
      <c r="D5" s="9" t="s">
        <v>7</v>
      </c>
    </row>
    <row r="6" spans="1:26" ht="13.2" x14ac:dyDescent="0.25">
      <c r="B6" s="7">
        <v>3</v>
      </c>
      <c r="C6" s="8" t="s">
        <v>8</v>
      </c>
      <c r="D6" s="9" t="s">
        <v>9</v>
      </c>
    </row>
    <row r="7" spans="1:26" ht="13.2" x14ac:dyDescent="0.25">
      <c r="B7" s="7">
        <v>4</v>
      </c>
      <c r="C7" s="8" t="s">
        <v>10</v>
      </c>
      <c r="D7" s="9" t="s">
        <v>11</v>
      </c>
    </row>
    <row r="8" spans="1:26" ht="13.2" x14ac:dyDescent="0.25">
      <c r="B8" s="7">
        <v>5</v>
      </c>
      <c r="C8" s="10" t="s">
        <v>12</v>
      </c>
      <c r="D8" s="11" t="s">
        <v>13</v>
      </c>
    </row>
    <row r="9" spans="1:26" ht="13.2" x14ac:dyDescent="0.25">
      <c r="B9" s="7">
        <v>6</v>
      </c>
      <c r="C9" s="10" t="s">
        <v>14</v>
      </c>
      <c r="D9" s="11" t="s">
        <v>15</v>
      </c>
    </row>
    <row r="10" spans="1:26" ht="14.25" customHeight="1" x14ac:dyDescent="0.25">
      <c r="B10" s="7">
        <v>7</v>
      </c>
      <c r="C10" s="10" t="s">
        <v>16</v>
      </c>
      <c r="D10" s="11" t="s">
        <v>17</v>
      </c>
      <c r="F10" s="12"/>
      <c r="G10" s="12"/>
    </row>
    <row r="11" spans="1:26" ht="14.25" customHeight="1" x14ac:dyDescent="0.25">
      <c r="B11" s="7">
        <v>8</v>
      </c>
      <c r="C11" s="10" t="s">
        <v>18</v>
      </c>
      <c r="D11" s="11" t="s">
        <v>19</v>
      </c>
      <c r="F11" s="12"/>
      <c r="G11" s="12"/>
    </row>
    <row r="12" spans="1:26" ht="13.2" x14ac:dyDescent="0.25">
      <c r="F12" s="12"/>
      <c r="G12" s="12"/>
    </row>
    <row r="13" spans="1:26" ht="13.2" x14ac:dyDescent="0.25">
      <c r="F13" s="12"/>
      <c r="G13" s="12"/>
    </row>
    <row r="14" spans="1:26" ht="13.2" x14ac:dyDescent="0.25">
      <c r="F14" s="12"/>
      <c r="G14" s="12"/>
    </row>
    <row r="15" spans="1:26" ht="13.2" x14ac:dyDescent="0.25">
      <c r="F15" s="12"/>
      <c r="G15" s="12"/>
    </row>
    <row r="16" spans="1:26" ht="13.2" x14ac:dyDescent="0.25">
      <c r="F16" s="12"/>
      <c r="G16" s="12"/>
    </row>
    <row r="17" spans="6:7" ht="13.2" x14ac:dyDescent="0.25">
      <c r="F17" s="12"/>
      <c r="G17" s="12"/>
    </row>
    <row r="18" spans="6:7" ht="13.2" x14ac:dyDescent="0.25">
      <c r="F18" s="12"/>
      <c r="G18" s="12"/>
    </row>
    <row r="19" spans="6:7" ht="13.2" x14ac:dyDescent="0.25">
      <c r="F19" s="12"/>
      <c r="G19" s="12"/>
    </row>
    <row r="20" spans="6:7" ht="13.2" x14ac:dyDescent="0.25">
      <c r="F20" s="12"/>
      <c r="G2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49"/>
  <sheetViews>
    <sheetView topLeftCell="B1" workbookViewId="0">
      <pane ySplit="1" topLeftCell="A32" activePane="bottomLeft" state="frozen"/>
      <selection pane="bottomLeft" activeCell="F19" sqref="F19"/>
    </sheetView>
  </sheetViews>
  <sheetFormatPr defaultColWidth="12.6640625" defaultRowHeight="15.75" customHeight="1" x14ac:dyDescent="0.25"/>
  <cols>
    <col min="1" max="1" width="2.44140625" customWidth="1"/>
    <col min="2" max="2" width="25.109375" customWidth="1"/>
    <col min="3" max="33" width="16.88671875" customWidth="1"/>
    <col min="34" max="42" width="10.88671875" customWidth="1"/>
  </cols>
  <sheetData>
    <row r="1" spans="1:42" ht="13.2" x14ac:dyDescent="0.25">
      <c r="A1" s="13" t="s">
        <v>0</v>
      </c>
      <c r="B1" s="14"/>
      <c r="C1" s="15"/>
      <c r="D1" s="1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2" ht="13.2" x14ac:dyDescent="0.25">
      <c r="A2" s="17"/>
      <c r="B2" s="18"/>
      <c r="C2" s="19"/>
      <c r="D2" s="18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ht="13.2" x14ac:dyDescent="0.25">
      <c r="B3" s="21"/>
      <c r="C3" s="22" t="s">
        <v>20</v>
      </c>
      <c r="D3" s="22" t="s">
        <v>21</v>
      </c>
      <c r="E3" s="22" t="s">
        <v>22</v>
      </c>
      <c r="F3" s="22" t="s">
        <v>23</v>
      </c>
      <c r="G3" s="22" t="s">
        <v>24</v>
      </c>
      <c r="H3" s="22" t="s">
        <v>25</v>
      </c>
      <c r="I3" s="22" t="s">
        <v>26</v>
      </c>
      <c r="J3" s="22" t="s">
        <v>27</v>
      </c>
      <c r="K3" s="22" t="s">
        <v>28</v>
      </c>
      <c r="L3" s="22" t="s">
        <v>29</v>
      </c>
      <c r="M3" s="22" t="s">
        <v>30</v>
      </c>
      <c r="N3" s="22" t="s">
        <v>31</v>
      </c>
      <c r="O3" s="22" t="s">
        <v>32</v>
      </c>
      <c r="P3" s="22" t="s">
        <v>33</v>
      </c>
      <c r="Q3" s="22" t="s">
        <v>34</v>
      </c>
      <c r="R3" s="22" t="s">
        <v>35</v>
      </c>
      <c r="S3" s="22" t="s">
        <v>36</v>
      </c>
      <c r="T3" s="22" t="s">
        <v>37</v>
      </c>
      <c r="U3" s="22" t="s">
        <v>38</v>
      </c>
      <c r="V3" s="22" t="s">
        <v>39</v>
      </c>
      <c r="W3" s="22" t="s">
        <v>40</v>
      </c>
      <c r="X3" s="22" t="s">
        <v>41</v>
      </c>
      <c r="Y3" s="22" t="s">
        <v>42</v>
      </c>
      <c r="Z3" s="22" t="s">
        <v>43</v>
      </c>
      <c r="AA3" s="22" t="s">
        <v>44</v>
      </c>
      <c r="AB3" s="22" t="s">
        <v>45</v>
      </c>
      <c r="AC3" s="22" t="s">
        <v>46</v>
      </c>
      <c r="AD3" s="22" t="s">
        <v>47</v>
      </c>
      <c r="AE3" s="22" t="s">
        <v>48</v>
      </c>
      <c r="AF3" s="22" t="s">
        <v>49</v>
      </c>
      <c r="AG3" s="22" t="s">
        <v>50</v>
      </c>
      <c r="AH3" s="23"/>
      <c r="AI3" s="23"/>
      <c r="AJ3" s="23"/>
      <c r="AK3" s="23"/>
      <c r="AL3" s="23"/>
      <c r="AM3" s="23"/>
      <c r="AN3" s="23"/>
      <c r="AO3" s="23"/>
      <c r="AP3" s="23"/>
    </row>
    <row r="4" spans="1:42" ht="13.2" x14ac:dyDescent="0.25">
      <c r="B4" s="24" t="s">
        <v>51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pans="1:42" ht="13.2" x14ac:dyDescent="0.25">
      <c r="B5" s="26" t="s">
        <v>52</v>
      </c>
      <c r="C5" s="27">
        <v>0</v>
      </c>
      <c r="D5" s="28">
        <f t="shared" ref="D5:AG5" si="0">C5+D6-D7</f>
        <v>57</v>
      </c>
      <c r="E5" s="28">
        <f t="shared" si="0"/>
        <v>57</v>
      </c>
      <c r="F5" s="28">
        <f t="shared" si="0"/>
        <v>0</v>
      </c>
      <c r="G5" s="28">
        <f t="shared" si="0"/>
        <v>0</v>
      </c>
      <c r="H5" s="28">
        <f t="shared" si="0"/>
        <v>57</v>
      </c>
      <c r="I5" s="28">
        <f t="shared" si="0"/>
        <v>57</v>
      </c>
      <c r="J5" s="28">
        <f t="shared" si="0"/>
        <v>0</v>
      </c>
      <c r="K5" s="28">
        <f t="shared" si="0"/>
        <v>0</v>
      </c>
      <c r="L5" s="28">
        <f t="shared" si="0"/>
        <v>148</v>
      </c>
      <c r="M5" s="28">
        <f t="shared" si="0"/>
        <v>148</v>
      </c>
      <c r="N5" s="28">
        <f t="shared" si="0"/>
        <v>0</v>
      </c>
      <c r="O5" s="28">
        <f t="shared" si="0"/>
        <v>0</v>
      </c>
      <c r="P5" s="28">
        <f t="shared" si="0"/>
        <v>1584</v>
      </c>
      <c r="Q5" s="28">
        <f t="shared" si="0"/>
        <v>1584</v>
      </c>
      <c r="R5" s="28">
        <f t="shared" si="0"/>
        <v>0</v>
      </c>
      <c r="S5" s="28">
        <f t="shared" si="0"/>
        <v>0</v>
      </c>
      <c r="T5" s="28">
        <f t="shared" si="0"/>
        <v>1584</v>
      </c>
      <c r="U5" s="28">
        <f t="shared" si="0"/>
        <v>1584</v>
      </c>
      <c r="V5" s="28">
        <f t="shared" si="0"/>
        <v>0</v>
      </c>
      <c r="W5" s="28">
        <f t="shared" si="0"/>
        <v>0</v>
      </c>
      <c r="X5" s="28">
        <f t="shared" si="0"/>
        <v>6698</v>
      </c>
      <c r="Y5" s="28">
        <f t="shared" si="0"/>
        <v>6698</v>
      </c>
      <c r="Z5" s="28">
        <f t="shared" si="0"/>
        <v>0</v>
      </c>
      <c r="AA5" s="28">
        <f t="shared" si="0"/>
        <v>0</v>
      </c>
      <c r="AB5" s="28">
        <f t="shared" si="0"/>
        <v>7415</v>
      </c>
      <c r="AC5" s="28">
        <f t="shared" si="0"/>
        <v>7415</v>
      </c>
      <c r="AD5" s="28">
        <f t="shared" si="0"/>
        <v>0</v>
      </c>
      <c r="AE5" s="28">
        <f t="shared" si="0"/>
        <v>0</v>
      </c>
      <c r="AF5" s="28">
        <f t="shared" si="0"/>
        <v>29665</v>
      </c>
      <c r="AG5" s="28">
        <f t="shared" si="0"/>
        <v>29665</v>
      </c>
    </row>
    <row r="6" spans="1:42" ht="13.2" x14ac:dyDescent="0.25">
      <c r="B6" s="26" t="s">
        <v>53</v>
      </c>
      <c r="C6" s="27">
        <v>0</v>
      </c>
      <c r="D6" s="27">
        <v>57</v>
      </c>
      <c r="E6" s="27">
        <v>0</v>
      </c>
      <c r="F6" s="27">
        <v>0</v>
      </c>
      <c r="G6" s="27">
        <v>0</v>
      </c>
      <c r="H6" s="28">
        <f>E5</f>
        <v>57</v>
      </c>
      <c r="I6" s="27">
        <v>0</v>
      </c>
      <c r="J6" s="27">
        <v>0</v>
      </c>
      <c r="K6" s="27">
        <v>0</v>
      </c>
      <c r="L6" s="28">
        <f>I5+91</f>
        <v>148</v>
      </c>
      <c r="M6" s="27">
        <v>0</v>
      </c>
      <c r="N6" s="27">
        <v>0</v>
      </c>
      <c r="O6" s="27">
        <v>0</v>
      </c>
      <c r="P6" s="28">
        <f>M5+284-91+550-57+750</f>
        <v>1584</v>
      </c>
      <c r="Q6" s="27">
        <v>0</v>
      </c>
      <c r="R6" s="27">
        <v>0</v>
      </c>
      <c r="S6" s="27">
        <v>0</v>
      </c>
      <c r="T6" s="28">
        <f>Q5</f>
        <v>1584</v>
      </c>
      <c r="U6" s="27">
        <v>0</v>
      </c>
      <c r="V6" s="27">
        <v>0</v>
      </c>
      <c r="W6" s="27">
        <v>0</v>
      </c>
      <c r="X6" s="28">
        <f>V7+5398-284</f>
        <v>6698</v>
      </c>
      <c r="Y6" s="27">
        <v>0</v>
      </c>
      <c r="Z6" s="27">
        <v>0</v>
      </c>
      <c r="AA6" s="27">
        <v>0</v>
      </c>
      <c r="AB6" s="28">
        <f>Z7+717</f>
        <v>7415</v>
      </c>
      <c r="AC6" s="27">
        <v>0</v>
      </c>
      <c r="AD6" s="27">
        <v>0</v>
      </c>
      <c r="AE6" s="27">
        <v>0</v>
      </c>
      <c r="AF6" s="28">
        <f>AD7+22967-717</f>
        <v>29665</v>
      </c>
      <c r="AG6" s="27">
        <v>0</v>
      </c>
    </row>
    <row r="7" spans="1:42" ht="13.2" x14ac:dyDescent="0.25">
      <c r="B7" s="26" t="s">
        <v>54</v>
      </c>
      <c r="C7" s="27">
        <v>0</v>
      </c>
      <c r="D7" s="27">
        <v>0</v>
      </c>
      <c r="E7" s="27">
        <v>0</v>
      </c>
      <c r="F7" s="27">
        <f>E5</f>
        <v>57</v>
      </c>
      <c r="G7" s="27">
        <v>0</v>
      </c>
      <c r="H7" s="27">
        <v>0</v>
      </c>
      <c r="I7" s="27">
        <v>0</v>
      </c>
      <c r="J7" s="28">
        <f>I5</f>
        <v>57</v>
      </c>
      <c r="K7" s="27">
        <v>0</v>
      </c>
      <c r="L7" s="28">
        <f>K5</f>
        <v>0</v>
      </c>
      <c r="M7" s="27">
        <v>0</v>
      </c>
      <c r="N7" s="28">
        <f>M5</f>
        <v>148</v>
      </c>
      <c r="O7" s="27">
        <v>0</v>
      </c>
      <c r="P7" s="28">
        <f>O5</f>
        <v>0</v>
      </c>
      <c r="Q7" s="27">
        <v>0</v>
      </c>
      <c r="R7" s="28">
        <f>Q5</f>
        <v>1584</v>
      </c>
      <c r="S7" s="27">
        <v>0</v>
      </c>
      <c r="T7" s="27">
        <v>0</v>
      </c>
      <c r="U7" s="27">
        <v>0</v>
      </c>
      <c r="V7" s="28">
        <f>U5</f>
        <v>1584</v>
      </c>
      <c r="W7" s="27">
        <v>0</v>
      </c>
      <c r="X7" s="28">
        <f>W5</f>
        <v>0</v>
      </c>
      <c r="Y7" s="27">
        <v>0</v>
      </c>
      <c r="Z7" s="28">
        <f>Y5</f>
        <v>6698</v>
      </c>
      <c r="AA7" s="27">
        <v>0</v>
      </c>
      <c r="AB7" s="28">
        <f>AA5</f>
        <v>0</v>
      </c>
      <c r="AC7" s="27">
        <v>0</v>
      </c>
      <c r="AD7" s="28">
        <f>AC5</f>
        <v>7415</v>
      </c>
      <c r="AE7" s="27">
        <v>0</v>
      </c>
      <c r="AF7" s="28">
        <f>AE5</f>
        <v>0</v>
      </c>
      <c r="AG7" s="27">
        <v>0</v>
      </c>
    </row>
    <row r="8" spans="1:42" ht="13.2" x14ac:dyDescent="0.25">
      <c r="B8" s="26" t="s">
        <v>55</v>
      </c>
      <c r="C8" s="28">
        <f t="shared" ref="C8:AG8" si="1">C6-C7</f>
        <v>0</v>
      </c>
      <c r="D8" s="28">
        <f t="shared" si="1"/>
        <v>57</v>
      </c>
      <c r="E8" s="28">
        <f t="shared" si="1"/>
        <v>0</v>
      </c>
      <c r="F8" s="28">
        <f t="shared" si="1"/>
        <v>-57</v>
      </c>
      <c r="G8" s="28">
        <f t="shared" si="1"/>
        <v>0</v>
      </c>
      <c r="H8" s="28">
        <f t="shared" si="1"/>
        <v>57</v>
      </c>
      <c r="I8" s="28">
        <f t="shared" si="1"/>
        <v>0</v>
      </c>
      <c r="J8" s="28">
        <f t="shared" si="1"/>
        <v>-57</v>
      </c>
      <c r="K8" s="28">
        <f t="shared" si="1"/>
        <v>0</v>
      </c>
      <c r="L8" s="28">
        <f t="shared" si="1"/>
        <v>148</v>
      </c>
      <c r="M8" s="28">
        <f t="shared" si="1"/>
        <v>0</v>
      </c>
      <c r="N8" s="28">
        <f t="shared" si="1"/>
        <v>-148</v>
      </c>
      <c r="O8" s="28">
        <f t="shared" si="1"/>
        <v>0</v>
      </c>
      <c r="P8" s="28">
        <f t="shared" si="1"/>
        <v>1584</v>
      </c>
      <c r="Q8" s="28">
        <f t="shared" si="1"/>
        <v>0</v>
      </c>
      <c r="R8" s="28">
        <f t="shared" si="1"/>
        <v>-1584</v>
      </c>
      <c r="S8" s="28">
        <f t="shared" si="1"/>
        <v>0</v>
      </c>
      <c r="T8" s="28">
        <f t="shared" si="1"/>
        <v>1584</v>
      </c>
      <c r="U8" s="28">
        <f t="shared" si="1"/>
        <v>0</v>
      </c>
      <c r="V8" s="28">
        <f t="shared" si="1"/>
        <v>-1584</v>
      </c>
      <c r="W8" s="28">
        <f t="shared" si="1"/>
        <v>0</v>
      </c>
      <c r="X8" s="28">
        <f t="shared" si="1"/>
        <v>6698</v>
      </c>
      <c r="Y8" s="28">
        <f t="shared" si="1"/>
        <v>0</v>
      </c>
      <c r="Z8" s="28">
        <f t="shared" si="1"/>
        <v>-6698</v>
      </c>
      <c r="AA8" s="28">
        <f t="shared" si="1"/>
        <v>0</v>
      </c>
      <c r="AB8" s="28">
        <f t="shared" si="1"/>
        <v>7415</v>
      </c>
      <c r="AC8" s="28">
        <f t="shared" si="1"/>
        <v>0</v>
      </c>
      <c r="AD8" s="28">
        <f t="shared" si="1"/>
        <v>-7415</v>
      </c>
      <c r="AE8" s="28">
        <f t="shared" si="1"/>
        <v>0</v>
      </c>
      <c r="AF8" s="28">
        <f t="shared" si="1"/>
        <v>29665</v>
      </c>
      <c r="AG8" s="28">
        <f t="shared" si="1"/>
        <v>0</v>
      </c>
    </row>
    <row r="9" spans="1:42" ht="54.75" customHeight="1" x14ac:dyDescent="0.25">
      <c r="A9" s="29"/>
      <c r="B9" s="30" t="s">
        <v>56</v>
      </c>
      <c r="C9" s="30"/>
      <c r="D9" s="30" t="s">
        <v>57</v>
      </c>
      <c r="E9" s="30" t="s">
        <v>58</v>
      </c>
      <c r="F9" s="31"/>
      <c r="G9" s="31"/>
      <c r="H9" s="30"/>
      <c r="I9" s="31"/>
      <c r="J9" s="31"/>
      <c r="K9" s="31"/>
      <c r="L9" s="30" t="s">
        <v>59</v>
      </c>
      <c r="M9" s="31"/>
      <c r="N9" s="31"/>
      <c r="O9" s="31"/>
      <c r="P9" s="30" t="s">
        <v>60</v>
      </c>
      <c r="Q9" s="31"/>
      <c r="R9" s="31"/>
      <c r="S9" s="31"/>
      <c r="T9" s="30"/>
      <c r="U9" s="31"/>
      <c r="V9" s="31"/>
      <c r="W9" s="31"/>
      <c r="X9" s="30" t="s">
        <v>61</v>
      </c>
      <c r="Y9" s="31"/>
      <c r="Z9" s="31"/>
      <c r="AA9" s="31"/>
      <c r="AB9" s="30" t="s">
        <v>62</v>
      </c>
      <c r="AC9" s="31"/>
      <c r="AD9" s="31"/>
      <c r="AE9" s="31"/>
      <c r="AF9" s="30" t="s">
        <v>63</v>
      </c>
      <c r="AG9" s="31"/>
      <c r="AH9" s="29"/>
      <c r="AI9" s="29"/>
      <c r="AJ9" s="29"/>
      <c r="AK9" s="29"/>
      <c r="AL9" s="29"/>
      <c r="AM9" s="29"/>
      <c r="AN9" s="29"/>
      <c r="AO9" s="29"/>
      <c r="AP9" s="29"/>
    </row>
    <row r="10" spans="1:42" ht="13.2" x14ac:dyDescent="0.25">
      <c r="B10" s="32" t="s">
        <v>64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1:42" ht="13.2" x14ac:dyDescent="0.25">
      <c r="B11" s="22" t="s">
        <v>52</v>
      </c>
      <c r="C11" s="33">
        <f>C12-C13</f>
        <v>50</v>
      </c>
      <c r="D11" s="34">
        <f t="shared" ref="D11:AG11" si="2">C11+D12-D13</f>
        <v>186.5</v>
      </c>
      <c r="E11" s="34">
        <f t="shared" si="2"/>
        <v>186.5</v>
      </c>
      <c r="F11" s="34">
        <f t="shared" si="2"/>
        <v>186.5</v>
      </c>
      <c r="G11" s="34">
        <f t="shared" si="2"/>
        <v>186.5</v>
      </c>
      <c r="H11" s="34">
        <f t="shared" si="2"/>
        <v>1415</v>
      </c>
      <c r="I11" s="34">
        <f t="shared" si="2"/>
        <v>1415</v>
      </c>
      <c r="J11" s="34">
        <f t="shared" si="2"/>
        <v>1415</v>
      </c>
      <c r="K11" s="34">
        <f t="shared" si="2"/>
        <v>1415</v>
      </c>
      <c r="L11" s="34">
        <f t="shared" si="2"/>
        <v>6308.5</v>
      </c>
      <c r="M11" s="34">
        <f t="shared" si="2"/>
        <v>6308.5</v>
      </c>
      <c r="N11" s="34">
        <f t="shared" si="2"/>
        <v>6308.5</v>
      </c>
      <c r="O11" s="34">
        <f t="shared" si="2"/>
        <v>6308.5</v>
      </c>
      <c r="P11" s="34">
        <f t="shared" si="2"/>
        <v>6951</v>
      </c>
      <c r="Q11" s="34">
        <f t="shared" si="2"/>
        <v>6951</v>
      </c>
      <c r="R11" s="34">
        <f t="shared" si="2"/>
        <v>6951</v>
      </c>
      <c r="S11" s="34">
        <f t="shared" si="2"/>
        <v>6951</v>
      </c>
      <c r="T11" s="34">
        <f t="shared" si="2"/>
        <v>12733.5</v>
      </c>
      <c r="U11" s="34">
        <f t="shared" si="2"/>
        <v>12733.5</v>
      </c>
      <c r="V11" s="34">
        <f t="shared" si="2"/>
        <v>12733.5</v>
      </c>
      <c r="W11" s="34">
        <f t="shared" si="2"/>
        <v>12733.5</v>
      </c>
      <c r="X11" s="34">
        <f t="shared" si="2"/>
        <v>19158.5</v>
      </c>
      <c r="Y11" s="34">
        <f t="shared" si="2"/>
        <v>19158.5</v>
      </c>
      <c r="Z11" s="34">
        <f t="shared" si="2"/>
        <v>19158.5</v>
      </c>
      <c r="AA11" s="34">
        <f t="shared" si="2"/>
        <v>19158.5</v>
      </c>
      <c r="AB11" s="34">
        <f t="shared" si="2"/>
        <v>25583.5</v>
      </c>
      <c r="AC11" s="34">
        <f t="shared" si="2"/>
        <v>25583.5</v>
      </c>
      <c r="AD11" s="34">
        <f t="shared" si="2"/>
        <v>25583.5</v>
      </c>
      <c r="AE11" s="34">
        <f t="shared" si="2"/>
        <v>25583.5</v>
      </c>
      <c r="AF11" s="34">
        <f t="shared" si="2"/>
        <v>32008.5</v>
      </c>
      <c r="AG11" s="34">
        <f t="shared" si="2"/>
        <v>32008.5</v>
      </c>
    </row>
    <row r="12" spans="1:42" ht="13.2" x14ac:dyDescent="0.25">
      <c r="B12" s="22" t="s">
        <v>53</v>
      </c>
      <c r="C12" s="33">
        <v>50</v>
      </c>
      <c r="D12" s="33">
        <f>546/4</f>
        <v>136.5</v>
      </c>
      <c r="E12" s="33">
        <v>0</v>
      </c>
      <c r="F12" s="33">
        <v>0</v>
      </c>
      <c r="G12" s="33">
        <v>0</v>
      </c>
      <c r="H12" s="33">
        <f>5460/4</f>
        <v>1365</v>
      </c>
      <c r="I12" s="33">
        <v>0</v>
      </c>
      <c r="J12" s="33">
        <v>0</v>
      </c>
      <c r="K12" s="33">
        <v>0</v>
      </c>
      <c r="L12" s="34">
        <f>(19574/4)+K11</f>
        <v>6308.5</v>
      </c>
      <c r="M12" s="33">
        <v>0</v>
      </c>
      <c r="N12" s="33">
        <v>0</v>
      </c>
      <c r="O12" s="33">
        <v>0</v>
      </c>
      <c r="P12" s="34">
        <f>O11+1285/2</f>
        <v>6951</v>
      </c>
      <c r="Q12" s="33">
        <v>0</v>
      </c>
      <c r="R12" s="33">
        <v>0</v>
      </c>
      <c r="S12" s="33">
        <v>0</v>
      </c>
      <c r="T12" s="34">
        <f>O11+(12850/2)</f>
        <v>12733.5</v>
      </c>
      <c r="U12" s="33">
        <v>0</v>
      </c>
      <c r="V12" s="33">
        <v>0</v>
      </c>
      <c r="W12" s="33">
        <v>0</v>
      </c>
      <c r="X12" s="34">
        <f>W11+(12850/2)</f>
        <v>19158.5</v>
      </c>
      <c r="Y12" s="33">
        <v>0</v>
      </c>
      <c r="Z12" s="33">
        <v>0</v>
      </c>
      <c r="AA12" s="33">
        <v>0</v>
      </c>
      <c r="AB12" s="34">
        <f>AA11+(12850/2)</f>
        <v>25583.5</v>
      </c>
      <c r="AC12" s="33">
        <v>0</v>
      </c>
      <c r="AD12" s="33">
        <v>0</v>
      </c>
      <c r="AE12" s="33">
        <v>0</v>
      </c>
      <c r="AF12" s="34">
        <f>AE11+(12850/2)</f>
        <v>32008.5</v>
      </c>
      <c r="AG12" s="33">
        <v>0</v>
      </c>
    </row>
    <row r="13" spans="1:42" ht="13.2" x14ac:dyDescent="0.25">
      <c r="B13" s="22" t="s">
        <v>54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f>546/4</f>
        <v>136.5</v>
      </c>
      <c r="I13" s="33">
        <v>0</v>
      </c>
      <c r="J13" s="33">
        <v>0</v>
      </c>
      <c r="K13" s="33">
        <v>0</v>
      </c>
      <c r="L13" s="34">
        <f>K11</f>
        <v>1415</v>
      </c>
      <c r="M13" s="33">
        <v>0</v>
      </c>
      <c r="N13" s="33">
        <v>0</v>
      </c>
      <c r="O13" s="33">
        <v>0</v>
      </c>
      <c r="P13" s="34">
        <f>O11</f>
        <v>6308.5</v>
      </c>
      <c r="Q13" s="33">
        <v>0</v>
      </c>
      <c r="R13" s="33">
        <v>0</v>
      </c>
      <c r="S13" s="33">
        <v>0</v>
      </c>
      <c r="T13" s="34">
        <f>S11</f>
        <v>6951</v>
      </c>
      <c r="U13" s="33">
        <v>0</v>
      </c>
      <c r="V13" s="33">
        <v>0</v>
      </c>
      <c r="W13" s="33">
        <v>0</v>
      </c>
      <c r="X13" s="34">
        <f>W11</f>
        <v>12733.5</v>
      </c>
      <c r="Y13" s="33">
        <v>0</v>
      </c>
      <c r="Z13" s="33">
        <v>0</v>
      </c>
      <c r="AA13" s="33">
        <v>0</v>
      </c>
      <c r="AB13" s="34">
        <f>AA11</f>
        <v>19158.5</v>
      </c>
      <c r="AC13" s="33">
        <v>0</v>
      </c>
      <c r="AD13" s="33">
        <v>0</v>
      </c>
      <c r="AE13" s="33">
        <v>0</v>
      </c>
      <c r="AF13" s="34">
        <f>AE11</f>
        <v>25583.5</v>
      </c>
      <c r="AG13" s="33">
        <v>0</v>
      </c>
    </row>
    <row r="14" spans="1:42" ht="13.2" x14ac:dyDescent="0.25">
      <c r="B14" s="22" t="s">
        <v>55</v>
      </c>
      <c r="C14" s="34">
        <f t="shared" ref="C14:AG14" si="3">C12-C13</f>
        <v>50</v>
      </c>
      <c r="D14" s="34">
        <f t="shared" si="3"/>
        <v>136.5</v>
      </c>
      <c r="E14" s="34">
        <f t="shared" si="3"/>
        <v>0</v>
      </c>
      <c r="F14" s="34">
        <f t="shared" si="3"/>
        <v>0</v>
      </c>
      <c r="G14" s="34">
        <f t="shared" si="3"/>
        <v>0</v>
      </c>
      <c r="H14" s="34">
        <f t="shared" si="3"/>
        <v>1228.5</v>
      </c>
      <c r="I14" s="34">
        <f t="shared" si="3"/>
        <v>0</v>
      </c>
      <c r="J14" s="34">
        <f t="shared" si="3"/>
        <v>0</v>
      </c>
      <c r="K14" s="34">
        <f t="shared" si="3"/>
        <v>0</v>
      </c>
      <c r="L14" s="34">
        <f t="shared" si="3"/>
        <v>4893.5</v>
      </c>
      <c r="M14" s="34">
        <f t="shared" si="3"/>
        <v>0</v>
      </c>
      <c r="N14" s="34">
        <f t="shared" si="3"/>
        <v>0</v>
      </c>
      <c r="O14" s="34">
        <f t="shared" si="3"/>
        <v>0</v>
      </c>
      <c r="P14" s="34">
        <f t="shared" si="3"/>
        <v>642.5</v>
      </c>
      <c r="Q14" s="34">
        <f t="shared" si="3"/>
        <v>0</v>
      </c>
      <c r="R14" s="34">
        <f t="shared" si="3"/>
        <v>0</v>
      </c>
      <c r="S14" s="34">
        <f t="shared" si="3"/>
        <v>0</v>
      </c>
      <c r="T14" s="34">
        <f t="shared" si="3"/>
        <v>5782.5</v>
      </c>
      <c r="U14" s="34">
        <f t="shared" si="3"/>
        <v>0</v>
      </c>
      <c r="V14" s="34">
        <f t="shared" si="3"/>
        <v>0</v>
      </c>
      <c r="W14" s="34">
        <f t="shared" si="3"/>
        <v>0</v>
      </c>
      <c r="X14" s="34">
        <f t="shared" si="3"/>
        <v>6425</v>
      </c>
      <c r="Y14" s="34">
        <f t="shared" si="3"/>
        <v>0</v>
      </c>
      <c r="Z14" s="34">
        <f t="shared" si="3"/>
        <v>0</v>
      </c>
      <c r="AA14" s="34">
        <f t="shared" si="3"/>
        <v>0</v>
      </c>
      <c r="AB14" s="34">
        <f t="shared" si="3"/>
        <v>6425</v>
      </c>
      <c r="AC14" s="34">
        <f t="shared" si="3"/>
        <v>0</v>
      </c>
      <c r="AD14" s="34">
        <f t="shared" si="3"/>
        <v>0</v>
      </c>
      <c r="AE14" s="34">
        <f t="shared" si="3"/>
        <v>0</v>
      </c>
      <c r="AF14" s="34">
        <f t="shared" si="3"/>
        <v>6425</v>
      </c>
      <c r="AG14" s="34">
        <f t="shared" si="3"/>
        <v>0</v>
      </c>
    </row>
    <row r="15" spans="1:42" ht="46.5" customHeight="1" x14ac:dyDescent="0.25">
      <c r="A15" s="29"/>
      <c r="B15" s="35" t="s">
        <v>56</v>
      </c>
      <c r="C15" s="35" t="s">
        <v>65</v>
      </c>
      <c r="D15" s="36" t="s">
        <v>66</v>
      </c>
      <c r="E15" s="37"/>
      <c r="F15" s="37"/>
      <c r="G15" s="37"/>
      <c r="H15" s="35" t="s">
        <v>67</v>
      </c>
      <c r="I15" s="37"/>
      <c r="J15" s="37"/>
      <c r="K15" s="37"/>
      <c r="L15" s="35" t="s">
        <v>68</v>
      </c>
      <c r="M15" s="37"/>
      <c r="N15" s="37"/>
      <c r="O15" s="37"/>
      <c r="P15" s="35" t="s">
        <v>69</v>
      </c>
      <c r="Q15" s="37"/>
      <c r="R15" s="37"/>
      <c r="S15" s="37"/>
      <c r="T15" s="35" t="s">
        <v>70</v>
      </c>
      <c r="U15" s="37"/>
      <c r="V15" s="37"/>
      <c r="W15" s="37"/>
      <c r="X15" s="35" t="s">
        <v>71</v>
      </c>
      <c r="Y15" s="37"/>
      <c r="Z15" s="37"/>
      <c r="AA15" s="37"/>
      <c r="AB15" s="35" t="s">
        <v>72</v>
      </c>
      <c r="AC15" s="37"/>
      <c r="AD15" s="37"/>
      <c r="AE15" s="37"/>
      <c r="AF15" s="35" t="s">
        <v>73</v>
      </c>
      <c r="AG15" s="37"/>
      <c r="AH15" s="29"/>
      <c r="AI15" s="29"/>
      <c r="AJ15" s="29"/>
      <c r="AK15" s="29"/>
      <c r="AL15" s="29"/>
      <c r="AM15" s="29"/>
      <c r="AN15" s="29"/>
      <c r="AO15" s="29"/>
      <c r="AP15" s="29"/>
    </row>
    <row r="16" spans="1:42" ht="13.2" x14ac:dyDescent="0.25">
      <c r="B16" s="24" t="s">
        <v>74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42" ht="13.2" x14ac:dyDescent="0.25">
      <c r="B17" s="38" t="s">
        <v>52</v>
      </c>
      <c r="C17" s="39">
        <v>100</v>
      </c>
      <c r="D17" s="40">
        <f t="shared" ref="D17:AG17" si="4">C17+D18-D19</f>
        <v>100</v>
      </c>
      <c r="E17" s="40">
        <f t="shared" si="4"/>
        <v>35400</v>
      </c>
      <c r="F17" s="40">
        <f t="shared" si="4"/>
        <v>35212.379858400003</v>
      </c>
      <c r="G17" s="40">
        <f t="shared" si="4"/>
        <v>35025.754104300962</v>
      </c>
      <c r="H17" s="40">
        <f t="shared" si="4"/>
        <v>34840.117467445147</v>
      </c>
      <c r="I17" s="40">
        <f t="shared" si="4"/>
        <v>34655.46470550722</v>
      </c>
      <c r="J17" s="40">
        <f t="shared" si="4"/>
        <v>34471.790603946174</v>
      </c>
      <c r="K17" s="40">
        <f t="shared" si="4"/>
        <v>34289.089975858093</v>
      </c>
      <c r="L17" s="40">
        <f t="shared" si="4"/>
        <v>34107.357661829687</v>
      </c>
      <c r="M17" s="40">
        <f>(L17+M18-M19)/2</f>
        <v>659463.29426489631</v>
      </c>
      <c r="N17" s="40">
        <f>(M17+N18-N19)*2</f>
        <v>1311936.2723348783</v>
      </c>
      <c r="O17" s="40">
        <f t="shared" si="4"/>
        <v>2589983.004843758</v>
      </c>
      <c r="P17" s="40">
        <f t="shared" si="4"/>
        <v>2576256.084558154</v>
      </c>
      <c r="Q17" s="40">
        <f t="shared" si="4"/>
        <v>2882601.9170049713</v>
      </c>
      <c r="R17" s="40">
        <f t="shared" si="4"/>
        <v>2867324.1153144375</v>
      </c>
      <c r="S17" s="40">
        <f t="shared" si="4"/>
        <v>2852127.2860339745</v>
      </c>
      <c r="T17" s="40">
        <f t="shared" si="4"/>
        <v>2837011.0000094855</v>
      </c>
      <c r="U17" s="40">
        <f t="shared" si="4"/>
        <v>2920274.8303613914</v>
      </c>
      <c r="V17" s="40">
        <f t="shared" si="4"/>
        <v>2904797.3620793768</v>
      </c>
      <c r="W17" s="40">
        <f t="shared" si="4"/>
        <v>2889401.9244411662</v>
      </c>
      <c r="X17" s="40">
        <f t="shared" si="4"/>
        <v>2874088.0826840205</v>
      </c>
      <c r="Y17" s="40">
        <f t="shared" si="4"/>
        <v>2858855.4043494426</v>
      </c>
      <c r="Z17" s="40">
        <f t="shared" si="4"/>
        <v>2843703.4592709686</v>
      </c>
      <c r="AA17" s="40">
        <f t="shared" si="4"/>
        <v>2828631.8195620188</v>
      </c>
      <c r="AB17" s="40">
        <f t="shared" si="4"/>
        <v>2813640.0596038126</v>
      </c>
      <c r="AC17" s="40">
        <f t="shared" si="4"/>
        <v>2890227.7560333521</v>
      </c>
      <c r="AD17" s="40">
        <f t="shared" si="4"/>
        <v>2874909.537365464</v>
      </c>
      <c r="AE17" s="40">
        <f t="shared" si="4"/>
        <v>2859672.5053177886</v>
      </c>
      <c r="AF17" s="40">
        <f t="shared" si="4"/>
        <v>2844516.2296009143</v>
      </c>
      <c r="AG17" s="40">
        <f t="shared" si="4"/>
        <v>2829440.2822059644</v>
      </c>
    </row>
    <row r="18" spans="1:42" ht="13.2" x14ac:dyDescent="0.25">
      <c r="B18" s="38" t="s">
        <v>53</v>
      </c>
      <c r="C18" s="39">
        <v>100</v>
      </c>
      <c r="D18" s="39">
        <v>0</v>
      </c>
      <c r="E18" s="39">
        <v>35600</v>
      </c>
      <c r="F18" s="40">
        <f t="shared" ref="F18:L18" si="5">E17*0.166666666</f>
        <v>5899.9999763999995</v>
      </c>
      <c r="G18" s="40">
        <f t="shared" si="5"/>
        <v>5868.7299529250804</v>
      </c>
      <c r="H18" s="40">
        <f t="shared" si="5"/>
        <v>5837.6256606996576</v>
      </c>
      <c r="I18" s="40">
        <f t="shared" si="5"/>
        <v>5806.686221347446</v>
      </c>
      <c r="J18" s="40">
        <f t="shared" si="5"/>
        <v>5775.9107611475602</v>
      </c>
      <c r="K18" s="40">
        <f t="shared" si="5"/>
        <v>5745.298411009835</v>
      </c>
      <c r="L18" s="40">
        <f t="shared" si="5"/>
        <v>5714.8483064502889</v>
      </c>
      <c r="M18" s="40">
        <f>L17*0.166666666+2570000/2</f>
        <v>1290684.5595875666</v>
      </c>
      <c r="N18" s="40">
        <f>M17*0.166666666</f>
        <v>109910.54860450719</v>
      </c>
      <c r="O18" s="40">
        <f>N17*0.166666666+2570000/2</f>
        <v>1503656.0445145222</v>
      </c>
      <c r="P18" s="40">
        <f>O17*0.166666666</f>
        <v>431663.83241397096</v>
      </c>
      <c r="Q18" s="40">
        <f>P17*0.166666666+320000</f>
        <v>749376.01237552159</v>
      </c>
      <c r="R18" s="40">
        <f t="shared" ref="R18:T18" si="6">Q17*0.166666666</f>
        <v>480433.65091242723</v>
      </c>
      <c r="S18" s="40">
        <f t="shared" si="6"/>
        <v>477887.35064085684</v>
      </c>
      <c r="T18" s="40">
        <f t="shared" si="6"/>
        <v>475354.54577091086</v>
      </c>
      <c r="U18" s="40">
        <f>T17*0.166666666+98300</f>
        <v>571135.16477690684</v>
      </c>
      <c r="V18" s="40">
        <f t="shared" ref="V18:AB18" si="7">U17*0.166666666</f>
        <v>486712.46978004865</v>
      </c>
      <c r="W18" s="40">
        <f t="shared" si="7"/>
        <v>484132.89174336451</v>
      </c>
      <c r="X18" s="40">
        <f t="shared" si="7"/>
        <v>481566.98548059305</v>
      </c>
      <c r="Y18" s="40">
        <f t="shared" si="7"/>
        <v>479014.67853127798</v>
      </c>
      <c r="Z18" s="40">
        <f t="shared" si="7"/>
        <v>476475.89881900349</v>
      </c>
      <c r="AA18" s="40">
        <f t="shared" si="7"/>
        <v>473950.5746493591</v>
      </c>
      <c r="AB18" s="40">
        <f t="shared" si="7"/>
        <v>471438.63470791525</v>
      </c>
      <c r="AC18" s="40">
        <f>AB17*0.166666666+91500</f>
        <v>560440.00805820874</v>
      </c>
      <c r="AD18" s="40">
        <f t="shared" ref="AD18:AG18" si="8">AC17*0.166666666</f>
        <v>481704.62407874013</v>
      </c>
      <c r="AE18" s="40">
        <f t="shared" si="8"/>
        <v>479151.58764430427</v>
      </c>
      <c r="AF18" s="40">
        <f t="shared" si="8"/>
        <v>476612.08231318305</v>
      </c>
      <c r="AG18" s="40">
        <f t="shared" si="8"/>
        <v>474086.03637047485</v>
      </c>
    </row>
    <row r="19" spans="1:42" ht="13.2" x14ac:dyDescent="0.25">
      <c r="B19" s="38" t="s">
        <v>54</v>
      </c>
      <c r="C19" s="39">
        <v>0</v>
      </c>
      <c r="D19" s="39">
        <v>0</v>
      </c>
      <c r="E19" s="39">
        <v>300</v>
      </c>
      <c r="F19" s="40">
        <f t="shared" ref="F19:AG19" si="9">0.17196667*E17</f>
        <v>6087.6201179999998</v>
      </c>
      <c r="G19" s="40">
        <f t="shared" si="9"/>
        <v>6055.3557070241195</v>
      </c>
      <c r="H19" s="40">
        <f t="shared" si="9"/>
        <v>6023.2622975554686</v>
      </c>
      <c r="I19" s="40">
        <f t="shared" si="9"/>
        <v>5991.3389832853745</v>
      </c>
      <c r="J19" s="40">
        <f t="shared" si="9"/>
        <v>5959.584862708607</v>
      </c>
      <c r="K19" s="40">
        <f t="shared" si="9"/>
        <v>5927.9990390979119</v>
      </c>
      <c r="L19" s="40">
        <f t="shared" si="9"/>
        <v>5896.5806204786959</v>
      </c>
      <c r="M19" s="40">
        <f t="shared" si="9"/>
        <v>5865.3287196038373</v>
      </c>
      <c r="N19" s="40">
        <f t="shared" si="9"/>
        <v>113405.70670196431</v>
      </c>
      <c r="O19" s="40">
        <f t="shared" si="9"/>
        <v>225609.31200564213</v>
      </c>
      <c r="P19" s="40">
        <f t="shared" si="9"/>
        <v>445390.75269957492</v>
      </c>
      <c r="Q19" s="40">
        <f t="shared" si="9"/>
        <v>443030.17992870411</v>
      </c>
      <c r="R19" s="40">
        <f t="shared" si="9"/>
        <v>495711.45260296128</v>
      </c>
      <c r="S19" s="40">
        <f t="shared" si="9"/>
        <v>493084.17992131977</v>
      </c>
      <c r="T19" s="40">
        <f t="shared" si="9"/>
        <v>490470.83179540007</v>
      </c>
      <c r="U19" s="40">
        <f t="shared" si="9"/>
        <v>487871.33442500117</v>
      </c>
      <c r="V19" s="40">
        <f t="shared" si="9"/>
        <v>502189.93806206336</v>
      </c>
      <c r="W19" s="40">
        <f t="shared" si="9"/>
        <v>499528.3293815747</v>
      </c>
      <c r="X19" s="40">
        <f t="shared" si="9"/>
        <v>496880.82723773894</v>
      </c>
      <c r="Y19" s="40">
        <f t="shared" si="9"/>
        <v>494247.35686585563</v>
      </c>
      <c r="Z19" s="40">
        <f t="shared" si="9"/>
        <v>491627.84389747714</v>
      </c>
      <c r="AA19" s="40">
        <f t="shared" si="9"/>
        <v>489022.21435830905</v>
      </c>
      <c r="AB19" s="40">
        <f t="shared" si="9"/>
        <v>486430.39466612122</v>
      </c>
      <c r="AC19" s="40">
        <f t="shared" si="9"/>
        <v>483852.31162866915</v>
      </c>
      <c r="AD19" s="40">
        <f t="shared" si="9"/>
        <v>497022.84274662792</v>
      </c>
      <c r="AE19" s="40">
        <f t="shared" si="9"/>
        <v>494388.61969197937</v>
      </c>
      <c r="AF19" s="40">
        <f t="shared" si="9"/>
        <v>491768.35803005734</v>
      </c>
      <c r="AG19" s="40">
        <f t="shared" si="9"/>
        <v>489161.98376542464</v>
      </c>
    </row>
    <row r="20" spans="1:42" ht="13.2" x14ac:dyDescent="0.25">
      <c r="B20" s="38" t="s">
        <v>55</v>
      </c>
      <c r="C20" s="40">
        <f t="shared" ref="C20:AG20" si="10">C18-C19</f>
        <v>100</v>
      </c>
      <c r="D20" s="40">
        <f t="shared" si="10"/>
        <v>0</v>
      </c>
      <c r="E20" s="40">
        <f t="shared" si="10"/>
        <v>35300</v>
      </c>
      <c r="F20" s="40">
        <f t="shared" si="10"/>
        <v>-187.62014160000035</v>
      </c>
      <c r="G20" s="40">
        <f t="shared" si="10"/>
        <v>-186.62575409903911</v>
      </c>
      <c r="H20" s="40">
        <f t="shared" si="10"/>
        <v>-185.63663685581105</v>
      </c>
      <c r="I20" s="40">
        <f t="shared" si="10"/>
        <v>-184.65276193792852</v>
      </c>
      <c r="J20" s="40">
        <f t="shared" si="10"/>
        <v>-183.67410156104688</v>
      </c>
      <c r="K20" s="40">
        <f t="shared" si="10"/>
        <v>-182.70062808807688</v>
      </c>
      <c r="L20" s="40">
        <f t="shared" si="10"/>
        <v>-181.73231402840702</v>
      </c>
      <c r="M20" s="40">
        <f t="shared" si="10"/>
        <v>1284819.2308679628</v>
      </c>
      <c r="N20" s="40">
        <f t="shared" si="10"/>
        <v>-3495.1580974571261</v>
      </c>
      <c r="O20" s="40">
        <f t="shared" si="10"/>
        <v>1278046.7325088801</v>
      </c>
      <c r="P20" s="40">
        <f t="shared" si="10"/>
        <v>-13726.920285603963</v>
      </c>
      <c r="Q20" s="40">
        <f t="shared" si="10"/>
        <v>306345.83244681748</v>
      </c>
      <c r="R20" s="40">
        <f t="shared" si="10"/>
        <v>-15277.801690534048</v>
      </c>
      <c r="S20" s="40">
        <f t="shared" si="10"/>
        <v>-15196.829280462931</v>
      </c>
      <c r="T20" s="40">
        <f t="shared" si="10"/>
        <v>-15116.286024489207</v>
      </c>
      <c r="U20" s="40">
        <f t="shared" si="10"/>
        <v>83263.830351905664</v>
      </c>
      <c r="V20" s="40">
        <f t="shared" si="10"/>
        <v>-15477.468282014714</v>
      </c>
      <c r="W20" s="40">
        <f t="shared" si="10"/>
        <v>-15395.437638210191</v>
      </c>
      <c r="X20" s="40">
        <f t="shared" si="10"/>
        <v>-15313.841757145885</v>
      </c>
      <c r="Y20" s="40">
        <f t="shared" si="10"/>
        <v>-15232.678334577649</v>
      </c>
      <c r="Z20" s="40">
        <f t="shared" si="10"/>
        <v>-15151.945078473655</v>
      </c>
      <c r="AA20" s="40">
        <f t="shared" si="10"/>
        <v>-15071.639708949951</v>
      </c>
      <c r="AB20" s="40">
        <f t="shared" si="10"/>
        <v>-14991.759958205977</v>
      </c>
      <c r="AC20" s="40">
        <f t="shared" si="10"/>
        <v>76587.696429539588</v>
      </c>
      <c r="AD20" s="40">
        <f t="shared" si="10"/>
        <v>-15318.218667887792</v>
      </c>
      <c r="AE20" s="40">
        <f t="shared" si="10"/>
        <v>-15237.032047675108</v>
      </c>
      <c r="AF20" s="40">
        <f t="shared" si="10"/>
        <v>-15156.275716874283</v>
      </c>
      <c r="AG20" s="40">
        <f t="shared" si="10"/>
        <v>-15075.947394949791</v>
      </c>
    </row>
    <row r="21" spans="1:42" ht="47.25" customHeight="1" x14ac:dyDescent="0.25">
      <c r="A21" s="29"/>
      <c r="B21" s="30" t="s">
        <v>56</v>
      </c>
      <c r="C21" s="30" t="s">
        <v>75</v>
      </c>
      <c r="D21" s="31"/>
      <c r="E21" s="30" t="s">
        <v>76</v>
      </c>
      <c r="F21" s="30" t="s">
        <v>77</v>
      </c>
      <c r="G21" s="31"/>
      <c r="H21" s="31"/>
      <c r="I21" s="31"/>
      <c r="J21" s="31"/>
      <c r="K21" s="31"/>
      <c r="L21" s="31"/>
      <c r="M21" s="30" t="s">
        <v>78</v>
      </c>
      <c r="N21" s="31"/>
      <c r="O21" s="30" t="s">
        <v>79</v>
      </c>
      <c r="P21" s="31"/>
      <c r="Q21" s="30" t="s">
        <v>80</v>
      </c>
      <c r="R21" s="31"/>
      <c r="S21" s="31"/>
      <c r="T21" s="31"/>
      <c r="U21" s="30" t="s">
        <v>81</v>
      </c>
      <c r="V21" s="31"/>
      <c r="W21" s="31"/>
      <c r="X21" s="31"/>
      <c r="Y21" s="31"/>
      <c r="Z21" s="31"/>
      <c r="AA21" s="31"/>
      <c r="AB21" s="31"/>
      <c r="AC21" s="30" t="s">
        <v>82</v>
      </c>
      <c r="AD21" s="31"/>
      <c r="AE21" s="31"/>
      <c r="AF21" s="31"/>
      <c r="AG21" s="31"/>
      <c r="AH21" s="29"/>
      <c r="AI21" s="29"/>
      <c r="AJ21" s="29"/>
      <c r="AK21" s="29"/>
      <c r="AL21" s="29"/>
      <c r="AM21" s="29"/>
      <c r="AN21" s="29"/>
      <c r="AO21" s="29"/>
      <c r="AP21" s="29"/>
    </row>
    <row r="22" spans="1:42" ht="13.2" x14ac:dyDescent="0.25">
      <c r="B22" s="32" t="s">
        <v>83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</row>
    <row r="23" spans="1:42" ht="13.2" x14ac:dyDescent="0.25">
      <c r="B23" s="22" t="s">
        <v>52</v>
      </c>
      <c r="C23" s="33">
        <v>60</v>
      </c>
      <c r="D23" s="34">
        <f t="shared" ref="D23:AG23" si="11">C23+D24-D25</f>
        <v>60</v>
      </c>
      <c r="E23" s="34">
        <f t="shared" si="11"/>
        <v>1380</v>
      </c>
      <c r="F23" s="34">
        <f t="shared" si="11"/>
        <v>3018</v>
      </c>
      <c r="G23" s="34">
        <f t="shared" si="11"/>
        <v>3054</v>
      </c>
      <c r="H23" s="34">
        <f t="shared" si="11"/>
        <v>3091</v>
      </c>
      <c r="I23" s="34">
        <f t="shared" si="11"/>
        <v>3129</v>
      </c>
      <c r="J23" s="34">
        <f t="shared" si="11"/>
        <v>4625</v>
      </c>
      <c r="K23" s="34">
        <f t="shared" si="11"/>
        <v>6137</v>
      </c>
      <c r="L23" s="34">
        <f t="shared" si="11"/>
        <v>7828</v>
      </c>
      <c r="M23" s="34">
        <f t="shared" si="11"/>
        <v>9539</v>
      </c>
      <c r="N23" s="34">
        <f t="shared" si="11"/>
        <v>10127</v>
      </c>
      <c r="O23" s="34">
        <f t="shared" si="11"/>
        <v>22470</v>
      </c>
      <c r="P23" s="34">
        <f t="shared" si="11"/>
        <v>34473</v>
      </c>
      <c r="Q23" s="34">
        <f t="shared" si="11"/>
        <v>34862</v>
      </c>
      <c r="R23" s="34">
        <f t="shared" si="11"/>
        <v>36705</v>
      </c>
      <c r="S23" s="34">
        <f t="shared" si="11"/>
        <v>38568</v>
      </c>
      <c r="T23" s="34">
        <f t="shared" si="11"/>
        <v>39003</v>
      </c>
      <c r="U23" s="34">
        <f t="shared" si="11"/>
        <v>51043</v>
      </c>
      <c r="V23" s="34">
        <f t="shared" si="11"/>
        <v>71917</v>
      </c>
      <c r="W23" s="34">
        <f t="shared" si="11"/>
        <v>90125</v>
      </c>
      <c r="X23" s="34">
        <f t="shared" si="11"/>
        <v>108537</v>
      </c>
      <c r="Y23" s="34">
        <f t="shared" si="11"/>
        <v>147455</v>
      </c>
      <c r="Z23" s="34">
        <f t="shared" si="11"/>
        <v>186810</v>
      </c>
      <c r="AA23" s="34">
        <f t="shared" si="11"/>
        <v>203655</v>
      </c>
      <c r="AB23" s="34">
        <f t="shared" si="11"/>
        <v>243008</v>
      </c>
      <c r="AC23" s="34">
        <f t="shared" si="11"/>
        <v>287374</v>
      </c>
      <c r="AD23" s="34">
        <f t="shared" si="11"/>
        <v>313037</v>
      </c>
      <c r="AE23" s="34">
        <f t="shared" si="11"/>
        <v>338987</v>
      </c>
      <c r="AF23" s="34">
        <f t="shared" si="11"/>
        <v>362828</v>
      </c>
      <c r="AG23" s="34">
        <f t="shared" si="11"/>
        <v>383336</v>
      </c>
    </row>
    <row r="24" spans="1:42" ht="13.2" x14ac:dyDescent="0.25">
      <c r="B24" s="22" t="s">
        <v>53</v>
      </c>
      <c r="C24" s="33">
        <v>300</v>
      </c>
      <c r="D24" s="33">
        <v>0</v>
      </c>
      <c r="E24" s="33">
        <f>ROUND(($C$39+$C$40)*D27,0)</f>
        <v>1620</v>
      </c>
      <c r="F24" s="33">
        <f t="shared" ref="F24:M24" si="12">ROUND(($C$39+$C$40)*E27,0)</f>
        <v>1638</v>
      </c>
      <c r="G24" s="33">
        <f t="shared" si="12"/>
        <v>1656</v>
      </c>
      <c r="H24" s="33">
        <f t="shared" si="12"/>
        <v>1675</v>
      </c>
      <c r="I24" s="33">
        <f t="shared" si="12"/>
        <v>1694</v>
      </c>
      <c r="J24" s="33">
        <f t="shared" si="12"/>
        <v>3171</v>
      </c>
      <c r="K24" s="33">
        <f t="shared" si="12"/>
        <v>3206</v>
      </c>
      <c r="L24" s="33">
        <f t="shared" si="12"/>
        <v>4862</v>
      </c>
      <c r="M24" s="33">
        <f t="shared" si="12"/>
        <v>4917</v>
      </c>
      <c r="N24" s="33">
        <f>ROUND(($D$39+$D$40)*M27,0)+1000</f>
        <v>5450</v>
      </c>
      <c r="O24" s="33">
        <f t="shared" ref="O24:Z24" si="13">ROUND(($D$39+$D$40)*N27,0)</f>
        <v>17260</v>
      </c>
      <c r="P24" s="33">
        <f t="shared" si="13"/>
        <v>17453</v>
      </c>
      <c r="Q24" s="33">
        <f t="shared" si="13"/>
        <v>17649</v>
      </c>
      <c r="R24" s="33">
        <f t="shared" si="13"/>
        <v>19296</v>
      </c>
      <c r="S24" s="33">
        <f t="shared" si="13"/>
        <v>19512</v>
      </c>
      <c r="T24" s="33">
        <f t="shared" si="13"/>
        <v>19731</v>
      </c>
      <c r="U24" s="33">
        <f t="shared" si="13"/>
        <v>31552</v>
      </c>
      <c r="V24" s="33">
        <f t="shared" si="13"/>
        <v>40605</v>
      </c>
      <c r="W24" s="33">
        <f t="shared" si="13"/>
        <v>49760</v>
      </c>
      <c r="X24" s="33">
        <f t="shared" si="13"/>
        <v>59017</v>
      </c>
      <c r="Y24" s="33">
        <f t="shared" si="13"/>
        <v>88678</v>
      </c>
      <c r="Z24" s="33">
        <f t="shared" si="13"/>
        <v>98372</v>
      </c>
      <c r="AA24" s="33">
        <f t="shared" ref="AA24:AG24" si="14">ROUND(($E$39+$E$40)*Z27,0)+16000</f>
        <v>105523</v>
      </c>
      <c r="AB24" s="33">
        <f t="shared" si="14"/>
        <v>137725</v>
      </c>
      <c r="AC24" s="33">
        <f t="shared" si="14"/>
        <v>149889</v>
      </c>
      <c r="AD24" s="33">
        <f t="shared" si="14"/>
        <v>163388</v>
      </c>
      <c r="AE24" s="33">
        <f t="shared" si="14"/>
        <v>175839</v>
      </c>
      <c r="AF24" s="33">
        <f t="shared" si="14"/>
        <v>187229</v>
      </c>
      <c r="AG24" s="33">
        <f t="shared" si="14"/>
        <v>196347</v>
      </c>
    </row>
    <row r="25" spans="1:42" ht="13.2" x14ac:dyDescent="0.25">
      <c r="B25" s="22" t="s">
        <v>54</v>
      </c>
      <c r="C25" s="33">
        <v>0</v>
      </c>
      <c r="D25" s="33">
        <v>0</v>
      </c>
      <c r="E25" s="33">
        <v>300</v>
      </c>
      <c r="F25" s="33">
        <v>0</v>
      </c>
      <c r="G25" s="33">
        <f t="shared" ref="G25:AG25" si="15">E24</f>
        <v>1620</v>
      </c>
      <c r="H25" s="33">
        <f t="shared" si="15"/>
        <v>1638</v>
      </c>
      <c r="I25" s="33">
        <f t="shared" si="15"/>
        <v>1656</v>
      </c>
      <c r="J25" s="33">
        <f t="shared" si="15"/>
        <v>1675</v>
      </c>
      <c r="K25" s="33">
        <f t="shared" si="15"/>
        <v>1694</v>
      </c>
      <c r="L25" s="33">
        <f t="shared" si="15"/>
        <v>3171</v>
      </c>
      <c r="M25" s="33">
        <f t="shared" si="15"/>
        <v>3206</v>
      </c>
      <c r="N25" s="33">
        <f t="shared" si="15"/>
        <v>4862</v>
      </c>
      <c r="O25" s="33">
        <f t="shared" si="15"/>
        <v>4917</v>
      </c>
      <c r="P25" s="33">
        <f t="shared" si="15"/>
        <v>5450</v>
      </c>
      <c r="Q25" s="33">
        <f t="shared" si="15"/>
        <v>17260</v>
      </c>
      <c r="R25" s="33">
        <f t="shared" si="15"/>
        <v>17453</v>
      </c>
      <c r="S25" s="33">
        <f t="shared" si="15"/>
        <v>17649</v>
      </c>
      <c r="T25" s="33">
        <f t="shared" si="15"/>
        <v>19296</v>
      </c>
      <c r="U25" s="33">
        <f t="shared" si="15"/>
        <v>19512</v>
      </c>
      <c r="V25" s="33">
        <f t="shared" si="15"/>
        <v>19731</v>
      </c>
      <c r="W25" s="33">
        <f t="shared" si="15"/>
        <v>31552</v>
      </c>
      <c r="X25" s="33">
        <f t="shared" si="15"/>
        <v>40605</v>
      </c>
      <c r="Y25" s="33">
        <f t="shared" si="15"/>
        <v>49760</v>
      </c>
      <c r="Z25" s="33">
        <f t="shared" si="15"/>
        <v>59017</v>
      </c>
      <c r="AA25" s="33">
        <f t="shared" si="15"/>
        <v>88678</v>
      </c>
      <c r="AB25" s="33">
        <f t="shared" si="15"/>
        <v>98372</v>
      </c>
      <c r="AC25" s="33">
        <f t="shared" si="15"/>
        <v>105523</v>
      </c>
      <c r="AD25" s="33">
        <f t="shared" si="15"/>
        <v>137725</v>
      </c>
      <c r="AE25" s="33">
        <f t="shared" si="15"/>
        <v>149889</v>
      </c>
      <c r="AF25" s="33">
        <f t="shared" si="15"/>
        <v>163388</v>
      </c>
      <c r="AG25" s="33">
        <f t="shared" si="15"/>
        <v>175839</v>
      </c>
    </row>
    <row r="26" spans="1:42" ht="13.2" x14ac:dyDescent="0.25">
      <c r="B26" s="22" t="s">
        <v>55</v>
      </c>
      <c r="C26" s="34">
        <f t="shared" ref="C26:AG26" si="16">C24-C25</f>
        <v>300</v>
      </c>
      <c r="D26" s="34">
        <f t="shared" si="16"/>
        <v>0</v>
      </c>
      <c r="E26" s="34">
        <f t="shared" si="16"/>
        <v>1320</v>
      </c>
      <c r="F26" s="34">
        <f t="shared" si="16"/>
        <v>1638</v>
      </c>
      <c r="G26" s="34">
        <f t="shared" si="16"/>
        <v>36</v>
      </c>
      <c r="H26" s="34">
        <f t="shared" si="16"/>
        <v>37</v>
      </c>
      <c r="I26" s="34">
        <f t="shared" si="16"/>
        <v>38</v>
      </c>
      <c r="J26" s="34">
        <f t="shared" si="16"/>
        <v>1496</v>
      </c>
      <c r="K26" s="34">
        <f t="shared" si="16"/>
        <v>1512</v>
      </c>
      <c r="L26" s="34">
        <f t="shared" si="16"/>
        <v>1691</v>
      </c>
      <c r="M26" s="34">
        <f t="shared" si="16"/>
        <v>1711</v>
      </c>
      <c r="N26" s="34">
        <f t="shared" si="16"/>
        <v>588</v>
      </c>
      <c r="O26" s="34">
        <f t="shared" si="16"/>
        <v>12343</v>
      </c>
      <c r="P26" s="34">
        <f t="shared" si="16"/>
        <v>12003</v>
      </c>
      <c r="Q26" s="34">
        <f t="shared" si="16"/>
        <v>389</v>
      </c>
      <c r="R26" s="34">
        <f t="shared" si="16"/>
        <v>1843</v>
      </c>
      <c r="S26" s="34">
        <f t="shared" si="16"/>
        <v>1863</v>
      </c>
      <c r="T26" s="34">
        <f t="shared" si="16"/>
        <v>435</v>
      </c>
      <c r="U26" s="34">
        <f t="shared" si="16"/>
        <v>12040</v>
      </c>
      <c r="V26" s="34">
        <f t="shared" si="16"/>
        <v>20874</v>
      </c>
      <c r="W26" s="34">
        <f t="shared" si="16"/>
        <v>18208</v>
      </c>
      <c r="X26" s="34">
        <f t="shared" si="16"/>
        <v>18412</v>
      </c>
      <c r="Y26" s="34">
        <f t="shared" si="16"/>
        <v>38918</v>
      </c>
      <c r="Z26" s="34">
        <f t="shared" si="16"/>
        <v>39355</v>
      </c>
      <c r="AA26" s="34">
        <f t="shared" si="16"/>
        <v>16845</v>
      </c>
      <c r="AB26" s="34">
        <f t="shared" si="16"/>
        <v>39353</v>
      </c>
      <c r="AC26" s="34">
        <f t="shared" si="16"/>
        <v>44366</v>
      </c>
      <c r="AD26" s="34">
        <f t="shared" si="16"/>
        <v>25663</v>
      </c>
      <c r="AE26" s="34">
        <f t="shared" si="16"/>
        <v>25950</v>
      </c>
      <c r="AF26" s="34">
        <f t="shared" si="16"/>
        <v>23841</v>
      </c>
      <c r="AG26" s="34">
        <f t="shared" si="16"/>
        <v>20508</v>
      </c>
    </row>
    <row r="27" spans="1:42" ht="13.2" x14ac:dyDescent="0.25">
      <c r="B27" s="22" t="s">
        <v>84</v>
      </c>
      <c r="C27" s="33">
        <v>50000</v>
      </c>
      <c r="D27" s="33">
        <v>50000</v>
      </c>
      <c r="E27" s="33">
        <f t="shared" ref="E27:H27" si="17">(1+$C$39)*D27</f>
        <v>50560.000000000007</v>
      </c>
      <c r="F27" s="33">
        <f t="shared" si="17"/>
        <v>51126.272000000012</v>
      </c>
      <c r="G27" s="33">
        <f t="shared" si="17"/>
        <v>51698.886246400019</v>
      </c>
      <c r="H27" s="33">
        <f t="shared" si="17"/>
        <v>52277.913772359701</v>
      </c>
      <c r="I27" s="33">
        <f>(1+$C$39)*H27+25000+20000</f>
        <v>97863.426406610146</v>
      </c>
      <c r="J27" s="34">
        <f>(1+$C$39)*I27</f>
        <v>98959.496782364193</v>
      </c>
      <c r="K27" s="34">
        <f>(1+$C$39)*J27+50000</f>
        <v>150067.84314632666</v>
      </c>
      <c r="L27" s="34">
        <f t="shared" ref="L27:M27" si="18">(1+$C$39)*K27</f>
        <v>151748.60298956552</v>
      </c>
      <c r="M27" s="34">
        <f t="shared" si="18"/>
        <v>153448.18734304866</v>
      </c>
      <c r="N27" s="34">
        <f>(1+$C$39)*M27+250000+110000+80000</f>
        <v>595166.8070412908</v>
      </c>
      <c r="O27" s="34">
        <f t="shared" ref="O27:P27" si="19">(1+$C$39)*N27</f>
        <v>601832.67528015329</v>
      </c>
      <c r="P27" s="34">
        <f t="shared" si="19"/>
        <v>608573.20124329103</v>
      </c>
      <c r="Q27" s="34">
        <f>(1+$C$39)*P27+50000</f>
        <v>665389.22109721589</v>
      </c>
      <c r="R27" s="34">
        <f t="shared" ref="R27:S27" si="20">(1+$C$39)*Q27</f>
        <v>672841.58037350478</v>
      </c>
      <c r="S27" s="34">
        <f t="shared" si="20"/>
        <v>680377.40607368806</v>
      </c>
      <c r="T27" s="34">
        <f>(1+$C$39)*S27 + 400000</f>
        <v>1087997.6330217135</v>
      </c>
      <c r="U27" s="34">
        <f t="shared" ref="U27:W27" si="21">(1+$C$39)*T27+300000</f>
        <v>1400183.2065115569</v>
      </c>
      <c r="V27" s="34">
        <f t="shared" si="21"/>
        <v>1715865.2584244865</v>
      </c>
      <c r="W27" s="34">
        <f t="shared" si="21"/>
        <v>2035082.9493188409</v>
      </c>
      <c r="X27" s="34">
        <f>(1+$C$39)*W27 + 1000000</f>
        <v>3057875.878351212</v>
      </c>
      <c r="Y27" s="34">
        <f t="shared" ref="Y27:Z27" si="22">(1+$C$39)*X27+300000</f>
        <v>3392124.088188746</v>
      </c>
      <c r="Z27" s="34">
        <f t="shared" si="22"/>
        <v>3730115.8779764604</v>
      </c>
      <c r="AA27" s="34">
        <f>(1+$C$39)*Z27+1300000</f>
        <v>5071893.1758097969</v>
      </c>
      <c r="AB27" s="34">
        <f>(1+$C$39)*AA27+450000</f>
        <v>5578698.3793788673</v>
      </c>
      <c r="AC27" s="34">
        <f>(1+$C$39)*AB27+500000</f>
        <v>6141179.8012279114</v>
      </c>
      <c r="AD27" s="34">
        <f>(1+$C$39)*AC27+450000</f>
        <v>6659961.0150016649</v>
      </c>
      <c r="AE27" s="34">
        <f>(1+$C$39)*AD27 + 400000</f>
        <v>7134552.5783696845</v>
      </c>
      <c r="AF27" s="34">
        <f t="shared" ref="AF27:AG27" si="23">(1+$C$39)*AE27+300000</f>
        <v>7514459.5672474261</v>
      </c>
      <c r="AG27" s="34">
        <f t="shared" si="23"/>
        <v>7898621.5144005977</v>
      </c>
    </row>
    <row r="28" spans="1:42" ht="100.5" customHeight="1" x14ac:dyDescent="0.25">
      <c r="B28" s="35" t="s">
        <v>56</v>
      </c>
      <c r="C28" s="35" t="s">
        <v>85</v>
      </c>
      <c r="D28" s="42"/>
      <c r="E28" s="35" t="s">
        <v>86</v>
      </c>
      <c r="F28" s="42"/>
      <c r="G28" s="42"/>
      <c r="H28" s="42"/>
      <c r="I28" s="43" t="s">
        <v>87</v>
      </c>
      <c r="J28" s="42"/>
      <c r="K28" s="35" t="s">
        <v>88</v>
      </c>
      <c r="L28" s="42"/>
      <c r="M28" s="42"/>
      <c r="N28" s="44" t="s">
        <v>89</v>
      </c>
      <c r="O28" s="42"/>
      <c r="P28" s="42"/>
      <c r="Q28" s="35" t="s">
        <v>90</v>
      </c>
      <c r="R28" s="42"/>
      <c r="S28" s="42"/>
      <c r="T28" s="35" t="s">
        <v>91</v>
      </c>
      <c r="U28" s="42"/>
      <c r="V28" s="42"/>
      <c r="W28" s="42"/>
      <c r="X28" s="35" t="s">
        <v>92</v>
      </c>
      <c r="Y28" s="42"/>
      <c r="Z28" s="42"/>
      <c r="AA28" s="44" t="s">
        <v>93</v>
      </c>
      <c r="AB28" s="42"/>
      <c r="AC28" s="42"/>
      <c r="AD28" s="42"/>
      <c r="AE28" s="42"/>
      <c r="AF28" s="42"/>
      <c r="AG28" s="42"/>
    </row>
    <row r="29" spans="1:42" ht="13.2" x14ac:dyDescent="0.25">
      <c r="B29" s="24" t="s">
        <v>94</v>
      </c>
      <c r="C29" s="38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</row>
    <row r="30" spans="1:42" ht="13.2" x14ac:dyDescent="0.25">
      <c r="B30" s="26" t="s">
        <v>52</v>
      </c>
      <c r="C30" s="39">
        <v>140</v>
      </c>
      <c r="D30" s="39">
        <v>140</v>
      </c>
      <c r="E30" s="40">
        <f>$C$47*D31-20000</f>
        <v>15000</v>
      </c>
      <c r="F30" s="40">
        <f>$C$47*E31-10000</f>
        <v>26050</v>
      </c>
      <c r="G30" s="40">
        <f t="shared" ref="G30:I30" si="24">$C$47*F31</f>
        <v>37131.5</v>
      </c>
      <c r="H30" s="40">
        <f t="shared" si="24"/>
        <v>38245.445</v>
      </c>
      <c r="I30" s="40">
        <f t="shared" si="24"/>
        <v>39392.808349999992</v>
      </c>
      <c r="J30" s="40">
        <f>$C$47*I31-15000</f>
        <v>57074.592600499993</v>
      </c>
      <c r="K30" s="40">
        <f>$C$47*J31</f>
        <v>74236.830378514991</v>
      </c>
      <c r="L30" s="40">
        <f>$C$47*K31-25000</f>
        <v>86463.935289870424</v>
      </c>
      <c r="M30" s="40">
        <f>$C$47*L31</f>
        <v>114807.85334856654</v>
      </c>
      <c r="N30" s="40">
        <f>$D$47*M31+10000</f>
        <v>145145.24451316978</v>
      </c>
      <c r="O30" s="40">
        <f>$D$47*N31-250000</f>
        <v>240186.01251471613</v>
      </c>
      <c r="P30" s="40">
        <f>$D$47*O31-110000</f>
        <v>391215.1977962972</v>
      </c>
      <c r="Q30" s="40">
        <f>$D$47*P31-70000</f>
        <v>442492.53974671382</v>
      </c>
      <c r="R30" s="40">
        <f>$D$47*Q31-30000</f>
        <v>534023.62189101486</v>
      </c>
      <c r="S30" s="40">
        <f t="shared" ref="S30:T30" si="25">$D$47*R31</f>
        <v>576714.15338356269</v>
      </c>
      <c r="T30" s="40">
        <f t="shared" si="25"/>
        <v>589690.22183469275</v>
      </c>
      <c r="U30" s="40">
        <f>$D$47*T31-150000</f>
        <v>772958.25182597339</v>
      </c>
      <c r="V30" s="40">
        <f t="shared" ref="V30:W30" si="26">$D$47*U31-200000</f>
        <v>983724.81249205768</v>
      </c>
      <c r="W30" s="40">
        <f t="shared" si="26"/>
        <v>1250358.6207731292</v>
      </c>
      <c r="X30" s="40">
        <f>$D$47*W31-100000</f>
        <v>1622991.6897405246</v>
      </c>
      <c r="Y30" s="40">
        <f>$D$47*X31-400000</f>
        <v>2161759.0027596862</v>
      </c>
      <c r="Z30" s="40">
        <f>$D$47*Y31-350000</f>
        <v>2509398.5803217795</v>
      </c>
      <c r="AA30" s="40">
        <f t="shared" ref="AA30:AB30" si="27">$E$47*Z31-400000</f>
        <v>2882375.112693232</v>
      </c>
      <c r="AB30" s="40">
        <f t="shared" si="27"/>
        <v>3997481.2389328573</v>
      </c>
      <c r="AC30" s="40">
        <f>$E$47*AB31-300000</f>
        <v>4519353.5325611178</v>
      </c>
      <c r="AD30" s="40">
        <f t="shared" ref="AD30:AE30" si="28">$E$47*AC31-200000</f>
        <v>5087366.4214192899</v>
      </c>
      <c r="AE30" s="40">
        <f t="shared" si="28"/>
        <v>5519027.452054902</v>
      </c>
      <c r="AF30" s="40">
        <f>$E$47*AE31-100000</f>
        <v>6013936.7540275045</v>
      </c>
      <c r="AG30" s="40">
        <f>$E$47*AF31</f>
        <v>6430190.0583218066</v>
      </c>
    </row>
    <row r="31" spans="1:42" ht="13.2" x14ac:dyDescent="0.25">
      <c r="B31" s="26" t="s">
        <v>84</v>
      </c>
      <c r="C31" s="39">
        <v>50000</v>
      </c>
      <c r="D31" s="39">
        <v>50000</v>
      </c>
      <c r="E31" s="39">
        <f t="shared" ref="E31:H31" si="29">(1+$C$46)*D31</f>
        <v>51500</v>
      </c>
      <c r="F31" s="39">
        <f t="shared" si="29"/>
        <v>53045</v>
      </c>
      <c r="G31" s="39">
        <f t="shared" si="29"/>
        <v>54636.35</v>
      </c>
      <c r="H31" s="39">
        <f t="shared" si="29"/>
        <v>56275.440499999997</v>
      </c>
      <c r="I31" s="39">
        <f>(1+$C$46)*H31+25000+20000</f>
        <v>102963.703715</v>
      </c>
      <c r="J31" s="39">
        <f>(1+$C$46)*I31</f>
        <v>106052.61482644999</v>
      </c>
      <c r="K31" s="39">
        <f>(1+$C$46)*J31+50000</f>
        <v>159234.19327124348</v>
      </c>
      <c r="L31" s="39">
        <f t="shared" ref="L31:M31" si="30">(1+$C$46)*K31</f>
        <v>164011.21906938078</v>
      </c>
      <c r="M31" s="39">
        <f t="shared" si="30"/>
        <v>168931.55564146221</v>
      </c>
      <c r="N31" s="40">
        <f>(1+$D$46)*M31+250000+110000+80000</f>
        <v>612732.51564339513</v>
      </c>
      <c r="O31" s="40">
        <f t="shared" ref="O31:P31" si="31">(1+$D$46)*N31</f>
        <v>626518.99724537146</v>
      </c>
      <c r="P31" s="40">
        <f t="shared" si="31"/>
        <v>640615.67468339228</v>
      </c>
      <c r="Q31" s="40">
        <f>(1+$D$46)*P31+50000</f>
        <v>705029.52736376855</v>
      </c>
      <c r="R31" s="40">
        <f t="shared" ref="R31:S31" si="32">(1+$D$46)*Q31</f>
        <v>720892.69172945328</v>
      </c>
      <c r="S31" s="40">
        <f t="shared" si="32"/>
        <v>737112.77729336591</v>
      </c>
      <c r="T31" s="40">
        <f>(1+$D$46)*S31 + 400000</f>
        <v>1153697.8147824667</v>
      </c>
      <c r="U31" s="40">
        <f t="shared" ref="U31:W31" si="33">(1+$D$46)*T31+300000</f>
        <v>1479656.0156150721</v>
      </c>
      <c r="V31" s="40">
        <f t="shared" si="33"/>
        <v>1812948.2759664112</v>
      </c>
      <c r="W31" s="40">
        <f t="shared" si="33"/>
        <v>2153739.6121756556</v>
      </c>
      <c r="X31" s="40">
        <f>(1+$D$46)*W31 + 1000000</f>
        <v>3202198.7534496076</v>
      </c>
      <c r="Y31" s="40">
        <f t="shared" ref="Y31:Z31" si="34">(1+$D$46)*X31+300000</f>
        <v>3574248.2254022239</v>
      </c>
      <c r="Z31" s="40">
        <f t="shared" si="34"/>
        <v>3954668.8104737736</v>
      </c>
      <c r="AA31" s="40">
        <f>(1+$E$46)*Z31+1300000</f>
        <v>5298170.1673889849</v>
      </c>
      <c r="AB31" s="40">
        <f>(1+$E$46)*AA31+450000</f>
        <v>5806450.0392302629</v>
      </c>
      <c r="AC31" s="40">
        <f>(1+$E$46)*AB31+500000</f>
        <v>6370320.9896617951</v>
      </c>
      <c r="AD31" s="40">
        <f>(1+$E$46)*AC31+450000</f>
        <v>6890394.5205480745</v>
      </c>
      <c r="AE31" s="40">
        <f>(1+$E$46)*AD31 + 400000</f>
        <v>7366188.8602741025</v>
      </c>
      <c r="AF31" s="40">
        <f t="shared" ref="AF31:AG31" si="35">(1+$E$46)*AE31+300000</f>
        <v>7747216.9377371166</v>
      </c>
      <c r="AG31" s="40">
        <f t="shared" si="35"/>
        <v>8132436.3240522239</v>
      </c>
    </row>
    <row r="32" spans="1:42" ht="96.75" customHeight="1" x14ac:dyDescent="0.25">
      <c r="B32" s="30" t="s">
        <v>56</v>
      </c>
      <c r="C32" s="30" t="s">
        <v>85</v>
      </c>
      <c r="D32" s="46"/>
      <c r="E32" s="30" t="s">
        <v>86</v>
      </c>
      <c r="F32" s="46"/>
      <c r="G32" s="46"/>
      <c r="H32" s="46"/>
      <c r="I32" s="47" t="s">
        <v>87</v>
      </c>
      <c r="J32" s="46"/>
      <c r="K32" s="30" t="s">
        <v>88</v>
      </c>
      <c r="L32" s="46"/>
      <c r="M32" s="46"/>
      <c r="N32" s="30" t="s">
        <v>89</v>
      </c>
      <c r="O32" s="46"/>
      <c r="P32" s="46"/>
      <c r="Q32" s="30" t="s">
        <v>90</v>
      </c>
      <c r="R32" s="46"/>
      <c r="S32" s="46"/>
      <c r="T32" s="30" t="s">
        <v>91</v>
      </c>
      <c r="U32" s="46"/>
      <c r="V32" s="46"/>
      <c r="W32" s="46"/>
      <c r="X32" s="30" t="s">
        <v>92</v>
      </c>
      <c r="Y32" s="46"/>
      <c r="Z32" s="46"/>
      <c r="AA32" s="48" t="s">
        <v>95</v>
      </c>
      <c r="AB32" s="46"/>
      <c r="AC32" s="46"/>
      <c r="AD32" s="46"/>
      <c r="AE32" s="46"/>
      <c r="AF32" s="46"/>
      <c r="AG32" s="46"/>
    </row>
    <row r="33" spans="1:42" ht="13.2" x14ac:dyDescent="0.25">
      <c r="B33" s="49" t="s">
        <v>96</v>
      </c>
      <c r="C33" s="50">
        <f t="shared" ref="C33:AG33" si="36">C30+C23+C17+C11+C5</f>
        <v>350</v>
      </c>
      <c r="D33" s="50">
        <f t="shared" si="36"/>
        <v>543.5</v>
      </c>
      <c r="E33" s="50">
        <f t="shared" si="36"/>
        <v>52023.5</v>
      </c>
      <c r="F33" s="50">
        <f t="shared" si="36"/>
        <v>64466.879858400003</v>
      </c>
      <c r="G33" s="50">
        <f t="shared" si="36"/>
        <v>75397.754104300955</v>
      </c>
      <c r="H33" s="50">
        <f t="shared" si="36"/>
        <v>77648.562467445154</v>
      </c>
      <c r="I33" s="50">
        <f t="shared" si="36"/>
        <v>78649.273055507219</v>
      </c>
      <c r="J33" s="50">
        <f t="shared" si="36"/>
        <v>97586.383204446174</v>
      </c>
      <c r="K33" s="50">
        <f t="shared" si="36"/>
        <v>116077.92035437308</v>
      </c>
      <c r="L33" s="50">
        <f t="shared" si="36"/>
        <v>134855.7929517001</v>
      </c>
      <c r="M33" s="50">
        <f t="shared" si="36"/>
        <v>790266.64761346288</v>
      </c>
      <c r="N33" s="50">
        <f t="shared" si="36"/>
        <v>1473517.0168480482</v>
      </c>
      <c r="O33" s="50">
        <f t="shared" si="36"/>
        <v>2858947.517358474</v>
      </c>
      <c r="P33" s="50">
        <f t="shared" si="36"/>
        <v>3010479.2823544513</v>
      </c>
      <c r="Q33" s="50">
        <f t="shared" si="36"/>
        <v>3368491.4567516851</v>
      </c>
      <c r="R33" s="50">
        <f t="shared" si="36"/>
        <v>3445003.7372054523</v>
      </c>
      <c r="S33" s="50">
        <f t="shared" si="36"/>
        <v>3474360.4394175373</v>
      </c>
      <c r="T33" s="50">
        <f t="shared" si="36"/>
        <v>3480021.7218441782</v>
      </c>
      <c r="U33" s="50">
        <f t="shared" si="36"/>
        <v>3758593.5821873648</v>
      </c>
      <c r="V33" s="50">
        <f t="shared" si="36"/>
        <v>3973172.6745714345</v>
      </c>
      <c r="W33" s="50">
        <f t="shared" si="36"/>
        <v>4242619.0452142954</v>
      </c>
      <c r="X33" s="50">
        <f t="shared" si="36"/>
        <v>4631473.2724245451</v>
      </c>
      <c r="Y33" s="50">
        <f t="shared" si="36"/>
        <v>5193925.9071091283</v>
      </c>
      <c r="Z33" s="50">
        <f t="shared" si="36"/>
        <v>5559070.5395927485</v>
      </c>
      <c r="AA33" s="50">
        <f t="shared" si="36"/>
        <v>5933820.4322552513</v>
      </c>
      <c r="AB33" s="50">
        <f t="shared" si="36"/>
        <v>7087127.7985366695</v>
      </c>
      <c r="AC33" s="50">
        <f t="shared" si="36"/>
        <v>7729953.7885944694</v>
      </c>
      <c r="AD33" s="50">
        <f t="shared" si="36"/>
        <v>8300896.4587847535</v>
      </c>
      <c r="AE33" s="50">
        <f t="shared" si="36"/>
        <v>8743270.4573726915</v>
      </c>
      <c r="AF33" s="50">
        <f t="shared" si="36"/>
        <v>9282954.4836284183</v>
      </c>
      <c r="AG33" s="50">
        <f t="shared" si="36"/>
        <v>9704639.840527771</v>
      </c>
    </row>
    <row r="34" spans="1:42" ht="13.2" x14ac:dyDescent="0.25">
      <c r="A34" s="51"/>
      <c r="B34" s="52" t="s">
        <v>97</v>
      </c>
      <c r="C34" s="53">
        <f t="shared" ref="C34:M34" si="37">0.1*C27+0.9*C31</f>
        <v>50000</v>
      </c>
      <c r="D34" s="53">
        <f t="shared" si="37"/>
        <v>50000</v>
      </c>
      <c r="E34" s="53">
        <f t="shared" si="37"/>
        <v>51406</v>
      </c>
      <c r="F34" s="53">
        <f t="shared" si="37"/>
        <v>52853.127200000003</v>
      </c>
      <c r="G34" s="53">
        <f t="shared" si="37"/>
        <v>54342.603624639996</v>
      </c>
      <c r="H34" s="53">
        <f t="shared" si="37"/>
        <v>55875.687827235968</v>
      </c>
      <c r="I34" s="53">
        <f t="shared" si="37"/>
        <v>102453.675984161</v>
      </c>
      <c r="J34" s="53">
        <f t="shared" si="37"/>
        <v>105343.30302204141</v>
      </c>
      <c r="K34" s="53">
        <f t="shared" si="37"/>
        <v>158317.55825875181</v>
      </c>
      <c r="L34" s="53">
        <f t="shared" si="37"/>
        <v>162784.95746139926</v>
      </c>
      <c r="M34" s="53">
        <f t="shared" si="37"/>
        <v>167383.21881162087</v>
      </c>
      <c r="N34" s="53">
        <f t="shared" ref="N34:Z34" si="38">0.13*N27+0.87*N31</f>
        <v>610448.97352512158</v>
      </c>
      <c r="O34" s="53">
        <f t="shared" si="38"/>
        <v>623309.7753898931</v>
      </c>
      <c r="P34" s="53">
        <f t="shared" si="38"/>
        <v>636450.15313617908</v>
      </c>
      <c r="Q34" s="53">
        <f t="shared" si="38"/>
        <v>699876.28754911665</v>
      </c>
      <c r="R34" s="53">
        <f t="shared" si="38"/>
        <v>714646.04725317995</v>
      </c>
      <c r="S34" s="53">
        <f t="shared" si="38"/>
        <v>729737.17903480772</v>
      </c>
      <c r="T34" s="53">
        <f t="shared" si="38"/>
        <v>1145156.7911535688</v>
      </c>
      <c r="U34" s="53">
        <f t="shared" si="38"/>
        <v>1469324.5504316152</v>
      </c>
      <c r="V34" s="53">
        <f t="shared" si="38"/>
        <v>1800327.483685961</v>
      </c>
      <c r="W34" s="53">
        <f t="shared" si="38"/>
        <v>2138314.2460042699</v>
      </c>
      <c r="X34" s="53">
        <f t="shared" si="38"/>
        <v>3183436.779686816</v>
      </c>
      <c r="Y34" s="53">
        <f t="shared" si="38"/>
        <v>3550572.0875644721</v>
      </c>
      <c r="Z34" s="53">
        <f t="shared" si="38"/>
        <v>3925476.9292491232</v>
      </c>
      <c r="AA34" s="53">
        <f t="shared" ref="AA34:AG34" si="39">0.15*AA27+0.85*AA31</f>
        <v>5264228.6186521072</v>
      </c>
      <c r="AB34" s="53">
        <f t="shared" si="39"/>
        <v>5772287.2902525533</v>
      </c>
      <c r="AC34" s="53">
        <f t="shared" si="39"/>
        <v>6335949.8113967124</v>
      </c>
      <c r="AD34" s="53">
        <f t="shared" si="39"/>
        <v>6855829.4947161134</v>
      </c>
      <c r="AE34" s="53">
        <f t="shared" si="39"/>
        <v>7331443.4179884391</v>
      </c>
      <c r="AF34" s="53">
        <f t="shared" si="39"/>
        <v>7712303.3321636626</v>
      </c>
      <c r="AG34" s="53">
        <f t="shared" si="39"/>
        <v>8097364.1026044795</v>
      </c>
      <c r="AH34" s="51"/>
      <c r="AI34" s="51"/>
      <c r="AJ34" s="51"/>
      <c r="AK34" s="51"/>
      <c r="AL34" s="51"/>
      <c r="AM34" s="51"/>
      <c r="AN34" s="51"/>
      <c r="AO34" s="51"/>
      <c r="AP34" s="51"/>
    </row>
    <row r="35" spans="1:42" ht="13.2" x14ac:dyDescent="0.25">
      <c r="A35" s="51"/>
      <c r="B35" s="52" t="s">
        <v>98</v>
      </c>
      <c r="C35" s="50">
        <f t="shared" ref="C35:AG35" si="40">C34+C17+C11+C5</f>
        <v>50150</v>
      </c>
      <c r="D35" s="50">
        <f t="shared" si="40"/>
        <v>50343.5</v>
      </c>
      <c r="E35" s="50">
        <f t="shared" si="40"/>
        <v>87049.5</v>
      </c>
      <c r="F35" s="50">
        <f t="shared" si="40"/>
        <v>88252.007058400006</v>
      </c>
      <c r="G35" s="50">
        <f t="shared" si="40"/>
        <v>89554.857728940959</v>
      </c>
      <c r="H35" s="50">
        <f t="shared" si="40"/>
        <v>92187.805294681108</v>
      </c>
      <c r="I35" s="50">
        <f t="shared" si="40"/>
        <v>138581.14068966822</v>
      </c>
      <c r="J35" s="50">
        <f t="shared" si="40"/>
        <v>141230.09362598759</v>
      </c>
      <c r="K35" s="50">
        <f t="shared" si="40"/>
        <v>194021.64823460992</v>
      </c>
      <c r="L35" s="50">
        <f t="shared" si="40"/>
        <v>203348.81512322894</v>
      </c>
      <c r="M35" s="50">
        <f t="shared" si="40"/>
        <v>833303.01307651715</v>
      </c>
      <c r="N35" s="50">
        <f t="shared" si="40"/>
        <v>1928693.7458599999</v>
      </c>
      <c r="O35" s="50">
        <f t="shared" si="40"/>
        <v>3219601.2802336509</v>
      </c>
      <c r="P35" s="50">
        <f t="shared" si="40"/>
        <v>3221241.2376943333</v>
      </c>
      <c r="Q35" s="50">
        <f t="shared" si="40"/>
        <v>3591013.2045540879</v>
      </c>
      <c r="R35" s="50">
        <f t="shared" si="40"/>
        <v>3588921.1625676174</v>
      </c>
      <c r="S35" s="50">
        <f t="shared" si="40"/>
        <v>3588815.4650687822</v>
      </c>
      <c r="T35" s="50">
        <f t="shared" si="40"/>
        <v>3996485.2911630543</v>
      </c>
      <c r="U35" s="50">
        <f t="shared" si="40"/>
        <v>4403916.8807930071</v>
      </c>
      <c r="V35" s="50">
        <f t="shared" si="40"/>
        <v>4717858.3457653373</v>
      </c>
      <c r="W35" s="50">
        <f t="shared" si="40"/>
        <v>5040449.6704454366</v>
      </c>
      <c r="X35" s="50">
        <f t="shared" si="40"/>
        <v>6083381.3623708365</v>
      </c>
      <c r="Y35" s="50">
        <f t="shared" si="40"/>
        <v>6435283.9919139147</v>
      </c>
      <c r="Z35" s="50">
        <f t="shared" si="40"/>
        <v>6788338.8885200918</v>
      </c>
      <c r="AA35" s="50">
        <f t="shared" si="40"/>
        <v>8112018.938214126</v>
      </c>
      <c r="AB35" s="50">
        <f t="shared" si="40"/>
        <v>8618925.8498563655</v>
      </c>
      <c r="AC35" s="50">
        <f t="shared" si="40"/>
        <v>9259176.0674300641</v>
      </c>
      <c r="AD35" s="50">
        <f t="shared" si="40"/>
        <v>9756322.5320815779</v>
      </c>
      <c r="AE35" s="50">
        <f t="shared" si="40"/>
        <v>10216699.423306227</v>
      </c>
      <c r="AF35" s="50">
        <f t="shared" si="40"/>
        <v>10618493.061764577</v>
      </c>
      <c r="AG35" s="50">
        <f t="shared" si="40"/>
        <v>10988477.884810444</v>
      </c>
      <c r="AH35" s="51"/>
      <c r="AI35" s="51"/>
      <c r="AJ35" s="51"/>
      <c r="AK35" s="51"/>
      <c r="AL35" s="51"/>
      <c r="AM35" s="51"/>
      <c r="AN35" s="51"/>
      <c r="AO35" s="51"/>
      <c r="AP35" s="51"/>
    </row>
    <row r="36" spans="1:42" ht="13.2" x14ac:dyDescent="0.25">
      <c r="A36" s="54"/>
      <c r="B36" s="55" t="s">
        <v>99</v>
      </c>
      <c r="C36" s="56">
        <v>350</v>
      </c>
      <c r="D36" s="57">
        <f t="shared" ref="D36:AG36" si="41">D33-C33</f>
        <v>193.5</v>
      </c>
      <c r="E36" s="57">
        <f t="shared" si="41"/>
        <v>51480</v>
      </c>
      <c r="F36" s="57">
        <f t="shared" si="41"/>
        <v>12443.379858400003</v>
      </c>
      <c r="G36" s="57">
        <f t="shared" si="41"/>
        <v>10930.874245900952</v>
      </c>
      <c r="H36" s="57">
        <f t="shared" si="41"/>
        <v>2250.8083631441987</v>
      </c>
      <c r="I36" s="57">
        <f t="shared" si="41"/>
        <v>1000.7105880620657</v>
      </c>
      <c r="J36" s="57">
        <f t="shared" si="41"/>
        <v>18937.110148938955</v>
      </c>
      <c r="K36" s="57">
        <f t="shared" si="41"/>
        <v>18491.537149926909</v>
      </c>
      <c r="L36" s="57">
        <f t="shared" si="41"/>
        <v>18777.872597327019</v>
      </c>
      <c r="M36" s="57">
        <f t="shared" si="41"/>
        <v>655410.85466176271</v>
      </c>
      <c r="N36" s="57">
        <f t="shared" si="41"/>
        <v>683250.36923458532</v>
      </c>
      <c r="O36" s="57">
        <f t="shared" si="41"/>
        <v>1385430.5005104258</v>
      </c>
      <c r="P36" s="57">
        <f t="shared" si="41"/>
        <v>151531.76499597728</v>
      </c>
      <c r="Q36" s="57">
        <f t="shared" si="41"/>
        <v>358012.17439723387</v>
      </c>
      <c r="R36" s="57">
        <f t="shared" si="41"/>
        <v>76512.280453767162</v>
      </c>
      <c r="S36" s="57">
        <f t="shared" si="41"/>
        <v>29356.702212085016</v>
      </c>
      <c r="T36" s="57">
        <f t="shared" si="41"/>
        <v>5661.282426640857</v>
      </c>
      <c r="U36" s="57">
        <f t="shared" si="41"/>
        <v>278571.86034318665</v>
      </c>
      <c r="V36" s="57">
        <f t="shared" si="41"/>
        <v>214579.09238406969</v>
      </c>
      <c r="W36" s="57">
        <f t="shared" si="41"/>
        <v>269446.37064286089</v>
      </c>
      <c r="X36" s="57">
        <f t="shared" si="41"/>
        <v>388854.22721024975</v>
      </c>
      <c r="Y36" s="57">
        <f t="shared" si="41"/>
        <v>562452.63468458317</v>
      </c>
      <c r="Z36" s="57">
        <f t="shared" si="41"/>
        <v>365144.6324836202</v>
      </c>
      <c r="AA36" s="57">
        <f t="shared" si="41"/>
        <v>374749.89266250283</v>
      </c>
      <c r="AB36" s="57">
        <f t="shared" si="41"/>
        <v>1153307.3662814181</v>
      </c>
      <c r="AC36" s="57">
        <f t="shared" si="41"/>
        <v>642825.99005779997</v>
      </c>
      <c r="AD36" s="57">
        <f t="shared" si="41"/>
        <v>570942.67019028403</v>
      </c>
      <c r="AE36" s="57">
        <f t="shared" si="41"/>
        <v>442373.99858793803</v>
      </c>
      <c r="AF36" s="57">
        <f t="shared" si="41"/>
        <v>539684.02625572681</v>
      </c>
      <c r="AG36" s="57">
        <f t="shared" si="41"/>
        <v>421685.35689935274</v>
      </c>
      <c r="AH36" s="54"/>
      <c r="AI36" s="54"/>
      <c r="AJ36" s="54"/>
      <c r="AK36" s="54"/>
      <c r="AL36" s="54"/>
      <c r="AM36" s="54"/>
      <c r="AN36" s="54"/>
      <c r="AO36" s="54"/>
      <c r="AP36" s="54"/>
    </row>
    <row r="37" spans="1:42" ht="13.2" x14ac:dyDescent="0.25">
      <c r="A37" s="5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1"/>
      <c r="AI37" s="51"/>
      <c r="AJ37" s="51"/>
      <c r="AK37" s="51"/>
      <c r="AL37" s="51"/>
      <c r="AM37" s="51"/>
      <c r="AN37" s="51"/>
      <c r="AO37" s="51"/>
      <c r="AP37" s="51"/>
    </row>
    <row r="38" spans="1:42" ht="13.2" x14ac:dyDescent="0.25">
      <c r="B38" s="60" t="s">
        <v>100</v>
      </c>
      <c r="C38" s="61"/>
      <c r="D38" s="60" t="s">
        <v>101</v>
      </c>
      <c r="E38" s="60" t="s">
        <v>102</v>
      </c>
    </row>
    <row r="39" spans="1:42" ht="13.2" x14ac:dyDescent="0.25">
      <c r="B39" s="60" t="s">
        <v>103</v>
      </c>
      <c r="C39" s="62">
        <v>1.12E-2</v>
      </c>
      <c r="D39" s="63">
        <v>8.9999999999999993E-3</v>
      </c>
      <c r="E39" s="60">
        <v>7.0000000000000001E-3</v>
      </c>
    </row>
    <row r="40" spans="1:42" ht="13.2" x14ac:dyDescent="0.25">
      <c r="B40" s="60" t="s">
        <v>104</v>
      </c>
      <c r="C40" s="62">
        <v>2.12E-2</v>
      </c>
      <c r="D40" s="63">
        <v>0.02</v>
      </c>
      <c r="E40" s="60">
        <v>1.7000000000000001E-2</v>
      </c>
    </row>
    <row r="41" spans="1:42" ht="13.2" x14ac:dyDescent="0.25">
      <c r="B41" s="60" t="s">
        <v>105</v>
      </c>
      <c r="C41" s="62">
        <v>0.3</v>
      </c>
      <c r="D41" s="63">
        <v>0.35</v>
      </c>
      <c r="E41" s="60">
        <v>0.3</v>
      </c>
    </row>
    <row r="42" spans="1:42" ht="13.2" x14ac:dyDescent="0.25">
      <c r="B42" s="61"/>
      <c r="C42" s="60">
        <v>0</v>
      </c>
      <c r="D42" s="61"/>
      <c r="E42" s="61"/>
    </row>
    <row r="43" spans="1:42" ht="13.2" x14ac:dyDescent="0.25">
      <c r="B43" s="61"/>
      <c r="C43" s="61"/>
      <c r="D43" s="61"/>
      <c r="E43" s="61"/>
    </row>
    <row r="44" spans="1:42" ht="13.2" x14ac:dyDescent="0.25">
      <c r="B44" s="61"/>
      <c r="C44" s="61"/>
      <c r="D44" s="61"/>
      <c r="E44" s="61"/>
    </row>
    <row r="45" spans="1:42" ht="13.2" x14ac:dyDescent="0.25">
      <c r="B45" s="60" t="s">
        <v>106</v>
      </c>
      <c r="C45" s="61"/>
      <c r="D45" s="60" t="s">
        <v>101</v>
      </c>
      <c r="E45" s="60" t="s">
        <v>102</v>
      </c>
    </row>
    <row r="46" spans="1:42" ht="13.2" x14ac:dyDescent="0.25">
      <c r="B46" s="60" t="s">
        <v>103</v>
      </c>
      <c r="C46" s="62">
        <v>0.03</v>
      </c>
      <c r="D46" s="63">
        <v>2.2499999999999999E-2</v>
      </c>
      <c r="E46" s="60">
        <v>1.0999999999999999E-2</v>
      </c>
    </row>
    <row r="47" spans="1:42" ht="13.2" x14ac:dyDescent="0.25">
      <c r="B47" s="60" t="s">
        <v>107</v>
      </c>
      <c r="C47" s="62">
        <v>0.7</v>
      </c>
      <c r="D47" s="63">
        <v>0.8</v>
      </c>
      <c r="E47" s="60">
        <v>0.83</v>
      </c>
    </row>
    <row r="48" spans="1:42" ht="13.2" x14ac:dyDescent="0.25">
      <c r="B48" s="60" t="s">
        <v>105</v>
      </c>
      <c r="C48" s="62">
        <v>0.3</v>
      </c>
      <c r="D48" s="63">
        <v>0.35</v>
      </c>
      <c r="E48" s="60">
        <v>0.3</v>
      </c>
    </row>
    <row r="49" spans="3:3" ht="13.2" x14ac:dyDescent="0.25">
      <c r="C49" s="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900"/>
  <sheetViews>
    <sheetView workbookViewId="0">
      <pane ySplit="2" topLeftCell="A44" activePane="bottomLeft" state="frozen"/>
      <selection pane="bottomLeft" activeCell="B4" sqref="B4"/>
    </sheetView>
  </sheetViews>
  <sheetFormatPr defaultColWidth="12.6640625" defaultRowHeight="15.75" customHeight="1" x14ac:dyDescent="0.25"/>
  <cols>
    <col min="1" max="1" width="2.21875" customWidth="1"/>
    <col min="2" max="2" width="52.88671875" customWidth="1"/>
    <col min="4" max="4" width="12.88671875" customWidth="1"/>
    <col min="5" max="5" width="11.21875" customWidth="1"/>
    <col min="6" max="6" width="13.109375" customWidth="1"/>
  </cols>
  <sheetData>
    <row r="1" spans="1:39" x14ac:dyDescent="0.25">
      <c r="A1" s="457" t="s">
        <v>0</v>
      </c>
      <c r="B1" s="442"/>
      <c r="C1" s="64"/>
      <c r="D1" s="458"/>
      <c r="E1" s="442"/>
      <c r="F1" s="65"/>
      <c r="G1" s="65"/>
      <c r="H1" s="66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</row>
    <row r="2" spans="1:39" x14ac:dyDescent="0.25">
      <c r="A2" s="67"/>
      <c r="B2" s="68"/>
      <c r="C2" s="69" t="s">
        <v>108</v>
      </c>
      <c r="D2" s="459" t="s">
        <v>109</v>
      </c>
      <c r="E2" s="446"/>
      <c r="F2" s="69" t="s">
        <v>110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70"/>
      <c r="AG2" s="70"/>
      <c r="AH2" s="70"/>
      <c r="AI2" s="70"/>
      <c r="AJ2" s="70"/>
      <c r="AK2" s="70"/>
      <c r="AL2" s="70"/>
      <c r="AM2" s="70"/>
    </row>
    <row r="3" spans="1:39" x14ac:dyDescent="0.25">
      <c r="A3" s="71"/>
      <c r="B3" s="72"/>
      <c r="C3" s="73"/>
      <c r="D3" s="460"/>
      <c r="E3" s="442"/>
      <c r="F3" s="71"/>
      <c r="G3" s="73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4"/>
      <c r="AF3" s="74"/>
      <c r="AG3" s="74"/>
      <c r="AH3" s="74"/>
      <c r="AI3" s="74"/>
      <c r="AJ3" s="74"/>
      <c r="AK3" s="74"/>
      <c r="AL3" s="75"/>
      <c r="AM3" s="75"/>
    </row>
    <row r="4" spans="1:39" x14ac:dyDescent="0.25">
      <c r="A4" s="76"/>
      <c r="B4" s="77" t="s">
        <v>111</v>
      </c>
      <c r="C4" s="78"/>
      <c r="D4" s="454"/>
      <c r="E4" s="442"/>
      <c r="F4" s="76"/>
      <c r="G4" s="78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9"/>
      <c r="AF4" s="79"/>
      <c r="AG4" s="79"/>
      <c r="AH4" s="79"/>
      <c r="AI4" s="79"/>
      <c r="AJ4" s="79"/>
      <c r="AK4" s="79"/>
      <c r="AL4" s="80"/>
      <c r="AM4" s="80"/>
    </row>
    <row r="5" spans="1:39" x14ac:dyDescent="0.25">
      <c r="A5" s="81"/>
      <c r="B5" s="82" t="s">
        <v>112</v>
      </c>
      <c r="C5" s="83"/>
      <c r="D5" s="445"/>
      <c r="E5" s="446"/>
      <c r="F5" s="84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</row>
    <row r="6" spans="1:39" x14ac:dyDescent="0.25">
      <c r="A6" s="81"/>
      <c r="B6" s="452" t="s">
        <v>113</v>
      </c>
      <c r="C6" s="448" t="s">
        <v>114</v>
      </c>
      <c r="D6" s="444" t="s">
        <v>115</v>
      </c>
      <c r="E6" s="442"/>
      <c r="F6" s="89">
        <v>14</v>
      </c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</row>
    <row r="7" spans="1:39" x14ac:dyDescent="0.25">
      <c r="A7" s="81"/>
      <c r="B7" s="442"/>
      <c r="C7" s="442"/>
      <c r="D7" s="444" t="s">
        <v>116</v>
      </c>
      <c r="E7" s="442"/>
      <c r="F7" s="89">
        <v>22</v>
      </c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</row>
    <row r="8" spans="1:39" x14ac:dyDescent="0.25">
      <c r="A8" s="81"/>
      <c r="B8" s="86" t="s">
        <v>117</v>
      </c>
      <c r="C8" s="87" t="s">
        <v>118</v>
      </c>
      <c r="D8" s="444"/>
      <c r="E8" s="442"/>
      <c r="F8" s="89">
        <v>0</v>
      </c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</row>
    <row r="9" spans="1:39" x14ac:dyDescent="0.25">
      <c r="A9" s="81"/>
      <c r="B9" s="90"/>
      <c r="C9" s="87"/>
      <c r="D9" s="444"/>
      <c r="E9" s="442"/>
      <c r="F9" s="89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</row>
    <row r="10" spans="1:39" x14ac:dyDescent="0.25">
      <c r="A10" s="81"/>
      <c r="B10" s="82" t="s">
        <v>119</v>
      </c>
      <c r="C10" s="83"/>
      <c r="D10" s="445"/>
      <c r="E10" s="446"/>
      <c r="F10" s="84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</row>
    <row r="11" spans="1:39" x14ac:dyDescent="0.25">
      <c r="A11" s="81"/>
      <c r="B11" s="452" t="s">
        <v>113</v>
      </c>
      <c r="C11" s="448" t="s">
        <v>114</v>
      </c>
      <c r="D11" s="444" t="s">
        <v>115</v>
      </c>
      <c r="E11" s="442"/>
      <c r="F11" s="89">
        <v>18</v>
      </c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</row>
    <row r="12" spans="1:39" x14ac:dyDescent="0.25">
      <c r="A12" s="81"/>
      <c r="B12" s="442"/>
      <c r="C12" s="442"/>
      <c r="D12" s="444" t="s">
        <v>116</v>
      </c>
      <c r="E12" s="442"/>
      <c r="F12" s="89">
        <v>40</v>
      </c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</row>
    <row r="13" spans="1:39" x14ac:dyDescent="0.25">
      <c r="A13" s="81"/>
      <c r="B13" s="86" t="s">
        <v>117</v>
      </c>
      <c r="C13" s="87" t="s">
        <v>118</v>
      </c>
      <c r="D13" s="456"/>
      <c r="E13" s="442"/>
      <c r="F13" s="91">
        <v>120</v>
      </c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</row>
    <row r="14" spans="1:39" x14ac:dyDescent="0.25">
      <c r="A14" s="81"/>
      <c r="B14" s="92"/>
      <c r="C14" s="93"/>
      <c r="D14" s="441"/>
      <c r="E14" s="442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</row>
    <row r="15" spans="1:39" x14ac:dyDescent="0.25">
      <c r="A15" s="94"/>
      <c r="B15" s="95" t="s">
        <v>120</v>
      </c>
      <c r="C15" s="96"/>
      <c r="D15" s="449"/>
      <c r="E15" s="44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</row>
    <row r="16" spans="1:39" x14ac:dyDescent="0.25">
      <c r="A16" s="94"/>
      <c r="B16" s="443" t="s">
        <v>113</v>
      </c>
      <c r="C16" s="451" t="s">
        <v>114</v>
      </c>
      <c r="D16" s="451" t="s">
        <v>115</v>
      </c>
      <c r="E16" s="442"/>
      <c r="F16" s="99">
        <v>18</v>
      </c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</row>
    <row r="17" spans="1:39" x14ac:dyDescent="0.25">
      <c r="A17" s="94"/>
      <c r="B17" s="442"/>
      <c r="C17" s="442"/>
      <c r="D17" s="451" t="s">
        <v>116</v>
      </c>
      <c r="E17" s="442"/>
      <c r="F17" s="99">
        <v>40</v>
      </c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</row>
    <row r="18" spans="1:39" x14ac:dyDescent="0.25">
      <c r="A18" s="94"/>
      <c r="B18" s="94" t="s">
        <v>117</v>
      </c>
      <c r="C18" s="97" t="s">
        <v>118</v>
      </c>
      <c r="D18" s="453"/>
      <c r="E18" s="442"/>
      <c r="F18" s="100">
        <v>876</v>
      </c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</row>
    <row r="19" spans="1:39" x14ac:dyDescent="0.25">
      <c r="A19" s="81"/>
      <c r="B19" s="92"/>
      <c r="C19" s="93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</row>
    <row r="20" spans="1:39" x14ac:dyDescent="0.25">
      <c r="A20" s="81"/>
      <c r="B20" s="95" t="s">
        <v>121</v>
      </c>
      <c r="C20" s="96"/>
      <c r="D20" s="449"/>
      <c r="E20" s="446"/>
      <c r="F20" s="96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</row>
    <row r="21" spans="1:39" x14ac:dyDescent="0.25">
      <c r="A21" s="81"/>
      <c r="B21" s="443" t="s">
        <v>113</v>
      </c>
      <c r="C21" s="451" t="s">
        <v>114</v>
      </c>
      <c r="D21" s="451" t="s">
        <v>122</v>
      </c>
      <c r="E21" s="442"/>
      <c r="F21" s="99">
        <v>14</v>
      </c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</row>
    <row r="22" spans="1:39" x14ac:dyDescent="0.25">
      <c r="A22" s="81"/>
      <c r="B22" s="442"/>
      <c r="C22" s="442"/>
      <c r="D22" s="451" t="s">
        <v>123</v>
      </c>
      <c r="E22" s="442"/>
      <c r="F22" s="97">
        <v>22</v>
      </c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</row>
    <row r="23" spans="1:39" x14ac:dyDescent="0.25">
      <c r="A23" s="94"/>
      <c r="B23" s="94" t="s">
        <v>117</v>
      </c>
      <c r="C23" s="97" t="s">
        <v>118</v>
      </c>
      <c r="D23" s="453"/>
      <c r="E23" s="442"/>
      <c r="F23" s="100">
        <v>876</v>
      </c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</row>
    <row r="24" spans="1:39" x14ac:dyDescent="0.25">
      <c r="A24" s="81"/>
      <c r="B24" s="92"/>
      <c r="C24" s="93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</row>
    <row r="25" spans="1:39" x14ac:dyDescent="0.25">
      <c r="A25" s="81"/>
      <c r="B25" s="92"/>
      <c r="C25" s="93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</row>
    <row r="26" spans="1:39" x14ac:dyDescent="0.25">
      <c r="A26" s="81"/>
      <c r="B26" s="92"/>
      <c r="C26" s="93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</row>
    <row r="27" spans="1:39" x14ac:dyDescent="0.25">
      <c r="A27" s="81"/>
      <c r="B27" s="92"/>
      <c r="C27" s="93"/>
      <c r="D27" s="441"/>
      <c r="E27" s="442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</row>
    <row r="28" spans="1:39" x14ac:dyDescent="0.25">
      <c r="A28" s="76"/>
      <c r="B28" s="77" t="s">
        <v>124</v>
      </c>
      <c r="C28" s="78"/>
      <c r="D28" s="454"/>
      <c r="E28" s="442"/>
      <c r="F28" s="76"/>
      <c r="G28" s="78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9"/>
      <c r="AF28" s="79"/>
      <c r="AG28" s="79"/>
      <c r="AH28" s="79"/>
      <c r="AI28" s="79"/>
      <c r="AJ28" s="79"/>
      <c r="AK28" s="79"/>
      <c r="AL28" s="80"/>
      <c r="AM28" s="80"/>
    </row>
    <row r="29" spans="1:39" x14ac:dyDescent="0.25">
      <c r="A29" s="81"/>
      <c r="B29" s="82" t="s">
        <v>125</v>
      </c>
      <c r="C29" s="102"/>
      <c r="D29" s="455"/>
      <c r="E29" s="446"/>
      <c r="F29" s="103" t="s">
        <v>126</v>
      </c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</row>
    <row r="30" spans="1:39" x14ac:dyDescent="0.25">
      <c r="A30" s="81"/>
      <c r="B30" s="452" t="s">
        <v>127</v>
      </c>
      <c r="C30" s="87" t="s">
        <v>128</v>
      </c>
      <c r="D30" s="441" t="s">
        <v>129</v>
      </c>
      <c r="E30" s="442"/>
      <c r="F30" s="105">
        <v>0.92</v>
      </c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</row>
    <row r="31" spans="1:39" x14ac:dyDescent="0.25">
      <c r="A31" s="81"/>
      <c r="B31" s="442"/>
      <c r="C31" s="87" t="s">
        <v>128</v>
      </c>
      <c r="D31" s="441" t="s">
        <v>130</v>
      </c>
      <c r="E31" s="442"/>
      <c r="F31" s="106">
        <v>1</v>
      </c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</row>
    <row r="32" spans="1:39" x14ac:dyDescent="0.25">
      <c r="A32" s="81"/>
      <c r="B32" s="452" t="s">
        <v>131</v>
      </c>
      <c r="C32" s="87" t="s">
        <v>128</v>
      </c>
      <c r="D32" s="441" t="s">
        <v>129</v>
      </c>
      <c r="E32" s="442"/>
      <c r="F32" s="105">
        <v>0.37</v>
      </c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</row>
    <row r="33" spans="1:39" x14ac:dyDescent="0.25">
      <c r="A33" s="81"/>
      <c r="B33" s="442"/>
      <c r="C33" s="87" t="s">
        <v>128</v>
      </c>
      <c r="D33" s="441" t="s">
        <v>130</v>
      </c>
      <c r="E33" s="442"/>
      <c r="F33" s="106">
        <v>0.45</v>
      </c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</row>
    <row r="34" spans="1:39" x14ac:dyDescent="0.25">
      <c r="A34" s="81"/>
      <c r="B34" s="442"/>
      <c r="C34" s="87" t="s">
        <v>128</v>
      </c>
      <c r="D34" s="441" t="s">
        <v>132</v>
      </c>
      <c r="E34" s="442"/>
      <c r="F34" s="105">
        <v>0.5</v>
      </c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</row>
    <row r="35" spans="1:39" x14ac:dyDescent="0.25">
      <c r="A35" s="81"/>
      <c r="B35" s="452" t="s">
        <v>100</v>
      </c>
      <c r="C35" s="87" t="s">
        <v>128</v>
      </c>
      <c r="D35" s="441" t="s">
        <v>129</v>
      </c>
      <c r="E35" s="442"/>
      <c r="F35" s="105">
        <v>0.1</v>
      </c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</row>
    <row r="36" spans="1:39" x14ac:dyDescent="0.25">
      <c r="A36" s="81"/>
      <c r="B36" s="442"/>
      <c r="C36" s="87" t="s">
        <v>128</v>
      </c>
      <c r="D36" s="441" t="s">
        <v>130</v>
      </c>
      <c r="E36" s="442"/>
      <c r="F36" s="106">
        <v>0.15</v>
      </c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</row>
    <row r="37" spans="1:39" x14ac:dyDescent="0.25">
      <c r="A37" s="81"/>
      <c r="B37" s="452" t="s">
        <v>133</v>
      </c>
      <c r="C37" s="87" t="s">
        <v>128</v>
      </c>
      <c r="D37" s="441" t="s">
        <v>129</v>
      </c>
      <c r="E37" s="442"/>
      <c r="F37" s="105">
        <v>0.15</v>
      </c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</row>
    <row r="38" spans="1:39" x14ac:dyDescent="0.25">
      <c r="A38" s="81"/>
      <c r="B38" s="442"/>
      <c r="C38" s="87" t="s">
        <v>128</v>
      </c>
      <c r="D38" s="441" t="s">
        <v>130</v>
      </c>
      <c r="E38" s="442"/>
      <c r="F38" s="106">
        <v>0.25</v>
      </c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</row>
    <row r="39" spans="1:39" x14ac:dyDescent="0.25">
      <c r="A39" s="81"/>
      <c r="B39" s="452" t="s">
        <v>134</v>
      </c>
      <c r="C39" s="87" t="s">
        <v>128</v>
      </c>
      <c r="D39" s="441" t="s">
        <v>129</v>
      </c>
      <c r="E39" s="442"/>
      <c r="F39" s="105">
        <v>0.12</v>
      </c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</row>
    <row r="40" spans="1:39" x14ac:dyDescent="0.25">
      <c r="A40" s="81"/>
      <c r="B40" s="442"/>
      <c r="C40" s="87" t="s">
        <v>128</v>
      </c>
      <c r="D40" s="441" t="s">
        <v>130</v>
      </c>
      <c r="E40" s="442"/>
      <c r="F40" s="106">
        <v>0.42</v>
      </c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</row>
    <row r="41" spans="1:39" x14ac:dyDescent="0.25">
      <c r="A41" s="81"/>
      <c r="B41" s="442"/>
      <c r="C41" s="87" t="s">
        <v>128</v>
      </c>
      <c r="D41" s="441" t="s">
        <v>132</v>
      </c>
      <c r="E41" s="442"/>
      <c r="F41" s="105">
        <v>0.5</v>
      </c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</row>
    <row r="42" spans="1:39" x14ac:dyDescent="0.25">
      <c r="A42" s="81"/>
      <c r="B42" s="452"/>
      <c r="C42" s="87"/>
      <c r="D42" s="441"/>
      <c r="E42" s="442"/>
      <c r="F42" s="105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</row>
    <row r="43" spans="1:39" x14ac:dyDescent="0.25">
      <c r="A43" s="81"/>
      <c r="B43" s="442"/>
      <c r="C43" s="87"/>
      <c r="D43" s="441"/>
      <c r="E43" s="442"/>
      <c r="F43" s="105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</row>
    <row r="44" spans="1:39" x14ac:dyDescent="0.25">
      <c r="A44" s="81"/>
      <c r="B44" s="92"/>
      <c r="C44" s="93"/>
      <c r="D44" s="441"/>
      <c r="E44" s="442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</row>
    <row r="45" spans="1:39" x14ac:dyDescent="0.25">
      <c r="A45" s="81"/>
      <c r="B45" s="92"/>
      <c r="C45" s="93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</row>
    <row r="46" spans="1:39" x14ac:dyDescent="0.25">
      <c r="A46" s="107"/>
      <c r="B46" s="108" t="s">
        <v>135</v>
      </c>
      <c r="C46" s="109"/>
      <c r="D46" s="461"/>
      <c r="E46" s="442"/>
      <c r="F46" s="107"/>
      <c r="G46" s="107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</row>
    <row r="47" spans="1:39" x14ac:dyDescent="0.25">
      <c r="A47" s="81"/>
      <c r="B47" s="92"/>
      <c r="C47" s="93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</row>
    <row r="48" spans="1:39" x14ac:dyDescent="0.25">
      <c r="A48" s="81"/>
      <c r="B48" s="82" t="s">
        <v>136</v>
      </c>
      <c r="C48" s="83"/>
      <c r="D48" s="445"/>
      <c r="E48" s="446"/>
      <c r="F48" s="84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</row>
    <row r="49" spans="1:39" x14ac:dyDescent="0.25">
      <c r="A49" s="81"/>
      <c r="B49" s="111" t="s">
        <v>137</v>
      </c>
      <c r="C49" s="87" t="s">
        <v>138</v>
      </c>
      <c r="D49" s="441"/>
      <c r="E49" s="442"/>
      <c r="F49" s="89">
        <v>5</v>
      </c>
      <c r="G49" s="81"/>
    </row>
    <row r="50" spans="1:39" x14ac:dyDescent="0.25">
      <c r="A50" s="81"/>
      <c r="B50" s="90"/>
      <c r="C50" s="112"/>
      <c r="D50" s="81"/>
      <c r="E50" s="81"/>
      <c r="F50" s="113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</row>
    <row r="51" spans="1:39" x14ac:dyDescent="0.25">
      <c r="A51" s="94"/>
      <c r="B51" s="95" t="s">
        <v>139</v>
      </c>
      <c r="C51" s="114"/>
      <c r="D51" s="449"/>
      <c r="E51" s="446"/>
      <c r="F51" s="115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6"/>
      <c r="AM51" s="116"/>
    </row>
    <row r="52" spans="1:39" x14ac:dyDescent="0.25">
      <c r="A52" s="94"/>
      <c r="B52" s="111" t="s">
        <v>137</v>
      </c>
      <c r="C52" s="87" t="s">
        <v>138</v>
      </c>
      <c r="D52" s="443"/>
      <c r="E52" s="442"/>
      <c r="F52" s="117">
        <v>18</v>
      </c>
      <c r="G52" s="94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</row>
    <row r="53" spans="1:39" x14ac:dyDescent="0.25">
      <c r="A53" s="81"/>
      <c r="B53" s="90"/>
      <c r="C53" s="87"/>
      <c r="D53" s="444"/>
      <c r="E53" s="442"/>
      <c r="F53" s="89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</row>
    <row r="54" spans="1:39" x14ac:dyDescent="0.25">
      <c r="A54" s="81"/>
      <c r="B54" s="82" t="s">
        <v>119</v>
      </c>
      <c r="C54" s="83"/>
      <c r="D54" s="445"/>
      <c r="E54" s="446"/>
      <c r="F54" s="84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</row>
    <row r="55" spans="1:39" x14ac:dyDescent="0.25">
      <c r="A55" s="81"/>
      <c r="B55" s="111" t="s">
        <v>137</v>
      </c>
      <c r="C55" s="87" t="s">
        <v>138</v>
      </c>
      <c r="D55" s="441"/>
      <c r="E55" s="442"/>
      <c r="F55" s="89">
        <v>3</v>
      </c>
      <c r="G55" s="81"/>
    </row>
    <row r="56" spans="1:39" x14ac:dyDescent="0.25">
      <c r="A56" s="81"/>
      <c r="B56" s="92"/>
      <c r="C56" s="93"/>
      <c r="D56" s="441"/>
      <c r="E56" s="442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</row>
    <row r="57" spans="1:39" x14ac:dyDescent="0.25">
      <c r="A57" s="81"/>
      <c r="B57" s="95" t="s">
        <v>120</v>
      </c>
      <c r="C57" s="96"/>
      <c r="D57" s="449"/>
      <c r="E57" s="446"/>
      <c r="F57" s="96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</row>
    <row r="58" spans="1:39" x14ac:dyDescent="0.25">
      <c r="A58" s="94"/>
      <c r="B58" s="447" t="s">
        <v>137</v>
      </c>
      <c r="C58" s="448" t="s">
        <v>138</v>
      </c>
      <c r="D58" s="450" t="s">
        <v>140</v>
      </c>
      <c r="E58" s="442"/>
      <c r="F58" s="99">
        <v>3</v>
      </c>
      <c r="G58" s="94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  <c r="AK58" s="116"/>
      <c r="AL58" s="116"/>
      <c r="AM58" s="116"/>
    </row>
    <row r="59" spans="1:39" x14ac:dyDescent="0.25">
      <c r="A59" s="81"/>
      <c r="B59" s="442"/>
      <c r="C59" s="442"/>
      <c r="D59" s="441" t="s">
        <v>141</v>
      </c>
      <c r="E59" s="442"/>
      <c r="F59" s="89">
        <v>3</v>
      </c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</row>
    <row r="60" spans="1:39" x14ac:dyDescent="0.25">
      <c r="A60" s="81"/>
      <c r="B60" s="92"/>
      <c r="C60" s="93"/>
      <c r="D60" s="89"/>
      <c r="E60" s="89"/>
      <c r="F60" s="89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</row>
    <row r="61" spans="1:39" x14ac:dyDescent="0.25">
      <c r="A61" s="81"/>
      <c r="B61" s="95" t="s">
        <v>121</v>
      </c>
      <c r="C61" s="96"/>
      <c r="D61" s="449"/>
      <c r="E61" s="446"/>
      <c r="F61" s="96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</row>
    <row r="62" spans="1:39" x14ac:dyDescent="0.25">
      <c r="A62" s="94"/>
      <c r="B62" s="447" t="s">
        <v>137</v>
      </c>
      <c r="C62" s="448" t="s">
        <v>138</v>
      </c>
      <c r="D62" s="451" t="s">
        <v>142</v>
      </c>
      <c r="E62" s="442"/>
      <c r="F62" s="99">
        <v>3</v>
      </c>
      <c r="G62" s="94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</row>
    <row r="63" spans="1:39" x14ac:dyDescent="0.25">
      <c r="A63" s="81"/>
      <c r="B63" s="442"/>
      <c r="C63" s="442"/>
      <c r="D63" s="451" t="s">
        <v>143</v>
      </c>
      <c r="E63" s="442"/>
      <c r="F63" s="100">
        <v>3</v>
      </c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</row>
    <row r="64" spans="1:39" x14ac:dyDescent="0.25">
      <c r="A64" s="81"/>
      <c r="B64" s="94"/>
      <c r="C64" s="97"/>
      <c r="D64" s="99"/>
      <c r="E64" s="99"/>
      <c r="F64" s="100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</row>
    <row r="65" spans="1:18" x14ac:dyDescent="0.25">
      <c r="A65" s="81"/>
      <c r="B65" s="92"/>
      <c r="C65" s="87"/>
      <c r="D65" s="441"/>
      <c r="E65" s="442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</row>
    <row r="66" spans="1:18" x14ac:dyDescent="0.25">
      <c r="A66" s="81"/>
      <c r="B66" s="92"/>
      <c r="C66" s="87"/>
      <c r="D66" s="441"/>
      <c r="E66" s="442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</row>
    <row r="67" spans="1:18" x14ac:dyDescent="0.25">
      <c r="A67" s="81"/>
      <c r="B67" s="92"/>
      <c r="C67" s="93"/>
      <c r="D67" s="441"/>
      <c r="E67" s="442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</row>
    <row r="68" spans="1:18" x14ac:dyDescent="0.25">
      <c r="A68" s="81"/>
      <c r="B68" s="92"/>
      <c r="C68" s="93"/>
      <c r="D68" s="441"/>
      <c r="E68" s="442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</row>
    <row r="69" spans="1:18" x14ac:dyDescent="0.25">
      <c r="A69" s="81"/>
      <c r="B69" s="92"/>
      <c r="C69" s="93"/>
      <c r="D69" s="441"/>
      <c r="E69" s="442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</row>
    <row r="70" spans="1:18" x14ac:dyDescent="0.25">
      <c r="A70" s="81"/>
      <c r="B70" s="92"/>
      <c r="C70" s="93"/>
      <c r="D70" s="441"/>
      <c r="E70" s="442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</row>
    <row r="71" spans="1:18" x14ac:dyDescent="0.25">
      <c r="A71" s="81"/>
      <c r="B71" s="92"/>
      <c r="C71" s="93"/>
      <c r="D71" s="441"/>
      <c r="E71" s="442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</row>
    <row r="72" spans="1:18" x14ac:dyDescent="0.25">
      <c r="A72" s="81"/>
      <c r="B72" s="92"/>
      <c r="C72" s="93"/>
      <c r="D72" s="441"/>
      <c r="E72" s="442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</row>
    <row r="73" spans="1:18" x14ac:dyDescent="0.25">
      <c r="A73" s="81"/>
      <c r="B73" s="92"/>
      <c r="C73" s="93"/>
      <c r="D73" s="441"/>
      <c r="E73" s="442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</row>
    <row r="74" spans="1:18" x14ac:dyDescent="0.25">
      <c r="A74" s="81"/>
      <c r="B74" s="92"/>
      <c r="C74" s="93"/>
      <c r="D74" s="441"/>
      <c r="E74" s="442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</row>
    <row r="75" spans="1:18" x14ac:dyDescent="0.25">
      <c r="A75" s="81"/>
      <c r="B75" s="92"/>
      <c r="C75" s="93"/>
      <c r="D75" s="441"/>
      <c r="E75" s="442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</row>
    <row r="76" spans="1:18" x14ac:dyDescent="0.25">
      <c r="A76" s="81"/>
      <c r="B76" s="92"/>
      <c r="C76" s="93"/>
      <c r="D76" s="441"/>
      <c r="E76" s="442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</row>
    <row r="77" spans="1:18" x14ac:dyDescent="0.25">
      <c r="A77" s="81"/>
      <c r="B77" s="92"/>
      <c r="C77" s="93"/>
      <c r="D77" s="441"/>
      <c r="E77" s="442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</row>
    <row r="78" spans="1:18" x14ac:dyDescent="0.25">
      <c r="A78" s="81"/>
      <c r="B78" s="92"/>
      <c r="C78" s="93"/>
      <c r="D78" s="441"/>
      <c r="E78" s="442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</row>
    <row r="79" spans="1:18" x14ac:dyDescent="0.25">
      <c r="A79" s="81"/>
      <c r="B79" s="92"/>
      <c r="C79" s="93"/>
      <c r="D79" s="441"/>
      <c r="E79" s="442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</row>
    <row r="80" spans="1:18" x14ac:dyDescent="0.25">
      <c r="A80" s="81"/>
      <c r="B80" s="92"/>
      <c r="C80" s="93"/>
      <c r="D80" s="441"/>
      <c r="E80" s="442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</row>
    <row r="81" spans="1:18" x14ac:dyDescent="0.25">
      <c r="A81" s="81"/>
      <c r="B81" s="92"/>
      <c r="C81" s="93"/>
      <c r="D81" s="441"/>
      <c r="E81" s="442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</row>
    <row r="82" spans="1:18" x14ac:dyDescent="0.25">
      <c r="A82" s="81"/>
      <c r="B82" s="92"/>
      <c r="C82" s="93"/>
      <c r="D82" s="441"/>
      <c r="E82" s="442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</row>
    <row r="83" spans="1:18" x14ac:dyDescent="0.25">
      <c r="A83" s="81"/>
      <c r="B83" s="92"/>
      <c r="C83" s="93"/>
      <c r="D83" s="441"/>
      <c r="E83" s="442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</row>
    <row r="84" spans="1:18" x14ac:dyDescent="0.25">
      <c r="A84" s="81"/>
      <c r="B84" s="92"/>
      <c r="C84" s="93"/>
      <c r="D84" s="441"/>
      <c r="E84" s="442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</row>
    <row r="85" spans="1:18" x14ac:dyDescent="0.25">
      <c r="A85" s="81"/>
      <c r="B85" s="92"/>
      <c r="C85" s="93"/>
      <c r="D85" s="441"/>
      <c r="E85" s="442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</row>
    <row r="86" spans="1:18" x14ac:dyDescent="0.25">
      <c r="A86" s="81"/>
      <c r="B86" s="92"/>
      <c r="C86" s="93"/>
      <c r="D86" s="441"/>
      <c r="E86" s="442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</row>
    <row r="87" spans="1:18" x14ac:dyDescent="0.25">
      <c r="A87" s="81"/>
      <c r="B87" s="92"/>
      <c r="C87" s="93"/>
      <c r="D87" s="441"/>
      <c r="E87" s="442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</row>
    <row r="88" spans="1:18" x14ac:dyDescent="0.25">
      <c r="A88" s="81"/>
      <c r="B88" s="92"/>
      <c r="C88" s="93"/>
      <c r="D88" s="441"/>
      <c r="E88" s="442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</row>
    <row r="89" spans="1:18" x14ac:dyDescent="0.25">
      <c r="A89" s="81"/>
      <c r="B89" s="92"/>
      <c r="C89" s="93"/>
      <c r="D89" s="441"/>
      <c r="E89" s="442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</row>
    <row r="90" spans="1:18" x14ac:dyDescent="0.25">
      <c r="A90" s="81"/>
      <c r="B90" s="92"/>
      <c r="C90" s="93"/>
      <c r="D90" s="441"/>
      <c r="E90" s="442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</row>
    <row r="91" spans="1:18" x14ac:dyDescent="0.25">
      <c r="A91" s="81"/>
      <c r="B91" s="92"/>
      <c r="C91" s="93"/>
      <c r="D91" s="441"/>
      <c r="E91" s="442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</row>
    <row r="92" spans="1:18" x14ac:dyDescent="0.25">
      <c r="A92" s="81"/>
      <c r="B92" s="92"/>
      <c r="C92" s="93"/>
      <c r="D92" s="441"/>
      <c r="E92" s="442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</row>
    <row r="93" spans="1:18" x14ac:dyDescent="0.25">
      <c r="A93" s="81"/>
      <c r="B93" s="92"/>
      <c r="C93" s="93"/>
      <c r="D93" s="441"/>
      <c r="E93" s="442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</row>
    <row r="94" spans="1:18" x14ac:dyDescent="0.25">
      <c r="A94" s="81"/>
      <c r="B94" s="92"/>
      <c r="C94" s="93"/>
      <c r="D94" s="441"/>
      <c r="E94" s="442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</row>
    <row r="95" spans="1:18" x14ac:dyDescent="0.25">
      <c r="A95" s="81"/>
      <c r="B95" s="92"/>
      <c r="C95" s="93"/>
      <c r="D95" s="441"/>
      <c r="E95" s="442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</row>
    <row r="96" spans="1:18" x14ac:dyDescent="0.25">
      <c r="A96" s="81"/>
      <c r="B96" s="92"/>
      <c r="C96" s="93"/>
      <c r="D96" s="441"/>
      <c r="E96" s="442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</row>
    <row r="97" spans="1:18" x14ac:dyDescent="0.25">
      <c r="A97" s="81"/>
      <c r="B97" s="92"/>
      <c r="C97" s="93"/>
      <c r="D97" s="441"/>
      <c r="E97" s="442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</row>
    <row r="98" spans="1:18" x14ac:dyDescent="0.25">
      <c r="A98" s="81"/>
      <c r="B98" s="92"/>
      <c r="C98" s="93"/>
      <c r="D98" s="441"/>
      <c r="E98" s="442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</row>
    <row r="99" spans="1:18" x14ac:dyDescent="0.25">
      <c r="A99" s="81"/>
      <c r="B99" s="92"/>
      <c r="C99" s="93"/>
      <c r="D99" s="441"/>
      <c r="E99" s="442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</row>
    <row r="100" spans="1:18" x14ac:dyDescent="0.25">
      <c r="A100" s="81"/>
      <c r="B100" s="92"/>
      <c r="C100" s="93"/>
      <c r="D100" s="441"/>
      <c r="E100" s="442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</row>
    <row r="101" spans="1:18" x14ac:dyDescent="0.25">
      <c r="A101" s="81"/>
      <c r="B101" s="92"/>
      <c r="C101" s="93"/>
      <c r="D101" s="441"/>
      <c r="E101" s="442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</row>
    <row r="102" spans="1:18" x14ac:dyDescent="0.25">
      <c r="A102" s="81"/>
      <c r="B102" s="92"/>
      <c r="C102" s="93"/>
      <c r="D102" s="441"/>
      <c r="E102" s="442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</row>
    <row r="103" spans="1:18" x14ac:dyDescent="0.25">
      <c r="A103" s="81"/>
      <c r="B103" s="92"/>
      <c r="C103" s="93"/>
      <c r="D103" s="441"/>
      <c r="E103" s="442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</row>
    <row r="104" spans="1:18" x14ac:dyDescent="0.25">
      <c r="A104" s="81"/>
      <c r="B104" s="92"/>
      <c r="C104" s="93"/>
      <c r="D104" s="441"/>
      <c r="E104" s="442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</row>
    <row r="105" spans="1:18" x14ac:dyDescent="0.25">
      <c r="A105" s="81"/>
      <c r="B105" s="92"/>
      <c r="C105" s="93"/>
      <c r="D105" s="441"/>
      <c r="E105" s="442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</row>
    <row r="106" spans="1:18" x14ac:dyDescent="0.25">
      <c r="A106" s="81"/>
      <c r="B106" s="92"/>
      <c r="C106" s="93"/>
      <c r="D106" s="441"/>
      <c r="E106" s="442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</row>
    <row r="107" spans="1:18" x14ac:dyDescent="0.25">
      <c r="A107" s="81"/>
      <c r="B107" s="92"/>
      <c r="C107" s="93"/>
      <c r="D107" s="441"/>
      <c r="E107" s="442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</row>
    <row r="108" spans="1:18" x14ac:dyDescent="0.25">
      <c r="A108" s="81"/>
      <c r="B108" s="92"/>
      <c r="C108" s="93"/>
      <c r="D108" s="441"/>
      <c r="E108" s="442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</row>
    <row r="109" spans="1:18" x14ac:dyDescent="0.25">
      <c r="A109" s="81"/>
      <c r="B109" s="92"/>
      <c r="C109" s="93"/>
      <c r="D109" s="441"/>
      <c r="E109" s="442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</row>
    <row r="110" spans="1:18" x14ac:dyDescent="0.25">
      <c r="A110" s="81"/>
      <c r="B110" s="92"/>
      <c r="C110" s="93"/>
      <c r="D110" s="441"/>
      <c r="E110" s="442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</row>
    <row r="111" spans="1:18" x14ac:dyDescent="0.25">
      <c r="A111" s="81"/>
      <c r="B111" s="92"/>
      <c r="C111" s="93"/>
      <c r="D111" s="441"/>
      <c r="E111" s="442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</row>
    <row r="112" spans="1:18" x14ac:dyDescent="0.25">
      <c r="A112" s="81"/>
      <c r="B112" s="92"/>
      <c r="C112" s="93"/>
      <c r="D112" s="441"/>
      <c r="E112" s="442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</row>
    <row r="113" spans="1:18" x14ac:dyDescent="0.25">
      <c r="A113" s="81"/>
      <c r="B113" s="92"/>
      <c r="C113" s="93"/>
      <c r="D113" s="441"/>
      <c r="E113" s="442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</row>
    <row r="114" spans="1:18" x14ac:dyDescent="0.25">
      <c r="A114" s="81"/>
      <c r="B114" s="92"/>
      <c r="C114" s="93"/>
      <c r="D114" s="441"/>
      <c r="E114" s="442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</row>
    <row r="115" spans="1:18" x14ac:dyDescent="0.25">
      <c r="B115" s="118"/>
      <c r="C115" s="93"/>
      <c r="D115" s="441"/>
      <c r="E115" s="442"/>
      <c r="H115" s="119"/>
    </row>
    <row r="116" spans="1:18" x14ac:dyDescent="0.25">
      <c r="B116" s="118"/>
      <c r="C116" s="93"/>
      <c r="D116" s="441"/>
      <c r="E116" s="442"/>
      <c r="H116" s="119"/>
    </row>
    <row r="117" spans="1:18" x14ac:dyDescent="0.25">
      <c r="B117" s="118"/>
      <c r="C117" s="93"/>
      <c r="D117" s="441"/>
      <c r="E117" s="442"/>
      <c r="H117" s="119"/>
    </row>
    <row r="118" spans="1:18" x14ac:dyDescent="0.25">
      <c r="B118" s="118"/>
      <c r="C118" s="93"/>
      <c r="D118" s="441"/>
      <c r="E118" s="442"/>
      <c r="H118" s="119"/>
    </row>
    <row r="119" spans="1:18" x14ac:dyDescent="0.25">
      <c r="B119" s="118"/>
      <c r="C119" s="93"/>
      <c r="D119" s="441"/>
      <c r="E119" s="442"/>
      <c r="H119" s="119"/>
    </row>
    <row r="120" spans="1:18" x14ac:dyDescent="0.25">
      <c r="B120" s="118"/>
      <c r="C120" s="93"/>
      <c r="D120" s="441"/>
      <c r="E120" s="442"/>
      <c r="H120" s="119"/>
    </row>
    <row r="121" spans="1:18" x14ac:dyDescent="0.25">
      <c r="B121" s="118"/>
      <c r="C121" s="93"/>
      <c r="D121" s="441"/>
      <c r="E121" s="442"/>
      <c r="H121" s="119"/>
    </row>
    <row r="122" spans="1:18" x14ac:dyDescent="0.25">
      <c r="B122" s="118"/>
      <c r="C122" s="93"/>
      <c r="D122" s="441"/>
      <c r="E122" s="442"/>
      <c r="H122" s="119"/>
    </row>
    <row r="123" spans="1:18" x14ac:dyDescent="0.25">
      <c r="B123" s="118"/>
      <c r="C123" s="93"/>
      <c r="D123" s="441"/>
      <c r="E123" s="442"/>
      <c r="H123" s="119"/>
    </row>
    <row r="124" spans="1:18" x14ac:dyDescent="0.25">
      <c r="B124" s="118"/>
      <c r="C124" s="93"/>
      <c r="D124" s="441"/>
      <c r="E124" s="442"/>
      <c r="H124" s="119"/>
    </row>
    <row r="125" spans="1:18" x14ac:dyDescent="0.25">
      <c r="B125" s="118"/>
      <c r="C125" s="93"/>
      <c r="D125" s="441"/>
      <c r="E125" s="442"/>
      <c r="H125" s="119"/>
    </row>
    <row r="126" spans="1:18" x14ac:dyDescent="0.25">
      <c r="B126" s="118"/>
      <c r="C126" s="93"/>
      <c r="D126" s="441"/>
      <c r="E126" s="442"/>
      <c r="H126" s="119"/>
    </row>
    <row r="127" spans="1:18" x14ac:dyDescent="0.25">
      <c r="B127" s="118"/>
      <c r="C127" s="93"/>
      <c r="D127" s="441"/>
      <c r="E127" s="442"/>
      <c r="H127" s="119"/>
    </row>
    <row r="128" spans="1:18" x14ac:dyDescent="0.25">
      <c r="B128" s="118"/>
      <c r="C128" s="93"/>
      <c r="D128" s="441"/>
      <c r="E128" s="442"/>
      <c r="H128" s="119"/>
    </row>
    <row r="129" spans="2:8" x14ac:dyDescent="0.25">
      <c r="B129" s="118"/>
      <c r="C129" s="93"/>
      <c r="D129" s="441"/>
      <c r="E129" s="442"/>
      <c r="H129" s="119"/>
    </row>
    <row r="130" spans="2:8" x14ac:dyDescent="0.25">
      <c r="B130" s="118"/>
      <c r="C130" s="93"/>
      <c r="D130" s="441"/>
      <c r="E130" s="442"/>
      <c r="H130" s="119"/>
    </row>
    <row r="131" spans="2:8" x14ac:dyDescent="0.25">
      <c r="B131" s="118"/>
      <c r="C131" s="93"/>
      <c r="D131" s="441"/>
      <c r="E131" s="442"/>
      <c r="H131" s="119"/>
    </row>
    <row r="132" spans="2:8" x14ac:dyDescent="0.25">
      <c r="B132" s="118"/>
      <c r="C132" s="93"/>
      <c r="D132" s="441"/>
      <c r="E132" s="442"/>
      <c r="H132" s="119"/>
    </row>
    <row r="133" spans="2:8" x14ac:dyDescent="0.25">
      <c r="B133" s="118"/>
      <c r="C133" s="93"/>
      <c r="D133" s="441"/>
      <c r="E133" s="442"/>
      <c r="H133" s="119"/>
    </row>
    <row r="134" spans="2:8" x14ac:dyDescent="0.25">
      <c r="B134" s="118"/>
      <c r="C134" s="93"/>
      <c r="D134" s="441"/>
      <c r="E134" s="442"/>
      <c r="H134" s="119"/>
    </row>
    <row r="135" spans="2:8" x14ac:dyDescent="0.25">
      <c r="B135" s="118"/>
      <c r="C135" s="93"/>
      <c r="D135" s="441"/>
      <c r="E135" s="442"/>
      <c r="H135" s="119"/>
    </row>
    <row r="136" spans="2:8" x14ac:dyDescent="0.25">
      <c r="B136" s="118"/>
      <c r="C136" s="93"/>
      <c r="D136" s="441"/>
      <c r="E136" s="442"/>
      <c r="H136" s="119"/>
    </row>
    <row r="137" spans="2:8" x14ac:dyDescent="0.25">
      <c r="B137" s="118"/>
      <c r="C137" s="93"/>
      <c r="D137" s="441"/>
      <c r="E137" s="442"/>
      <c r="H137" s="119"/>
    </row>
    <row r="138" spans="2:8" x14ac:dyDescent="0.25">
      <c r="B138" s="118"/>
      <c r="C138" s="93"/>
      <c r="D138" s="441"/>
      <c r="E138" s="442"/>
      <c r="H138" s="119"/>
    </row>
    <row r="139" spans="2:8" x14ac:dyDescent="0.25">
      <c r="B139" s="118"/>
      <c r="C139" s="93"/>
      <c r="D139" s="441"/>
      <c r="E139" s="442"/>
      <c r="H139" s="119"/>
    </row>
    <row r="140" spans="2:8" x14ac:dyDescent="0.25">
      <c r="B140" s="118"/>
      <c r="C140" s="93"/>
      <c r="D140" s="441"/>
      <c r="E140" s="442"/>
      <c r="H140" s="119"/>
    </row>
    <row r="141" spans="2:8" x14ac:dyDescent="0.25">
      <c r="B141" s="118"/>
      <c r="C141" s="93"/>
      <c r="D141" s="441"/>
      <c r="E141" s="442"/>
      <c r="H141" s="119"/>
    </row>
    <row r="142" spans="2:8" x14ac:dyDescent="0.25">
      <c r="B142" s="118"/>
      <c r="C142" s="93"/>
      <c r="D142" s="441"/>
      <c r="E142" s="442"/>
      <c r="H142" s="119"/>
    </row>
    <row r="143" spans="2:8" x14ac:dyDescent="0.25">
      <c r="B143" s="118"/>
      <c r="C143" s="93"/>
      <c r="D143" s="441"/>
      <c r="E143" s="442"/>
      <c r="H143" s="119"/>
    </row>
    <row r="144" spans="2:8" x14ac:dyDescent="0.25">
      <c r="B144" s="118"/>
      <c r="C144" s="93"/>
      <c r="D144" s="441"/>
      <c r="E144" s="442"/>
      <c r="H144" s="119"/>
    </row>
    <row r="145" spans="2:8" x14ac:dyDescent="0.25">
      <c r="B145" s="118"/>
      <c r="C145" s="93"/>
      <c r="D145" s="441"/>
      <c r="E145" s="442"/>
      <c r="H145" s="119"/>
    </row>
    <row r="146" spans="2:8" x14ac:dyDescent="0.25">
      <c r="B146" s="118"/>
      <c r="C146" s="93"/>
      <c r="D146" s="441"/>
      <c r="E146" s="442"/>
      <c r="H146" s="119"/>
    </row>
    <row r="147" spans="2:8" x14ac:dyDescent="0.25">
      <c r="B147" s="118"/>
      <c r="C147" s="93"/>
      <c r="D147" s="441"/>
      <c r="E147" s="442"/>
      <c r="H147" s="119"/>
    </row>
    <row r="148" spans="2:8" x14ac:dyDescent="0.25">
      <c r="B148" s="118"/>
      <c r="C148" s="93"/>
      <c r="D148" s="441"/>
      <c r="E148" s="442"/>
      <c r="H148" s="119"/>
    </row>
    <row r="149" spans="2:8" x14ac:dyDescent="0.25">
      <c r="B149" s="118"/>
      <c r="C149" s="93"/>
      <c r="D149" s="441"/>
      <c r="E149" s="442"/>
      <c r="H149" s="119"/>
    </row>
    <row r="150" spans="2:8" x14ac:dyDescent="0.25">
      <c r="B150" s="118"/>
      <c r="C150" s="93"/>
      <c r="D150" s="441"/>
      <c r="E150" s="442"/>
      <c r="H150" s="119"/>
    </row>
    <row r="151" spans="2:8" x14ac:dyDescent="0.25">
      <c r="B151" s="118"/>
      <c r="C151" s="93"/>
      <c r="D151" s="441"/>
      <c r="E151" s="442"/>
      <c r="H151" s="119"/>
    </row>
    <row r="152" spans="2:8" x14ac:dyDescent="0.25">
      <c r="B152" s="118"/>
      <c r="C152" s="93"/>
      <c r="D152" s="441"/>
      <c r="E152" s="442"/>
      <c r="H152" s="119"/>
    </row>
    <row r="153" spans="2:8" x14ac:dyDescent="0.25">
      <c r="B153" s="118"/>
      <c r="C153" s="93"/>
      <c r="D153" s="441"/>
      <c r="E153" s="442"/>
      <c r="H153" s="119"/>
    </row>
    <row r="154" spans="2:8" x14ac:dyDescent="0.25">
      <c r="B154" s="118"/>
      <c r="C154" s="93"/>
      <c r="D154" s="441"/>
      <c r="E154" s="442"/>
      <c r="H154" s="119"/>
    </row>
    <row r="155" spans="2:8" x14ac:dyDescent="0.25">
      <c r="B155" s="118"/>
      <c r="C155" s="93"/>
      <c r="D155" s="441"/>
      <c r="E155" s="442"/>
      <c r="H155" s="119"/>
    </row>
    <row r="156" spans="2:8" x14ac:dyDescent="0.25">
      <c r="B156" s="118"/>
      <c r="C156" s="93"/>
      <c r="D156" s="441"/>
      <c r="E156" s="442"/>
      <c r="H156" s="119"/>
    </row>
    <row r="157" spans="2:8" x14ac:dyDescent="0.25">
      <c r="B157" s="118"/>
      <c r="C157" s="93"/>
      <c r="D157" s="441"/>
      <c r="E157" s="442"/>
      <c r="H157" s="119"/>
    </row>
    <row r="158" spans="2:8" x14ac:dyDescent="0.25">
      <c r="B158" s="118"/>
      <c r="C158" s="93"/>
      <c r="D158" s="441"/>
      <c r="E158" s="442"/>
      <c r="H158" s="119"/>
    </row>
    <row r="159" spans="2:8" x14ac:dyDescent="0.25">
      <c r="B159" s="118"/>
      <c r="C159" s="93"/>
      <c r="D159" s="441"/>
      <c r="E159" s="442"/>
      <c r="H159" s="119"/>
    </row>
    <row r="160" spans="2:8" x14ac:dyDescent="0.25">
      <c r="B160" s="118"/>
      <c r="C160" s="93"/>
      <c r="D160" s="441"/>
      <c r="E160" s="442"/>
      <c r="H160" s="119"/>
    </row>
    <row r="161" spans="2:8" x14ac:dyDescent="0.25">
      <c r="B161" s="118"/>
      <c r="C161" s="93"/>
      <c r="D161" s="441"/>
      <c r="E161" s="442"/>
      <c r="H161" s="119"/>
    </row>
    <row r="162" spans="2:8" x14ac:dyDescent="0.25">
      <c r="B162" s="118"/>
      <c r="C162" s="93"/>
      <c r="D162" s="441"/>
      <c r="E162" s="442"/>
      <c r="H162" s="119"/>
    </row>
    <row r="163" spans="2:8" x14ac:dyDescent="0.25">
      <c r="B163" s="118"/>
      <c r="C163" s="93"/>
      <c r="D163" s="441"/>
      <c r="E163" s="442"/>
      <c r="H163" s="119"/>
    </row>
    <row r="164" spans="2:8" x14ac:dyDescent="0.25">
      <c r="B164" s="118"/>
      <c r="C164" s="93"/>
      <c r="D164" s="441"/>
      <c r="E164" s="442"/>
      <c r="H164" s="119"/>
    </row>
    <row r="165" spans="2:8" x14ac:dyDescent="0.25">
      <c r="B165" s="118"/>
      <c r="C165" s="93"/>
      <c r="D165" s="441"/>
      <c r="E165" s="442"/>
      <c r="H165" s="119"/>
    </row>
    <row r="166" spans="2:8" x14ac:dyDescent="0.25">
      <c r="B166" s="118"/>
      <c r="C166" s="93"/>
      <c r="D166" s="441"/>
      <c r="E166" s="442"/>
      <c r="H166" s="119"/>
    </row>
    <row r="167" spans="2:8" x14ac:dyDescent="0.25">
      <c r="B167" s="118"/>
      <c r="C167" s="93"/>
      <c r="D167" s="441"/>
      <c r="E167" s="442"/>
      <c r="H167" s="119"/>
    </row>
    <row r="168" spans="2:8" x14ac:dyDescent="0.25">
      <c r="B168" s="118"/>
      <c r="C168" s="93"/>
      <c r="D168" s="441"/>
      <c r="E168" s="442"/>
      <c r="H168" s="119"/>
    </row>
    <row r="169" spans="2:8" x14ac:dyDescent="0.25">
      <c r="B169" s="118"/>
      <c r="C169" s="93"/>
      <c r="D169" s="441"/>
      <c r="E169" s="442"/>
      <c r="H169" s="119"/>
    </row>
    <row r="170" spans="2:8" x14ac:dyDescent="0.25">
      <c r="B170" s="118"/>
      <c r="C170" s="93"/>
      <c r="D170" s="441"/>
      <c r="E170" s="442"/>
      <c r="H170" s="119"/>
    </row>
    <row r="171" spans="2:8" x14ac:dyDescent="0.25">
      <c r="B171" s="118"/>
      <c r="C171" s="93"/>
      <c r="D171" s="441"/>
      <c r="E171" s="442"/>
      <c r="H171" s="119"/>
    </row>
    <row r="172" spans="2:8" x14ac:dyDescent="0.25">
      <c r="B172" s="118"/>
      <c r="C172" s="93"/>
      <c r="D172" s="441"/>
      <c r="E172" s="442"/>
      <c r="H172" s="119"/>
    </row>
    <row r="173" spans="2:8" x14ac:dyDescent="0.25">
      <c r="B173" s="118"/>
      <c r="C173" s="93"/>
      <c r="D173" s="441"/>
      <c r="E173" s="442"/>
      <c r="H173" s="119"/>
    </row>
    <row r="174" spans="2:8" x14ac:dyDescent="0.25">
      <c r="B174" s="118"/>
      <c r="C174" s="93"/>
      <c r="D174" s="441"/>
      <c r="E174" s="442"/>
      <c r="H174" s="119"/>
    </row>
    <row r="175" spans="2:8" x14ac:dyDescent="0.25">
      <c r="B175" s="118"/>
      <c r="C175" s="93"/>
      <c r="D175" s="441"/>
      <c r="E175" s="442"/>
      <c r="H175" s="119"/>
    </row>
    <row r="176" spans="2:8" x14ac:dyDescent="0.25">
      <c r="B176" s="118"/>
      <c r="C176" s="93"/>
      <c r="D176" s="441"/>
      <c r="E176" s="442"/>
      <c r="H176" s="119"/>
    </row>
    <row r="177" spans="2:8" x14ac:dyDescent="0.25">
      <c r="B177" s="118"/>
      <c r="C177" s="93"/>
      <c r="D177" s="441"/>
      <c r="E177" s="442"/>
      <c r="H177" s="119"/>
    </row>
    <row r="178" spans="2:8" x14ac:dyDescent="0.25">
      <c r="B178" s="118"/>
      <c r="C178" s="93"/>
      <c r="D178" s="441"/>
      <c r="E178" s="442"/>
      <c r="H178" s="119"/>
    </row>
    <row r="179" spans="2:8" x14ac:dyDescent="0.25">
      <c r="B179" s="118"/>
      <c r="C179" s="93"/>
      <c r="D179" s="441"/>
      <c r="E179" s="442"/>
      <c r="H179" s="119"/>
    </row>
    <row r="180" spans="2:8" x14ac:dyDescent="0.25">
      <c r="B180" s="118"/>
      <c r="C180" s="93"/>
      <c r="D180" s="441"/>
      <c r="E180" s="442"/>
      <c r="H180" s="119"/>
    </row>
    <row r="181" spans="2:8" x14ac:dyDescent="0.25">
      <c r="B181" s="118"/>
      <c r="C181" s="93"/>
      <c r="D181" s="441"/>
      <c r="E181" s="442"/>
      <c r="H181" s="119"/>
    </row>
    <row r="182" spans="2:8" x14ac:dyDescent="0.25">
      <c r="B182" s="118"/>
      <c r="C182" s="93"/>
      <c r="D182" s="441"/>
      <c r="E182" s="442"/>
      <c r="H182" s="119"/>
    </row>
    <row r="183" spans="2:8" x14ac:dyDescent="0.25">
      <c r="B183" s="118"/>
      <c r="C183" s="93"/>
      <c r="D183" s="441"/>
      <c r="E183" s="442"/>
      <c r="H183" s="119"/>
    </row>
    <row r="184" spans="2:8" x14ac:dyDescent="0.25">
      <c r="B184" s="118"/>
      <c r="C184" s="93"/>
      <c r="D184" s="441"/>
      <c r="E184" s="442"/>
      <c r="H184" s="119"/>
    </row>
    <row r="185" spans="2:8" x14ac:dyDescent="0.25">
      <c r="B185" s="118"/>
      <c r="C185" s="93"/>
      <c r="D185" s="441"/>
      <c r="E185" s="442"/>
      <c r="H185" s="119"/>
    </row>
    <row r="186" spans="2:8" x14ac:dyDescent="0.25">
      <c r="B186" s="118"/>
      <c r="C186" s="93"/>
      <c r="D186" s="441"/>
      <c r="E186" s="442"/>
      <c r="H186" s="119"/>
    </row>
    <row r="187" spans="2:8" x14ac:dyDescent="0.25">
      <c r="B187" s="118"/>
      <c r="C187" s="93"/>
      <c r="D187" s="441"/>
      <c r="E187" s="442"/>
      <c r="H187" s="119"/>
    </row>
    <row r="188" spans="2:8" x14ac:dyDescent="0.25">
      <c r="B188" s="118"/>
      <c r="C188" s="93"/>
      <c r="D188" s="441"/>
      <c r="E188" s="442"/>
      <c r="H188" s="119"/>
    </row>
    <row r="189" spans="2:8" x14ac:dyDescent="0.25">
      <c r="B189" s="118"/>
      <c r="C189" s="93"/>
      <c r="D189" s="441"/>
      <c r="E189" s="442"/>
      <c r="H189" s="119"/>
    </row>
    <row r="190" spans="2:8" x14ac:dyDescent="0.25">
      <c r="B190" s="118"/>
      <c r="C190" s="93"/>
      <c r="D190" s="441"/>
      <c r="E190" s="442"/>
      <c r="H190" s="119"/>
    </row>
    <row r="191" spans="2:8" x14ac:dyDescent="0.25">
      <c r="B191" s="118"/>
      <c r="C191" s="93"/>
      <c r="D191" s="441"/>
      <c r="E191" s="442"/>
      <c r="H191" s="119"/>
    </row>
    <row r="192" spans="2:8" x14ac:dyDescent="0.25">
      <c r="B192" s="118"/>
      <c r="C192" s="93"/>
      <c r="D192" s="441"/>
      <c r="E192" s="442"/>
      <c r="H192" s="119"/>
    </row>
    <row r="193" spans="2:8" x14ac:dyDescent="0.25">
      <c r="B193" s="118"/>
      <c r="C193" s="93"/>
      <c r="D193" s="441"/>
      <c r="E193" s="442"/>
      <c r="H193" s="119"/>
    </row>
    <row r="194" spans="2:8" x14ac:dyDescent="0.25">
      <c r="B194" s="118"/>
      <c r="C194" s="93"/>
      <c r="D194" s="441"/>
      <c r="E194" s="442"/>
      <c r="H194" s="119"/>
    </row>
    <row r="195" spans="2:8" x14ac:dyDescent="0.25">
      <c r="B195" s="118"/>
      <c r="C195" s="93"/>
      <c r="D195" s="441"/>
      <c r="E195" s="442"/>
      <c r="H195" s="119"/>
    </row>
    <row r="196" spans="2:8" x14ac:dyDescent="0.25">
      <c r="B196" s="118"/>
      <c r="C196" s="93"/>
      <c r="D196" s="441"/>
      <c r="E196" s="442"/>
      <c r="H196" s="119"/>
    </row>
    <row r="197" spans="2:8" x14ac:dyDescent="0.25">
      <c r="B197" s="118"/>
      <c r="C197" s="93"/>
      <c r="D197" s="441"/>
      <c r="E197" s="442"/>
      <c r="H197" s="119"/>
    </row>
    <row r="198" spans="2:8" x14ac:dyDescent="0.25">
      <c r="B198" s="118"/>
      <c r="C198" s="93"/>
      <c r="D198" s="441"/>
      <c r="E198" s="442"/>
      <c r="H198" s="119"/>
    </row>
    <row r="199" spans="2:8" x14ac:dyDescent="0.25">
      <c r="B199" s="118"/>
      <c r="C199" s="93"/>
      <c r="D199" s="441"/>
      <c r="E199" s="442"/>
      <c r="H199" s="119"/>
    </row>
    <row r="200" spans="2:8" x14ac:dyDescent="0.25">
      <c r="B200" s="118"/>
      <c r="C200" s="93"/>
      <c r="D200" s="441"/>
      <c r="E200" s="442"/>
      <c r="H200" s="119"/>
    </row>
    <row r="201" spans="2:8" x14ac:dyDescent="0.25">
      <c r="B201" s="118"/>
      <c r="C201" s="93"/>
      <c r="D201" s="441"/>
      <c r="E201" s="442"/>
      <c r="H201" s="119"/>
    </row>
    <row r="202" spans="2:8" x14ac:dyDescent="0.25">
      <c r="B202" s="118"/>
      <c r="C202" s="93"/>
      <c r="D202" s="441"/>
      <c r="E202" s="442"/>
      <c r="H202" s="119"/>
    </row>
    <row r="203" spans="2:8" x14ac:dyDescent="0.25">
      <c r="B203" s="118"/>
      <c r="C203" s="93"/>
      <c r="D203" s="441"/>
      <c r="E203" s="442"/>
      <c r="H203" s="119"/>
    </row>
    <row r="204" spans="2:8" x14ac:dyDescent="0.25">
      <c r="B204" s="118"/>
      <c r="C204" s="93"/>
      <c r="D204" s="441"/>
      <c r="E204" s="442"/>
      <c r="H204" s="119"/>
    </row>
    <row r="205" spans="2:8" x14ac:dyDescent="0.25">
      <c r="B205" s="118"/>
      <c r="C205" s="93"/>
      <c r="D205" s="441"/>
      <c r="E205" s="442"/>
      <c r="H205" s="119"/>
    </row>
    <row r="206" spans="2:8" x14ac:dyDescent="0.25">
      <c r="B206" s="118"/>
      <c r="C206" s="93"/>
      <c r="D206" s="441"/>
      <c r="E206" s="442"/>
      <c r="H206" s="119"/>
    </row>
    <row r="207" spans="2:8" x14ac:dyDescent="0.25">
      <c r="B207" s="118"/>
      <c r="C207" s="93"/>
      <c r="D207" s="441"/>
      <c r="E207" s="442"/>
      <c r="H207" s="119"/>
    </row>
    <row r="208" spans="2:8" x14ac:dyDescent="0.25">
      <c r="B208" s="118"/>
      <c r="C208" s="93"/>
      <c r="D208" s="441"/>
      <c r="E208" s="442"/>
      <c r="H208" s="119"/>
    </row>
    <row r="209" spans="2:8" x14ac:dyDescent="0.25">
      <c r="B209" s="118"/>
      <c r="C209" s="93"/>
      <c r="D209" s="441"/>
      <c r="E209" s="442"/>
      <c r="H209" s="119"/>
    </row>
    <row r="210" spans="2:8" x14ac:dyDescent="0.25">
      <c r="B210" s="118"/>
      <c r="C210" s="93"/>
      <c r="D210" s="441"/>
      <c r="E210" s="442"/>
      <c r="H210" s="119"/>
    </row>
    <row r="211" spans="2:8" x14ac:dyDescent="0.25">
      <c r="B211" s="118"/>
      <c r="C211" s="93"/>
      <c r="D211" s="441"/>
      <c r="E211" s="442"/>
      <c r="H211" s="119"/>
    </row>
    <row r="212" spans="2:8" x14ac:dyDescent="0.25">
      <c r="B212" s="118"/>
      <c r="C212" s="93"/>
      <c r="D212" s="441"/>
      <c r="E212" s="442"/>
      <c r="H212" s="119"/>
    </row>
    <row r="213" spans="2:8" x14ac:dyDescent="0.25">
      <c r="B213" s="118"/>
      <c r="C213" s="93"/>
      <c r="D213" s="441"/>
      <c r="E213" s="442"/>
      <c r="H213" s="119"/>
    </row>
    <row r="214" spans="2:8" x14ac:dyDescent="0.25">
      <c r="B214" s="118"/>
      <c r="C214" s="93"/>
      <c r="D214" s="441"/>
      <c r="E214" s="442"/>
      <c r="H214" s="119"/>
    </row>
    <row r="215" spans="2:8" x14ac:dyDescent="0.25">
      <c r="B215" s="118"/>
      <c r="C215" s="93"/>
      <c r="D215" s="441"/>
      <c r="E215" s="442"/>
      <c r="H215" s="119"/>
    </row>
    <row r="216" spans="2:8" x14ac:dyDescent="0.25">
      <c r="B216" s="118"/>
      <c r="C216" s="93"/>
      <c r="D216" s="441"/>
      <c r="E216" s="442"/>
      <c r="H216" s="119"/>
    </row>
    <row r="217" spans="2:8" x14ac:dyDescent="0.25">
      <c r="B217" s="118"/>
      <c r="C217" s="93"/>
      <c r="D217" s="441"/>
      <c r="E217" s="442"/>
      <c r="H217" s="119"/>
    </row>
    <row r="218" spans="2:8" x14ac:dyDescent="0.25">
      <c r="B218" s="118"/>
      <c r="C218" s="93"/>
      <c r="D218" s="441"/>
      <c r="E218" s="442"/>
      <c r="H218" s="119"/>
    </row>
    <row r="219" spans="2:8" x14ac:dyDescent="0.25">
      <c r="B219" s="118"/>
      <c r="C219" s="93"/>
      <c r="D219" s="441"/>
      <c r="E219" s="442"/>
      <c r="H219" s="119"/>
    </row>
    <row r="220" spans="2:8" x14ac:dyDescent="0.25">
      <c r="B220" s="118"/>
      <c r="C220" s="93"/>
      <c r="D220" s="441"/>
      <c r="E220" s="442"/>
      <c r="H220" s="119"/>
    </row>
    <row r="221" spans="2:8" x14ac:dyDescent="0.25">
      <c r="B221" s="118"/>
      <c r="C221" s="93"/>
      <c r="D221" s="441"/>
      <c r="E221" s="442"/>
      <c r="H221" s="119"/>
    </row>
    <row r="222" spans="2:8" x14ac:dyDescent="0.25">
      <c r="B222" s="118"/>
      <c r="C222" s="93"/>
      <c r="D222" s="441"/>
      <c r="E222" s="442"/>
      <c r="H222" s="119"/>
    </row>
    <row r="223" spans="2:8" x14ac:dyDescent="0.25">
      <c r="B223" s="118"/>
      <c r="C223" s="93"/>
      <c r="D223" s="441"/>
      <c r="E223" s="442"/>
      <c r="H223" s="119"/>
    </row>
    <row r="224" spans="2:8" x14ac:dyDescent="0.25">
      <c r="B224" s="118"/>
      <c r="C224" s="93"/>
      <c r="D224" s="441"/>
      <c r="E224" s="442"/>
      <c r="H224" s="119"/>
    </row>
    <row r="225" spans="2:8" x14ac:dyDescent="0.25">
      <c r="B225" s="118"/>
      <c r="C225" s="93"/>
      <c r="D225" s="441"/>
      <c r="E225" s="442"/>
      <c r="H225" s="119"/>
    </row>
    <row r="226" spans="2:8" x14ac:dyDescent="0.25">
      <c r="B226" s="118"/>
      <c r="C226" s="93"/>
      <c r="D226" s="441"/>
      <c r="E226" s="442"/>
      <c r="H226" s="119"/>
    </row>
    <row r="227" spans="2:8" x14ac:dyDescent="0.25">
      <c r="B227" s="118"/>
      <c r="C227" s="93"/>
      <c r="D227" s="441"/>
      <c r="E227" s="442"/>
      <c r="H227" s="119"/>
    </row>
    <row r="228" spans="2:8" x14ac:dyDescent="0.25">
      <c r="B228" s="118"/>
      <c r="C228" s="93"/>
      <c r="D228" s="441"/>
      <c r="E228" s="442"/>
      <c r="H228" s="119"/>
    </row>
    <row r="229" spans="2:8" x14ac:dyDescent="0.25">
      <c r="B229" s="118"/>
      <c r="C229" s="93"/>
      <c r="D229" s="441"/>
      <c r="E229" s="442"/>
      <c r="H229" s="119"/>
    </row>
    <row r="230" spans="2:8" x14ac:dyDescent="0.25">
      <c r="B230" s="118"/>
      <c r="C230" s="93"/>
      <c r="D230" s="441"/>
      <c r="E230" s="442"/>
      <c r="H230" s="119"/>
    </row>
    <row r="231" spans="2:8" x14ac:dyDescent="0.25">
      <c r="B231" s="118"/>
      <c r="C231" s="93"/>
      <c r="D231" s="441"/>
      <c r="E231" s="442"/>
      <c r="H231" s="119"/>
    </row>
    <row r="232" spans="2:8" x14ac:dyDescent="0.25">
      <c r="B232" s="118"/>
      <c r="C232" s="93"/>
      <c r="D232" s="441"/>
      <c r="E232" s="442"/>
      <c r="H232" s="119"/>
    </row>
    <row r="233" spans="2:8" x14ac:dyDescent="0.25">
      <c r="B233" s="118"/>
      <c r="C233" s="93"/>
      <c r="D233" s="441"/>
      <c r="E233" s="442"/>
      <c r="H233" s="119"/>
    </row>
    <row r="234" spans="2:8" x14ac:dyDescent="0.25">
      <c r="B234" s="118"/>
      <c r="C234" s="93"/>
      <c r="D234" s="441"/>
      <c r="E234" s="442"/>
      <c r="H234" s="119"/>
    </row>
    <row r="235" spans="2:8" x14ac:dyDescent="0.25">
      <c r="B235" s="118"/>
      <c r="C235" s="93"/>
      <c r="D235" s="441"/>
      <c r="E235" s="442"/>
      <c r="H235" s="119"/>
    </row>
    <row r="236" spans="2:8" x14ac:dyDescent="0.25">
      <c r="B236" s="118"/>
      <c r="C236" s="93"/>
      <c r="D236" s="441"/>
      <c r="E236" s="442"/>
      <c r="H236" s="119"/>
    </row>
    <row r="237" spans="2:8" x14ac:dyDescent="0.25">
      <c r="B237" s="118"/>
      <c r="C237" s="93"/>
      <c r="D237" s="441"/>
      <c r="E237" s="442"/>
      <c r="H237" s="119"/>
    </row>
    <row r="238" spans="2:8" x14ac:dyDescent="0.25">
      <c r="B238" s="118"/>
      <c r="C238" s="93"/>
      <c r="D238" s="441"/>
      <c r="E238" s="442"/>
      <c r="H238" s="119"/>
    </row>
    <row r="239" spans="2:8" x14ac:dyDescent="0.25">
      <c r="B239" s="118"/>
      <c r="C239" s="93"/>
      <c r="D239" s="441"/>
      <c r="E239" s="442"/>
      <c r="H239" s="119"/>
    </row>
    <row r="240" spans="2:8" x14ac:dyDescent="0.25">
      <c r="B240" s="118"/>
      <c r="C240" s="93"/>
      <c r="D240" s="441"/>
      <c r="E240" s="442"/>
      <c r="H240" s="119"/>
    </row>
    <row r="241" spans="2:8" x14ac:dyDescent="0.25">
      <c r="B241" s="118"/>
      <c r="C241" s="93"/>
      <c r="D241" s="441"/>
      <c r="E241" s="442"/>
      <c r="H241" s="119"/>
    </row>
    <row r="242" spans="2:8" x14ac:dyDescent="0.25">
      <c r="B242" s="118"/>
      <c r="C242" s="93"/>
      <c r="D242" s="441"/>
      <c r="E242" s="442"/>
      <c r="H242" s="119"/>
    </row>
    <row r="243" spans="2:8" x14ac:dyDescent="0.25">
      <c r="B243" s="118"/>
      <c r="C243" s="93"/>
      <c r="D243" s="441"/>
      <c r="E243" s="442"/>
      <c r="H243" s="119"/>
    </row>
    <row r="244" spans="2:8" x14ac:dyDescent="0.25">
      <c r="B244" s="118"/>
      <c r="C244" s="93"/>
      <c r="D244" s="441"/>
      <c r="E244" s="442"/>
      <c r="H244" s="119"/>
    </row>
    <row r="245" spans="2:8" x14ac:dyDescent="0.25">
      <c r="B245" s="118"/>
      <c r="C245" s="93"/>
      <c r="D245" s="441"/>
      <c r="E245" s="442"/>
      <c r="H245" s="119"/>
    </row>
    <row r="246" spans="2:8" x14ac:dyDescent="0.25">
      <c r="B246" s="118"/>
      <c r="C246" s="93"/>
      <c r="D246" s="441"/>
      <c r="E246" s="442"/>
      <c r="H246" s="119"/>
    </row>
    <row r="247" spans="2:8" x14ac:dyDescent="0.25">
      <c r="B247" s="118"/>
      <c r="C247" s="93"/>
      <c r="D247" s="441"/>
      <c r="E247" s="442"/>
      <c r="H247" s="119"/>
    </row>
    <row r="248" spans="2:8" x14ac:dyDescent="0.25">
      <c r="B248" s="118"/>
      <c r="C248" s="93"/>
      <c r="D248" s="441"/>
      <c r="E248" s="442"/>
      <c r="H248" s="119"/>
    </row>
    <row r="249" spans="2:8" x14ac:dyDescent="0.25">
      <c r="B249" s="118"/>
      <c r="C249" s="93"/>
      <c r="D249" s="441"/>
      <c r="E249" s="442"/>
      <c r="H249" s="119"/>
    </row>
    <row r="250" spans="2:8" x14ac:dyDescent="0.25">
      <c r="B250" s="118"/>
      <c r="C250" s="93"/>
      <c r="D250" s="441"/>
      <c r="E250" s="442"/>
      <c r="H250" s="119"/>
    </row>
    <row r="251" spans="2:8" x14ac:dyDescent="0.25">
      <c r="B251" s="118"/>
      <c r="C251" s="93"/>
      <c r="D251" s="441"/>
      <c r="E251" s="442"/>
      <c r="H251" s="119"/>
    </row>
    <row r="252" spans="2:8" x14ac:dyDescent="0.25">
      <c r="B252" s="118"/>
      <c r="C252" s="93"/>
      <c r="D252" s="441"/>
      <c r="E252" s="442"/>
      <c r="H252" s="119"/>
    </row>
    <row r="253" spans="2:8" x14ac:dyDescent="0.25">
      <c r="B253" s="118"/>
      <c r="C253" s="93"/>
      <c r="D253" s="441"/>
      <c r="E253" s="442"/>
      <c r="H253" s="119"/>
    </row>
    <row r="254" spans="2:8" x14ac:dyDescent="0.25">
      <c r="B254" s="118"/>
      <c r="C254" s="93"/>
      <c r="D254" s="441"/>
      <c r="E254" s="442"/>
      <c r="H254" s="119"/>
    </row>
    <row r="255" spans="2:8" x14ac:dyDescent="0.25">
      <c r="B255" s="118"/>
      <c r="C255" s="93"/>
      <c r="D255" s="441"/>
      <c r="E255" s="442"/>
      <c r="H255" s="119"/>
    </row>
    <row r="256" spans="2:8" x14ac:dyDescent="0.25">
      <c r="B256" s="118"/>
      <c r="C256" s="93"/>
      <c r="D256" s="441"/>
      <c r="E256" s="442"/>
      <c r="H256" s="119"/>
    </row>
    <row r="257" spans="2:8" x14ac:dyDescent="0.25">
      <c r="B257" s="118"/>
      <c r="C257" s="93"/>
      <c r="D257" s="441"/>
      <c r="E257" s="442"/>
      <c r="H257" s="119"/>
    </row>
    <row r="258" spans="2:8" x14ac:dyDescent="0.25">
      <c r="B258" s="118"/>
      <c r="C258" s="93"/>
      <c r="D258" s="441"/>
      <c r="E258" s="442"/>
      <c r="H258" s="119"/>
    </row>
    <row r="259" spans="2:8" x14ac:dyDescent="0.25">
      <c r="B259" s="118"/>
      <c r="C259" s="93"/>
      <c r="D259" s="441"/>
      <c r="E259" s="442"/>
      <c r="H259" s="119"/>
    </row>
    <row r="260" spans="2:8" x14ac:dyDescent="0.25">
      <c r="B260" s="118"/>
      <c r="C260" s="93"/>
      <c r="D260" s="441"/>
      <c r="E260" s="442"/>
      <c r="H260" s="119"/>
    </row>
    <row r="261" spans="2:8" x14ac:dyDescent="0.25">
      <c r="B261" s="118"/>
      <c r="C261" s="93"/>
      <c r="D261" s="441"/>
      <c r="E261" s="442"/>
      <c r="H261" s="119"/>
    </row>
    <row r="262" spans="2:8" x14ac:dyDescent="0.25">
      <c r="B262" s="118"/>
      <c r="C262" s="93"/>
      <c r="D262" s="441"/>
      <c r="E262" s="442"/>
      <c r="H262" s="119"/>
    </row>
    <row r="263" spans="2:8" x14ac:dyDescent="0.25">
      <c r="B263" s="118"/>
      <c r="C263" s="93"/>
      <c r="D263" s="441"/>
      <c r="E263" s="442"/>
      <c r="H263" s="119"/>
    </row>
    <row r="264" spans="2:8" x14ac:dyDescent="0.25">
      <c r="B264" s="118"/>
      <c r="C264" s="93"/>
      <c r="D264" s="441"/>
      <c r="E264" s="442"/>
      <c r="H264" s="119"/>
    </row>
    <row r="265" spans="2:8" x14ac:dyDescent="0.25">
      <c r="B265" s="118"/>
      <c r="C265" s="93"/>
      <c r="D265" s="441"/>
      <c r="E265" s="442"/>
      <c r="H265" s="119"/>
    </row>
    <row r="266" spans="2:8" x14ac:dyDescent="0.25">
      <c r="B266" s="118"/>
      <c r="C266" s="93"/>
      <c r="D266" s="441"/>
      <c r="E266" s="442"/>
      <c r="H266" s="119"/>
    </row>
    <row r="267" spans="2:8" x14ac:dyDescent="0.25">
      <c r="B267" s="118"/>
      <c r="C267" s="93"/>
      <c r="D267" s="441"/>
      <c r="E267" s="442"/>
      <c r="H267" s="119"/>
    </row>
    <row r="268" spans="2:8" x14ac:dyDescent="0.25">
      <c r="B268" s="118"/>
      <c r="C268" s="93"/>
      <c r="D268" s="441"/>
      <c r="E268" s="442"/>
      <c r="H268" s="119"/>
    </row>
    <row r="269" spans="2:8" x14ac:dyDescent="0.25">
      <c r="B269" s="118"/>
      <c r="C269" s="93"/>
      <c r="D269" s="441"/>
      <c r="E269" s="442"/>
      <c r="H269" s="119"/>
    </row>
    <row r="270" spans="2:8" x14ac:dyDescent="0.25">
      <c r="B270" s="118"/>
      <c r="C270" s="93"/>
      <c r="D270" s="441"/>
      <c r="E270" s="442"/>
      <c r="H270" s="119"/>
    </row>
    <row r="271" spans="2:8" x14ac:dyDescent="0.25">
      <c r="B271" s="118"/>
      <c r="C271" s="93"/>
      <c r="D271" s="441"/>
      <c r="E271" s="442"/>
      <c r="H271" s="119"/>
    </row>
    <row r="272" spans="2:8" x14ac:dyDescent="0.25">
      <c r="B272" s="118"/>
      <c r="C272" s="93"/>
      <c r="D272" s="441"/>
      <c r="E272" s="442"/>
      <c r="H272" s="119"/>
    </row>
    <row r="273" spans="2:8" x14ac:dyDescent="0.25">
      <c r="B273" s="118"/>
      <c r="C273" s="93"/>
      <c r="D273" s="441"/>
      <c r="E273" s="442"/>
      <c r="H273" s="119"/>
    </row>
    <row r="274" spans="2:8" x14ac:dyDescent="0.25">
      <c r="B274" s="118"/>
      <c r="C274" s="93"/>
      <c r="D274" s="441"/>
      <c r="E274" s="442"/>
      <c r="H274" s="119"/>
    </row>
    <row r="275" spans="2:8" x14ac:dyDescent="0.25">
      <c r="B275" s="118"/>
      <c r="C275" s="93"/>
      <c r="D275" s="441"/>
      <c r="E275" s="442"/>
      <c r="H275" s="119"/>
    </row>
    <row r="276" spans="2:8" x14ac:dyDescent="0.25">
      <c r="B276" s="118"/>
      <c r="C276" s="93"/>
      <c r="D276" s="441"/>
      <c r="E276" s="442"/>
      <c r="H276" s="119"/>
    </row>
    <row r="277" spans="2:8" x14ac:dyDescent="0.25">
      <c r="B277" s="118"/>
      <c r="C277" s="93"/>
      <c r="D277" s="441"/>
      <c r="E277" s="442"/>
      <c r="H277" s="119"/>
    </row>
    <row r="278" spans="2:8" x14ac:dyDescent="0.25">
      <c r="B278" s="118"/>
      <c r="C278" s="93"/>
      <c r="D278" s="441"/>
      <c r="E278" s="442"/>
      <c r="H278" s="119"/>
    </row>
    <row r="279" spans="2:8" x14ac:dyDescent="0.25">
      <c r="B279" s="118"/>
      <c r="C279" s="93"/>
      <c r="D279" s="441"/>
      <c r="E279" s="442"/>
      <c r="H279" s="119"/>
    </row>
    <row r="280" spans="2:8" x14ac:dyDescent="0.25">
      <c r="B280" s="118"/>
      <c r="C280" s="93"/>
      <c r="D280" s="441"/>
      <c r="E280" s="442"/>
      <c r="H280" s="119"/>
    </row>
    <row r="281" spans="2:8" x14ac:dyDescent="0.25">
      <c r="B281" s="118"/>
      <c r="C281" s="93"/>
      <c r="D281" s="441"/>
      <c r="E281" s="442"/>
      <c r="H281" s="119"/>
    </row>
    <row r="282" spans="2:8" x14ac:dyDescent="0.25">
      <c r="B282" s="118"/>
      <c r="C282" s="93"/>
      <c r="D282" s="441"/>
      <c r="E282" s="442"/>
      <c r="H282" s="119"/>
    </row>
    <row r="283" spans="2:8" x14ac:dyDescent="0.25">
      <c r="B283" s="118"/>
      <c r="C283" s="93"/>
      <c r="D283" s="441"/>
      <c r="E283" s="442"/>
      <c r="H283" s="119"/>
    </row>
    <row r="284" spans="2:8" x14ac:dyDescent="0.25">
      <c r="B284" s="118"/>
      <c r="C284" s="93"/>
      <c r="D284" s="441"/>
      <c r="E284" s="442"/>
      <c r="H284" s="119"/>
    </row>
    <row r="285" spans="2:8" x14ac:dyDescent="0.25">
      <c r="B285" s="118"/>
      <c r="C285" s="93"/>
      <c r="D285" s="441"/>
      <c r="E285" s="442"/>
      <c r="H285" s="119"/>
    </row>
    <row r="286" spans="2:8" x14ac:dyDescent="0.25">
      <c r="B286" s="118"/>
      <c r="C286" s="93"/>
      <c r="D286" s="441"/>
      <c r="E286" s="442"/>
      <c r="H286" s="119"/>
    </row>
    <row r="287" spans="2:8" x14ac:dyDescent="0.25">
      <c r="B287" s="118"/>
      <c r="C287" s="93"/>
      <c r="D287" s="441"/>
      <c r="E287" s="442"/>
      <c r="H287" s="119"/>
    </row>
    <row r="288" spans="2:8" x14ac:dyDescent="0.25">
      <c r="B288" s="118"/>
      <c r="C288" s="93"/>
      <c r="D288" s="441"/>
      <c r="E288" s="442"/>
      <c r="H288" s="119"/>
    </row>
    <row r="289" spans="2:8" x14ac:dyDescent="0.25">
      <c r="B289" s="118"/>
      <c r="C289" s="93"/>
      <c r="D289" s="441"/>
      <c r="E289" s="442"/>
      <c r="H289" s="119"/>
    </row>
    <row r="290" spans="2:8" x14ac:dyDescent="0.25">
      <c r="B290" s="118"/>
      <c r="C290" s="93"/>
      <c r="D290" s="441"/>
      <c r="E290" s="442"/>
      <c r="H290" s="119"/>
    </row>
    <row r="291" spans="2:8" x14ac:dyDescent="0.25">
      <c r="B291" s="118"/>
      <c r="C291" s="93"/>
      <c r="D291" s="441"/>
      <c r="E291" s="442"/>
      <c r="H291" s="119"/>
    </row>
    <row r="292" spans="2:8" x14ac:dyDescent="0.25">
      <c r="B292" s="118"/>
      <c r="C292" s="93"/>
      <c r="D292" s="441"/>
      <c r="E292" s="442"/>
      <c r="H292" s="119"/>
    </row>
    <row r="293" spans="2:8" x14ac:dyDescent="0.25">
      <c r="B293" s="118"/>
      <c r="C293" s="93"/>
      <c r="D293" s="441"/>
      <c r="E293" s="442"/>
      <c r="H293" s="119"/>
    </row>
    <row r="294" spans="2:8" x14ac:dyDescent="0.25">
      <c r="B294" s="118"/>
      <c r="C294" s="93"/>
      <c r="D294" s="441"/>
      <c r="E294" s="442"/>
      <c r="H294" s="119"/>
    </row>
    <row r="295" spans="2:8" x14ac:dyDescent="0.25">
      <c r="B295" s="118"/>
      <c r="C295" s="93"/>
      <c r="D295" s="441"/>
      <c r="E295" s="442"/>
      <c r="H295" s="119"/>
    </row>
    <row r="296" spans="2:8" x14ac:dyDescent="0.25">
      <c r="B296" s="118"/>
      <c r="C296" s="93"/>
      <c r="D296" s="441"/>
      <c r="E296" s="442"/>
      <c r="H296" s="119"/>
    </row>
    <row r="297" spans="2:8" x14ac:dyDescent="0.25">
      <c r="B297" s="118"/>
      <c r="C297" s="93"/>
      <c r="D297" s="441"/>
      <c r="E297" s="442"/>
      <c r="H297" s="119"/>
    </row>
    <row r="298" spans="2:8" x14ac:dyDescent="0.25">
      <c r="B298" s="118"/>
      <c r="C298" s="93"/>
      <c r="D298" s="441"/>
      <c r="E298" s="442"/>
      <c r="H298" s="119"/>
    </row>
    <row r="299" spans="2:8" x14ac:dyDescent="0.25">
      <c r="B299" s="118"/>
      <c r="C299" s="93"/>
      <c r="D299" s="441"/>
      <c r="E299" s="442"/>
      <c r="H299" s="119"/>
    </row>
    <row r="300" spans="2:8" x14ac:dyDescent="0.25">
      <c r="B300" s="118"/>
      <c r="C300" s="93"/>
      <c r="D300" s="441"/>
      <c r="E300" s="442"/>
      <c r="H300" s="119"/>
    </row>
    <row r="301" spans="2:8" x14ac:dyDescent="0.25">
      <c r="B301" s="118"/>
      <c r="C301" s="93"/>
      <c r="D301" s="441"/>
      <c r="E301" s="442"/>
      <c r="H301" s="119"/>
    </row>
    <row r="302" spans="2:8" x14ac:dyDescent="0.25">
      <c r="B302" s="118"/>
      <c r="C302" s="93"/>
      <c r="D302" s="441"/>
      <c r="E302" s="442"/>
      <c r="H302" s="119"/>
    </row>
    <row r="303" spans="2:8" x14ac:dyDescent="0.25">
      <c r="B303" s="118"/>
      <c r="C303" s="93"/>
      <c r="D303" s="441"/>
      <c r="E303" s="442"/>
      <c r="H303" s="119"/>
    </row>
    <row r="304" spans="2:8" x14ac:dyDescent="0.25">
      <c r="B304" s="118"/>
      <c r="C304" s="93"/>
      <c r="D304" s="441"/>
      <c r="E304" s="442"/>
      <c r="H304" s="119"/>
    </row>
    <row r="305" spans="2:8" x14ac:dyDescent="0.25">
      <c r="B305" s="118"/>
      <c r="C305" s="93"/>
      <c r="D305" s="441"/>
      <c r="E305" s="442"/>
      <c r="H305" s="119"/>
    </row>
    <row r="306" spans="2:8" x14ac:dyDescent="0.25">
      <c r="B306" s="118"/>
      <c r="C306" s="93"/>
      <c r="D306" s="441"/>
      <c r="E306" s="442"/>
      <c r="H306" s="119"/>
    </row>
    <row r="307" spans="2:8" x14ac:dyDescent="0.25">
      <c r="B307" s="118"/>
      <c r="C307" s="93"/>
      <c r="D307" s="441"/>
      <c r="E307" s="442"/>
      <c r="H307" s="119"/>
    </row>
    <row r="308" spans="2:8" x14ac:dyDescent="0.25">
      <c r="B308" s="118"/>
      <c r="C308" s="93"/>
      <c r="D308" s="441"/>
      <c r="E308" s="442"/>
      <c r="H308" s="119"/>
    </row>
    <row r="309" spans="2:8" x14ac:dyDescent="0.25">
      <c r="B309" s="118"/>
      <c r="C309" s="93"/>
      <c r="D309" s="441"/>
      <c r="E309" s="442"/>
      <c r="H309" s="119"/>
    </row>
    <row r="310" spans="2:8" x14ac:dyDescent="0.25">
      <c r="B310" s="118"/>
      <c r="C310" s="93"/>
      <c r="D310" s="441"/>
      <c r="E310" s="442"/>
      <c r="H310" s="119"/>
    </row>
    <row r="311" spans="2:8" x14ac:dyDescent="0.25">
      <c r="B311" s="118"/>
      <c r="C311" s="93"/>
      <c r="D311" s="441"/>
      <c r="E311" s="442"/>
      <c r="H311" s="119"/>
    </row>
    <row r="312" spans="2:8" x14ac:dyDescent="0.25">
      <c r="B312" s="118"/>
      <c r="C312" s="93"/>
      <c r="D312" s="441"/>
      <c r="E312" s="442"/>
      <c r="H312" s="119"/>
    </row>
    <row r="313" spans="2:8" x14ac:dyDescent="0.25">
      <c r="B313" s="118"/>
      <c r="C313" s="93"/>
      <c r="D313" s="441"/>
      <c r="E313" s="442"/>
      <c r="H313" s="119"/>
    </row>
    <row r="314" spans="2:8" x14ac:dyDescent="0.25">
      <c r="B314" s="118"/>
      <c r="C314" s="93"/>
      <c r="D314" s="441"/>
      <c r="E314" s="442"/>
      <c r="H314" s="119"/>
    </row>
    <row r="315" spans="2:8" x14ac:dyDescent="0.25">
      <c r="B315" s="118"/>
      <c r="C315" s="93"/>
      <c r="D315" s="441"/>
      <c r="E315" s="442"/>
      <c r="H315" s="119"/>
    </row>
    <row r="316" spans="2:8" x14ac:dyDescent="0.25">
      <c r="B316" s="118"/>
      <c r="C316" s="93"/>
      <c r="D316" s="441"/>
      <c r="E316" s="442"/>
      <c r="H316" s="119"/>
    </row>
    <row r="317" spans="2:8" x14ac:dyDescent="0.25">
      <c r="B317" s="118"/>
      <c r="C317" s="93"/>
      <c r="D317" s="441"/>
      <c r="E317" s="442"/>
      <c r="H317" s="119"/>
    </row>
    <row r="318" spans="2:8" x14ac:dyDescent="0.25">
      <c r="B318" s="118"/>
      <c r="C318" s="93"/>
      <c r="D318" s="441"/>
      <c r="E318" s="442"/>
      <c r="H318" s="119"/>
    </row>
    <row r="319" spans="2:8" x14ac:dyDescent="0.25">
      <c r="B319" s="118"/>
      <c r="C319" s="93"/>
      <c r="D319" s="441"/>
      <c r="E319" s="442"/>
      <c r="H319" s="119"/>
    </row>
    <row r="320" spans="2:8" x14ac:dyDescent="0.25">
      <c r="B320" s="118"/>
      <c r="C320" s="93"/>
      <c r="D320" s="441"/>
      <c r="E320" s="442"/>
      <c r="H320" s="119"/>
    </row>
    <row r="321" spans="2:8" x14ac:dyDescent="0.25">
      <c r="B321" s="118"/>
      <c r="C321" s="93"/>
      <c r="D321" s="441"/>
      <c r="E321" s="442"/>
      <c r="H321" s="119"/>
    </row>
    <row r="322" spans="2:8" x14ac:dyDescent="0.25">
      <c r="B322" s="118"/>
      <c r="C322" s="93"/>
      <c r="D322" s="441"/>
      <c r="E322" s="442"/>
      <c r="H322" s="119"/>
    </row>
    <row r="323" spans="2:8" x14ac:dyDescent="0.25">
      <c r="B323" s="118"/>
      <c r="C323" s="93"/>
      <c r="D323" s="441"/>
      <c r="E323" s="442"/>
      <c r="H323" s="119"/>
    </row>
    <row r="324" spans="2:8" x14ac:dyDescent="0.25">
      <c r="B324" s="118"/>
      <c r="C324" s="93"/>
      <c r="D324" s="441"/>
      <c r="E324" s="442"/>
      <c r="H324" s="119"/>
    </row>
    <row r="325" spans="2:8" x14ac:dyDescent="0.25">
      <c r="B325" s="118"/>
      <c r="C325" s="93"/>
      <c r="D325" s="441"/>
      <c r="E325" s="442"/>
      <c r="H325" s="119"/>
    </row>
    <row r="326" spans="2:8" x14ac:dyDescent="0.25">
      <c r="B326" s="118"/>
      <c r="C326" s="93"/>
      <c r="D326" s="441"/>
      <c r="E326" s="442"/>
      <c r="H326" s="119"/>
    </row>
    <row r="327" spans="2:8" x14ac:dyDescent="0.25">
      <c r="B327" s="118"/>
      <c r="C327" s="93"/>
      <c r="D327" s="441"/>
      <c r="E327" s="442"/>
      <c r="H327" s="119"/>
    </row>
    <row r="328" spans="2:8" x14ac:dyDescent="0.25">
      <c r="B328" s="118"/>
      <c r="C328" s="93"/>
      <c r="D328" s="441"/>
      <c r="E328" s="442"/>
      <c r="H328" s="119"/>
    </row>
    <row r="329" spans="2:8" x14ac:dyDescent="0.25">
      <c r="B329" s="118"/>
      <c r="C329" s="93"/>
      <c r="D329" s="441"/>
      <c r="E329" s="442"/>
      <c r="H329" s="119"/>
    </row>
    <row r="330" spans="2:8" x14ac:dyDescent="0.25">
      <c r="B330" s="118"/>
      <c r="C330" s="93"/>
      <c r="D330" s="441"/>
      <c r="E330" s="442"/>
      <c r="H330" s="119"/>
    </row>
    <row r="331" spans="2:8" x14ac:dyDescent="0.25">
      <c r="B331" s="118"/>
      <c r="C331" s="93"/>
      <c r="D331" s="441"/>
      <c r="E331" s="442"/>
      <c r="H331" s="119"/>
    </row>
    <row r="332" spans="2:8" x14ac:dyDescent="0.25">
      <c r="B332" s="118"/>
      <c r="C332" s="93"/>
      <c r="D332" s="441"/>
      <c r="E332" s="442"/>
      <c r="H332" s="119"/>
    </row>
    <row r="333" spans="2:8" x14ac:dyDescent="0.25">
      <c r="B333" s="118"/>
      <c r="C333" s="93"/>
      <c r="D333" s="441"/>
      <c r="E333" s="442"/>
      <c r="H333" s="119"/>
    </row>
    <row r="334" spans="2:8" x14ac:dyDescent="0.25">
      <c r="B334" s="118"/>
      <c r="C334" s="93"/>
      <c r="D334" s="441"/>
      <c r="E334" s="442"/>
      <c r="H334" s="119"/>
    </row>
    <row r="335" spans="2:8" x14ac:dyDescent="0.25">
      <c r="B335" s="118"/>
      <c r="C335" s="93"/>
      <c r="D335" s="441"/>
      <c r="E335" s="442"/>
      <c r="H335" s="119"/>
    </row>
    <row r="336" spans="2:8" x14ac:dyDescent="0.25">
      <c r="B336" s="118"/>
      <c r="C336" s="93"/>
      <c r="D336" s="441"/>
      <c r="E336" s="442"/>
      <c r="H336" s="119"/>
    </row>
    <row r="337" spans="2:8" x14ac:dyDescent="0.25">
      <c r="B337" s="118"/>
      <c r="C337" s="93"/>
      <c r="D337" s="441"/>
      <c r="E337" s="442"/>
      <c r="H337" s="119"/>
    </row>
    <row r="338" spans="2:8" x14ac:dyDescent="0.25">
      <c r="B338" s="118"/>
      <c r="C338" s="93"/>
      <c r="D338" s="441"/>
      <c r="E338" s="442"/>
      <c r="H338" s="119"/>
    </row>
    <row r="339" spans="2:8" x14ac:dyDescent="0.25">
      <c r="B339" s="118"/>
      <c r="C339" s="93"/>
      <c r="D339" s="441"/>
      <c r="E339" s="442"/>
      <c r="H339" s="119"/>
    </row>
    <row r="340" spans="2:8" x14ac:dyDescent="0.25">
      <c r="B340" s="118"/>
      <c r="C340" s="93"/>
      <c r="D340" s="441"/>
      <c r="E340" s="442"/>
      <c r="H340" s="119"/>
    </row>
    <row r="341" spans="2:8" x14ac:dyDescent="0.25">
      <c r="B341" s="118"/>
      <c r="C341" s="93"/>
      <c r="D341" s="441"/>
      <c r="E341" s="442"/>
      <c r="H341" s="119"/>
    </row>
    <row r="342" spans="2:8" x14ac:dyDescent="0.25">
      <c r="B342" s="118"/>
      <c r="C342" s="93"/>
      <c r="D342" s="441"/>
      <c r="E342" s="442"/>
      <c r="H342" s="119"/>
    </row>
    <row r="343" spans="2:8" x14ac:dyDescent="0.25">
      <c r="B343" s="118"/>
      <c r="C343" s="93"/>
      <c r="D343" s="441"/>
      <c r="E343" s="442"/>
      <c r="H343" s="119"/>
    </row>
    <row r="344" spans="2:8" x14ac:dyDescent="0.25">
      <c r="B344" s="118"/>
      <c r="C344" s="93"/>
      <c r="D344" s="441"/>
      <c r="E344" s="442"/>
      <c r="H344" s="119"/>
    </row>
    <row r="345" spans="2:8" x14ac:dyDescent="0.25">
      <c r="B345" s="118"/>
      <c r="C345" s="93"/>
      <c r="D345" s="441"/>
      <c r="E345" s="442"/>
      <c r="H345" s="119"/>
    </row>
    <row r="346" spans="2:8" x14ac:dyDescent="0.25">
      <c r="B346" s="118"/>
      <c r="C346" s="93"/>
      <c r="D346" s="441"/>
      <c r="E346" s="442"/>
      <c r="H346" s="119"/>
    </row>
    <row r="347" spans="2:8" x14ac:dyDescent="0.25">
      <c r="B347" s="118"/>
      <c r="C347" s="93"/>
      <c r="D347" s="441"/>
      <c r="E347" s="442"/>
      <c r="H347" s="119"/>
    </row>
    <row r="348" spans="2:8" x14ac:dyDescent="0.25">
      <c r="B348" s="118"/>
      <c r="C348" s="93"/>
      <c r="D348" s="441"/>
      <c r="E348" s="442"/>
      <c r="H348" s="119"/>
    </row>
    <row r="349" spans="2:8" x14ac:dyDescent="0.25">
      <c r="B349" s="118"/>
      <c r="C349" s="93"/>
      <c r="D349" s="441"/>
      <c r="E349" s="442"/>
      <c r="H349" s="119"/>
    </row>
    <row r="350" spans="2:8" x14ac:dyDescent="0.25">
      <c r="B350" s="118"/>
      <c r="C350" s="93"/>
      <c r="D350" s="441"/>
      <c r="E350" s="442"/>
      <c r="H350" s="119"/>
    </row>
    <row r="351" spans="2:8" x14ac:dyDescent="0.25">
      <c r="B351" s="118"/>
      <c r="C351" s="93"/>
      <c r="D351" s="441"/>
      <c r="E351" s="442"/>
      <c r="H351" s="119"/>
    </row>
    <row r="352" spans="2:8" x14ac:dyDescent="0.25">
      <c r="B352" s="118"/>
      <c r="C352" s="93"/>
      <c r="D352" s="441"/>
      <c r="E352" s="442"/>
      <c r="H352" s="119"/>
    </row>
    <row r="353" spans="2:8" x14ac:dyDescent="0.25">
      <c r="B353" s="118"/>
      <c r="C353" s="93"/>
      <c r="D353" s="441"/>
      <c r="E353" s="442"/>
      <c r="H353" s="119"/>
    </row>
    <row r="354" spans="2:8" x14ac:dyDescent="0.25">
      <c r="B354" s="118"/>
      <c r="C354" s="93"/>
      <c r="D354" s="441"/>
      <c r="E354" s="442"/>
      <c r="H354" s="119"/>
    </row>
    <row r="355" spans="2:8" x14ac:dyDescent="0.25">
      <c r="B355" s="118"/>
      <c r="C355" s="93"/>
      <c r="D355" s="441"/>
      <c r="E355" s="442"/>
      <c r="H355" s="119"/>
    </row>
    <row r="356" spans="2:8" x14ac:dyDescent="0.25">
      <c r="B356" s="118"/>
      <c r="C356" s="93"/>
      <c r="D356" s="441"/>
      <c r="E356" s="442"/>
      <c r="H356" s="119"/>
    </row>
    <row r="357" spans="2:8" x14ac:dyDescent="0.25">
      <c r="B357" s="118"/>
      <c r="C357" s="93"/>
      <c r="D357" s="441"/>
      <c r="E357" s="442"/>
      <c r="H357" s="119"/>
    </row>
    <row r="358" spans="2:8" x14ac:dyDescent="0.25">
      <c r="B358" s="118"/>
      <c r="C358" s="93"/>
      <c r="D358" s="441"/>
      <c r="E358" s="442"/>
      <c r="H358" s="119"/>
    </row>
    <row r="359" spans="2:8" x14ac:dyDescent="0.25">
      <c r="B359" s="118"/>
      <c r="C359" s="93"/>
      <c r="D359" s="441"/>
      <c r="E359" s="442"/>
      <c r="H359" s="119"/>
    </row>
    <row r="360" spans="2:8" x14ac:dyDescent="0.25">
      <c r="B360" s="118"/>
      <c r="C360" s="93"/>
      <c r="D360" s="441"/>
      <c r="E360" s="442"/>
      <c r="H360" s="119"/>
    </row>
    <row r="361" spans="2:8" x14ac:dyDescent="0.25">
      <c r="B361" s="118"/>
      <c r="C361" s="93"/>
      <c r="D361" s="441"/>
      <c r="E361" s="442"/>
      <c r="H361" s="119"/>
    </row>
    <row r="362" spans="2:8" x14ac:dyDescent="0.25">
      <c r="B362" s="118"/>
      <c r="C362" s="93"/>
      <c r="D362" s="441"/>
      <c r="E362" s="442"/>
      <c r="H362" s="119"/>
    </row>
    <row r="363" spans="2:8" x14ac:dyDescent="0.25">
      <c r="B363" s="118"/>
      <c r="C363" s="93"/>
      <c r="D363" s="441"/>
      <c r="E363" s="442"/>
      <c r="H363" s="119"/>
    </row>
    <row r="364" spans="2:8" x14ac:dyDescent="0.25">
      <c r="B364" s="118"/>
      <c r="C364" s="93"/>
      <c r="D364" s="441"/>
      <c r="E364" s="442"/>
      <c r="H364" s="119"/>
    </row>
    <row r="365" spans="2:8" x14ac:dyDescent="0.25">
      <c r="B365" s="118"/>
      <c r="C365" s="93"/>
      <c r="D365" s="441"/>
      <c r="E365" s="442"/>
      <c r="H365" s="119"/>
    </row>
    <row r="366" spans="2:8" x14ac:dyDescent="0.25">
      <c r="B366" s="118"/>
      <c r="C366" s="93"/>
      <c r="D366" s="441"/>
      <c r="E366" s="442"/>
      <c r="H366" s="119"/>
    </row>
    <row r="367" spans="2:8" x14ac:dyDescent="0.25">
      <c r="B367" s="118"/>
      <c r="C367" s="93"/>
      <c r="D367" s="441"/>
      <c r="E367" s="442"/>
      <c r="H367" s="119"/>
    </row>
    <row r="368" spans="2:8" x14ac:dyDescent="0.25">
      <c r="B368" s="118"/>
      <c r="C368" s="93"/>
      <c r="D368" s="441"/>
      <c r="E368" s="442"/>
      <c r="H368" s="119"/>
    </row>
    <row r="369" spans="2:8" x14ac:dyDescent="0.25">
      <c r="B369" s="118"/>
      <c r="C369" s="93"/>
      <c r="D369" s="441"/>
      <c r="E369" s="442"/>
      <c r="H369" s="119"/>
    </row>
    <row r="370" spans="2:8" x14ac:dyDescent="0.25">
      <c r="B370" s="118"/>
      <c r="C370" s="93"/>
      <c r="D370" s="441"/>
      <c r="E370" s="442"/>
      <c r="H370" s="119"/>
    </row>
    <row r="371" spans="2:8" x14ac:dyDescent="0.25">
      <c r="B371" s="118"/>
      <c r="C371" s="93"/>
      <c r="D371" s="441"/>
      <c r="E371" s="442"/>
      <c r="H371" s="119"/>
    </row>
    <row r="372" spans="2:8" x14ac:dyDescent="0.25">
      <c r="B372" s="118"/>
      <c r="C372" s="93"/>
      <c r="D372" s="441"/>
      <c r="E372" s="442"/>
      <c r="H372" s="119"/>
    </row>
    <row r="373" spans="2:8" x14ac:dyDescent="0.25">
      <c r="B373" s="118"/>
      <c r="C373" s="93"/>
      <c r="D373" s="441"/>
      <c r="E373" s="442"/>
      <c r="H373" s="119"/>
    </row>
    <row r="374" spans="2:8" x14ac:dyDescent="0.25">
      <c r="B374" s="118"/>
      <c r="C374" s="93"/>
      <c r="D374" s="441"/>
      <c r="E374" s="442"/>
      <c r="H374" s="119"/>
    </row>
    <row r="375" spans="2:8" x14ac:dyDescent="0.25">
      <c r="B375" s="118"/>
      <c r="C375" s="93"/>
      <c r="D375" s="441"/>
      <c r="E375" s="442"/>
      <c r="H375" s="119"/>
    </row>
    <row r="376" spans="2:8" x14ac:dyDescent="0.25">
      <c r="B376" s="118"/>
      <c r="C376" s="93"/>
      <c r="D376" s="441"/>
      <c r="E376" s="442"/>
      <c r="H376" s="119"/>
    </row>
    <row r="377" spans="2:8" x14ac:dyDescent="0.25">
      <c r="B377" s="118"/>
      <c r="C377" s="93"/>
      <c r="D377" s="441"/>
      <c r="E377" s="442"/>
      <c r="H377" s="119"/>
    </row>
    <row r="378" spans="2:8" x14ac:dyDescent="0.25">
      <c r="B378" s="118"/>
      <c r="C378" s="93"/>
      <c r="D378" s="441"/>
      <c r="E378" s="442"/>
      <c r="H378" s="119"/>
    </row>
    <row r="379" spans="2:8" x14ac:dyDescent="0.25">
      <c r="B379" s="118"/>
      <c r="C379" s="93"/>
      <c r="D379" s="441"/>
      <c r="E379" s="442"/>
      <c r="H379" s="119"/>
    </row>
    <row r="380" spans="2:8" x14ac:dyDescent="0.25">
      <c r="B380" s="118"/>
      <c r="C380" s="93"/>
      <c r="D380" s="441"/>
      <c r="E380" s="442"/>
      <c r="H380" s="119"/>
    </row>
    <row r="381" spans="2:8" x14ac:dyDescent="0.25">
      <c r="B381" s="118"/>
      <c r="C381" s="93"/>
      <c r="D381" s="441"/>
      <c r="E381" s="442"/>
      <c r="H381" s="119"/>
    </row>
    <row r="382" spans="2:8" x14ac:dyDescent="0.25">
      <c r="B382" s="118"/>
      <c r="C382" s="93"/>
      <c r="D382" s="441"/>
      <c r="E382" s="442"/>
      <c r="H382" s="119"/>
    </row>
    <row r="383" spans="2:8" x14ac:dyDescent="0.25">
      <c r="B383" s="118"/>
      <c r="C383" s="93"/>
      <c r="D383" s="441"/>
      <c r="E383" s="442"/>
      <c r="H383" s="119"/>
    </row>
    <row r="384" spans="2:8" x14ac:dyDescent="0.25">
      <c r="B384" s="118"/>
      <c r="C384" s="93"/>
      <c r="D384" s="441"/>
      <c r="E384" s="442"/>
      <c r="H384" s="119"/>
    </row>
    <row r="385" spans="2:8" x14ac:dyDescent="0.25">
      <c r="B385" s="118"/>
      <c r="C385" s="93"/>
      <c r="D385" s="441"/>
      <c r="E385" s="442"/>
      <c r="H385" s="119"/>
    </row>
    <row r="386" spans="2:8" x14ac:dyDescent="0.25">
      <c r="B386" s="118"/>
      <c r="C386" s="93"/>
      <c r="D386" s="441"/>
      <c r="E386" s="442"/>
      <c r="H386" s="119"/>
    </row>
    <row r="387" spans="2:8" x14ac:dyDescent="0.25">
      <c r="B387" s="118"/>
      <c r="C387" s="93"/>
      <c r="D387" s="441"/>
      <c r="E387" s="442"/>
      <c r="H387" s="119"/>
    </row>
    <row r="388" spans="2:8" x14ac:dyDescent="0.25">
      <c r="B388" s="118"/>
      <c r="C388" s="93"/>
      <c r="D388" s="441"/>
      <c r="E388" s="442"/>
      <c r="H388" s="119"/>
    </row>
    <row r="389" spans="2:8" x14ac:dyDescent="0.25">
      <c r="B389" s="118"/>
      <c r="C389" s="93"/>
      <c r="D389" s="441"/>
      <c r="E389" s="442"/>
      <c r="H389" s="119"/>
    </row>
    <row r="390" spans="2:8" x14ac:dyDescent="0.25">
      <c r="B390" s="118"/>
      <c r="C390" s="93"/>
      <c r="D390" s="441"/>
      <c r="E390" s="442"/>
      <c r="H390" s="119"/>
    </row>
    <row r="391" spans="2:8" x14ac:dyDescent="0.25">
      <c r="B391" s="118"/>
      <c r="C391" s="93"/>
      <c r="D391" s="441"/>
      <c r="E391" s="442"/>
      <c r="H391" s="119"/>
    </row>
    <row r="392" spans="2:8" x14ac:dyDescent="0.25">
      <c r="B392" s="118"/>
      <c r="C392" s="93"/>
      <c r="D392" s="441"/>
      <c r="E392" s="442"/>
      <c r="H392" s="119"/>
    </row>
    <row r="393" spans="2:8" x14ac:dyDescent="0.25">
      <c r="B393" s="118"/>
      <c r="C393" s="93"/>
      <c r="D393" s="441"/>
      <c r="E393" s="442"/>
      <c r="H393" s="119"/>
    </row>
    <row r="394" spans="2:8" x14ac:dyDescent="0.25">
      <c r="B394" s="118"/>
      <c r="C394" s="93"/>
      <c r="D394" s="441"/>
      <c r="E394" s="442"/>
      <c r="H394" s="119"/>
    </row>
    <row r="395" spans="2:8" x14ac:dyDescent="0.25">
      <c r="B395" s="118"/>
      <c r="C395" s="93"/>
      <c r="D395" s="441"/>
      <c r="E395" s="442"/>
      <c r="H395" s="119"/>
    </row>
    <row r="396" spans="2:8" x14ac:dyDescent="0.25">
      <c r="B396" s="118"/>
      <c r="C396" s="93"/>
      <c r="D396" s="441"/>
      <c r="E396" s="442"/>
      <c r="H396" s="119"/>
    </row>
    <row r="397" spans="2:8" x14ac:dyDescent="0.25">
      <c r="B397" s="118"/>
      <c r="C397" s="93"/>
      <c r="D397" s="441"/>
      <c r="E397" s="442"/>
      <c r="H397" s="119"/>
    </row>
    <row r="398" spans="2:8" x14ac:dyDescent="0.25">
      <c r="B398" s="118"/>
      <c r="C398" s="93"/>
      <c r="D398" s="441"/>
      <c r="E398" s="442"/>
      <c r="H398" s="119"/>
    </row>
    <row r="399" spans="2:8" x14ac:dyDescent="0.25">
      <c r="B399" s="118"/>
      <c r="C399" s="93"/>
      <c r="D399" s="441"/>
      <c r="E399" s="442"/>
      <c r="H399" s="119"/>
    </row>
    <row r="400" spans="2:8" x14ac:dyDescent="0.25">
      <c r="B400" s="118"/>
      <c r="C400" s="93"/>
      <c r="D400" s="441"/>
      <c r="E400" s="442"/>
      <c r="H400" s="119"/>
    </row>
    <row r="401" spans="2:8" x14ac:dyDescent="0.25">
      <c r="B401" s="118"/>
      <c r="C401" s="93"/>
      <c r="D401" s="441"/>
      <c r="E401" s="442"/>
      <c r="H401" s="119"/>
    </row>
    <row r="402" spans="2:8" x14ac:dyDescent="0.25">
      <c r="B402" s="118"/>
      <c r="C402" s="93"/>
      <c r="D402" s="441"/>
      <c r="E402" s="442"/>
      <c r="H402" s="119"/>
    </row>
    <row r="403" spans="2:8" x14ac:dyDescent="0.25">
      <c r="B403" s="118"/>
      <c r="C403" s="93"/>
      <c r="D403" s="441"/>
      <c r="E403" s="442"/>
      <c r="H403" s="119"/>
    </row>
    <row r="404" spans="2:8" x14ac:dyDescent="0.25">
      <c r="B404" s="118"/>
      <c r="C404" s="93"/>
      <c r="D404" s="441"/>
      <c r="E404" s="442"/>
      <c r="H404" s="119"/>
    </row>
    <row r="405" spans="2:8" x14ac:dyDescent="0.25">
      <c r="B405" s="118"/>
      <c r="C405" s="93"/>
      <c r="D405" s="441"/>
      <c r="E405" s="442"/>
      <c r="H405" s="119"/>
    </row>
    <row r="406" spans="2:8" x14ac:dyDescent="0.25">
      <c r="B406" s="118"/>
      <c r="C406" s="93"/>
      <c r="D406" s="441"/>
      <c r="E406" s="442"/>
      <c r="H406" s="119"/>
    </row>
    <row r="407" spans="2:8" x14ac:dyDescent="0.25">
      <c r="B407" s="118"/>
      <c r="C407" s="93"/>
      <c r="D407" s="441"/>
      <c r="E407" s="442"/>
      <c r="H407" s="119"/>
    </row>
    <row r="408" spans="2:8" x14ac:dyDescent="0.25">
      <c r="B408" s="118"/>
      <c r="C408" s="93"/>
      <c r="D408" s="441"/>
      <c r="E408" s="442"/>
      <c r="H408" s="119"/>
    </row>
    <row r="409" spans="2:8" x14ac:dyDescent="0.25">
      <c r="B409" s="118"/>
      <c r="C409" s="93"/>
      <c r="D409" s="441"/>
      <c r="E409" s="442"/>
      <c r="H409" s="119"/>
    </row>
    <row r="410" spans="2:8" x14ac:dyDescent="0.25">
      <c r="B410" s="118"/>
      <c r="C410" s="93"/>
      <c r="D410" s="441"/>
      <c r="E410" s="442"/>
      <c r="H410" s="119"/>
    </row>
    <row r="411" spans="2:8" x14ac:dyDescent="0.25">
      <c r="B411" s="118"/>
      <c r="C411" s="93"/>
      <c r="D411" s="441"/>
      <c r="E411" s="442"/>
      <c r="H411" s="119"/>
    </row>
    <row r="412" spans="2:8" x14ac:dyDescent="0.25">
      <c r="B412" s="118"/>
      <c r="C412" s="93"/>
      <c r="D412" s="441"/>
      <c r="E412" s="442"/>
      <c r="H412" s="119"/>
    </row>
    <row r="413" spans="2:8" x14ac:dyDescent="0.25">
      <c r="B413" s="118"/>
      <c r="C413" s="93"/>
      <c r="D413" s="441"/>
      <c r="E413" s="442"/>
      <c r="H413" s="119"/>
    </row>
    <row r="414" spans="2:8" x14ac:dyDescent="0.25">
      <c r="B414" s="118"/>
      <c r="C414" s="93"/>
      <c r="D414" s="441"/>
      <c r="E414" s="442"/>
      <c r="H414" s="119"/>
    </row>
    <row r="415" spans="2:8" x14ac:dyDescent="0.25">
      <c r="B415" s="118"/>
      <c r="C415" s="93"/>
      <c r="D415" s="441"/>
      <c r="E415" s="442"/>
      <c r="H415" s="119"/>
    </row>
    <row r="416" spans="2:8" x14ac:dyDescent="0.25">
      <c r="B416" s="118"/>
      <c r="C416" s="93"/>
      <c r="D416" s="441"/>
      <c r="E416" s="442"/>
      <c r="H416" s="119"/>
    </row>
    <row r="417" spans="2:8" x14ac:dyDescent="0.25">
      <c r="B417" s="118"/>
      <c r="C417" s="93"/>
      <c r="D417" s="441"/>
      <c r="E417" s="442"/>
      <c r="H417" s="119"/>
    </row>
    <row r="418" spans="2:8" x14ac:dyDescent="0.25">
      <c r="B418" s="118"/>
      <c r="C418" s="93"/>
      <c r="D418" s="441"/>
      <c r="E418" s="442"/>
      <c r="H418" s="119"/>
    </row>
    <row r="419" spans="2:8" x14ac:dyDescent="0.25">
      <c r="B419" s="118"/>
      <c r="C419" s="93"/>
      <c r="D419" s="441"/>
      <c r="E419" s="442"/>
      <c r="H419" s="119"/>
    </row>
    <row r="420" spans="2:8" x14ac:dyDescent="0.25">
      <c r="B420" s="118"/>
      <c r="C420" s="93"/>
      <c r="D420" s="441"/>
      <c r="E420" s="442"/>
      <c r="H420" s="119"/>
    </row>
    <row r="421" spans="2:8" x14ac:dyDescent="0.25">
      <c r="B421" s="118"/>
      <c r="C421" s="93"/>
      <c r="D421" s="441"/>
      <c r="E421" s="442"/>
      <c r="H421" s="119"/>
    </row>
    <row r="422" spans="2:8" x14ac:dyDescent="0.25">
      <c r="B422" s="118"/>
      <c r="C422" s="93"/>
      <c r="D422" s="441"/>
      <c r="E422" s="442"/>
      <c r="H422" s="119"/>
    </row>
    <row r="423" spans="2:8" x14ac:dyDescent="0.25">
      <c r="B423" s="118"/>
      <c r="C423" s="93"/>
      <c r="D423" s="441"/>
      <c r="E423" s="442"/>
      <c r="H423" s="119"/>
    </row>
    <row r="424" spans="2:8" x14ac:dyDescent="0.25">
      <c r="B424" s="118"/>
      <c r="C424" s="93"/>
      <c r="D424" s="441"/>
      <c r="E424" s="442"/>
      <c r="H424" s="119"/>
    </row>
    <row r="425" spans="2:8" x14ac:dyDescent="0.25">
      <c r="B425" s="118"/>
      <c r="C425" s="93"/>
      <c r="D425" s="441"/>
      <c r="E425" s="442"/>
      <c r="H425" s="119"/>
    </row>
    <row r="426" spans="2:8" x14ac:dyDescent="0.25">
      <c r="B426" s="118"/>
      <c r="C426" s="93"/>
      <c r="D426" s="441"/>
      <c r="E426" s="442"/>
      <c r="H426" s="119"/>
    </row>
    <row r="427" spans="2:8" x14ac:dyDescent="0.25">
      <c r="B427" s="118"/>
      <c r="C427" s="93"/>
      <c r="D427" s="441"/>
      <c r="E427" s="442"/>
      <c r="H427" s="119"/>
    </row>
    <row r="428" spans="2:8" x14ac:dyDescent="0.25">
      <c r="B428" s="118"/>
      <c r="C428" s="93"/>
      <c r="D428" s="441"/>
      <c r="E428" s="442"/>
      <c r="H428" s="119"/>
    </row>
    <row r="429" spans="2:8" x14ac:dyDescent="0.25">
      <c r="B429" s="118"/>
      <c r="C429" s="93"/>
      <c r="D429" s="441"/>
      <c r="E429" s="442"/>
      <c r="H429" s="119"/>
    </row>
    <row r="430" spans="2:8" x14ac:dyDescent="0.25">
      <c r="B430" s="118"/>
      <c r="C430" s="93"/>
      <c r="D430" s="441"/>
      <c r="E430" s="442"/>
      <c r="H430" s="119"/>
    </row>
    <row r="431" spans="2:8" x14ac:dyDescent="0.25">
      <c r="B431" s="118"/>
      <c r="C431" s="93"/>
      <c r="D431" s="441"/>
      <c r="E431" s="442"/>
      <c r="H431" s="119"/>
    </row>
    <row r="432" spans="2:8" x14ac:dyDescent="0.25">
      <c r="B432" s="118"/>
      <c r="C432" s="93"/>
      <c r="D432" s="441"/>
      <c r="E432" s="442"/>
      <c r="H432" s="119"/>
    </row>
    <row r="433" spans="2:8" x14ac:dyDescent="0.25">
      <c r="B433" s="118"/>
      <c r="C433" s="93"/>
      <c r="D433" s="441"/>
      <c r="E433" s="442"/>
      <c r="H433" s="119"/>
    </row>
    <row r="434" spans="2:8" x14ac:dyDescent="0.25">
      <c r="B434" s="118"/>
      <c r="C434" s="93"/>
      <c r="D434" s="441"/>
      <c r="E434" s="442"/>
      <c r="H434" s="119"/>
    </row>
    <row r="435" spans="2:8" x14ac:dyDescent="0.25">
      <c r="B435" s="118"/>
      <c r="C435" s="93"/>
      <c r="D435" s="441"/>
      <c r="E435" s="442"/>
      <c r="H435" s="119"/>
    </row>
    <row r="436" spans="2:8" x14ac:dyDescent="0.25">
      <c r="B436" s="118"/>
      <c r="C436" s="93"/>
      <c r="D436" s="441"/>
      <c r="E436" s="442"/>
      <c r="H436" s="119"/>
    </row>
    <row r="437" spans="2:8" x14ac:dyDescent="0.25">
      <c r="B437" s="118"/>
      <c r="C437" s="93"/>
      <c r="D437" s="441"/>
      <c r="E437" s="442"/>
      <c r="H437" s="119"/>
    </row>
    <row r="438" spans="2:8" x14ac:dyDescent="0.25">
      <c r="B438" s="118"/>
      <c r="C438" s="93"/>
      <c r="D438" s="441"/>
      <c r="E438" s="442"/>
      <c r="H438" s="119"/>
    </row>
    <row r="439" spans="2:8" x14ac:dyDescent="0.25">
      <c r="B439" s="118"/>
      <c r="C439" s="93"/>
      <c r="D439" s="441"/>
      <c r="E439" s="442"/>
      <c r="H439" s="119"/>
    </row>
    <row r="440" spans="2:8" x14ac:dyDescent="0.25">
      <c r="B440" s="118"/>
      <c r="C440" s="93"/>
      <c r="D440" s="441"/>
      <c r="E440" s="442"/>
      <c r="H440" s="119"/>
    </row>
    <row r="441" spans="2:8" x14ac:dyDescent="0.25">
      <c r="B441" s="118"/>
      <c r="C441" s="93"/>
      <c r="D441" s="441"/>
      <c r="E441" s="442"/>
      <c r="H441" s="119"/>
    </row>
    <row r="442" spans="2:8" x14ac:dyDescent="0.25">
      <c r="B442" s="118"/>
      <c r="C442" s="93"/>
      <c r="D442" s="441"/>
      <c r="E442" s="442"/>
      <c r="H442" s="119"/>
    </row>
    <row r="443" spans="2:8" x14ac:dyDescent="0.25">
      <c r="B443" s="118"/>
      <c r="C443" s="93"/>
      <c r="D443" s="441"/>
      <c r="E443" s="442"/>
      <c r="H443" s="119"/>
    </row>
    <row r="444" spans="2:8" x14ac:dyDescent="0.25">
      <c r="B444" s="118"/>
      <c r="C444" s="93"/>
      <c r="D444" s="441"/>
      <c r="E444" s="442"/>
      <c r="H444" s="119"/>
    </row>
    <row r="445" spans="2:8" x14ac:dyDescent="0.25">
      <c r="B445" s="118"/>
      <c r="C445" s="93"/>
      <c r="D445" s="441"/>
      <c r="E445" s="442"/>
      <c r="H445" s="119"/>
    </row>
    <row r="446" spans="2:8" x14ac:dyDescent="0.25">
      <c r="B446" s="118"/>
      <c r="C446" s="93"/>
      <c r="D446" s="441"/>
      <c r="E446" s="442"/>
      <c r="H446" s="119"/>
    </row>
    <row r="447" spans="2:8" x14ac:dyDescent="0.25">
      <c r="B447" s="118"/>
      <c r="C447" s="93"/>
      <c r="D447" s="441"/>
      <c r="E447" s="442"/>
      <c r="H447" s="119"/>
    </row>
    <row r="448" spans="2:8" x14ac:dyDescent="0.25">
      <c r="B448" s="118"/>
      <c r="C448" s="93"/>
      <c r="D448" s="441"/>
      <c r="E448" s="442"/>
      <c r="H448" s="119"/>
    </row>
    <row r="449" spans="2:8" x14ac:dyDescent="0.25">
      <c r="B449" s="118"/>
      <c r="C449" s="93"/>
      <c r="D449" s="441"/>
      <c r="E449" s="442"/>
      <c r="H449" s="119"/>
    </row>
    <row r="450" spans="2:8" x14ac:dyDescent="0.25">
      <c r="B450" s="118"/>
      <c r="C450" s="93"/>
      <c r="D450" s="441"/>
      <c r="E450" s="442"/>
      <c r="H450" s="119"/>
    </row>
    <row r="451" spans="2:8" x14ac:dyDescent="0.25">
      <c r="B451" s="118"/>
      <c r="C451" s="93"/>
      <c r="D451" s="441"/>
      <c r="E451" s="442"/>
      <c r="H451" s="119"/>
    </row>
    <row r="452" spans="2:8" x14ac:dyDescent="0.25">
      <c r="B452" s="118"/>
      <c r="C452" s="93"/>
      <c r="D452" s="441"/>
      <c r="E452" s="442"/>
      <c r="H452" s="119"/>
    </row>
    <row r="453" spans="2:8" x14ac:dyDescent="0.25">
      <c r="B453" s="118"/>
      <c r="C453" s="93"/>
      <c r="D453" s="441"/>
      <c r="E453" s="442"/>
      <c r="H453" s="119"/>
    </row>
    <row r="454" spans="2:8" x14ac:dyDescent="0.25">
      <c r="B454" s="118"/>
      <c r="C454" s="93"/>
      <c r="D454" s="441"/>
      <c r="E454" s="442"/>
      <c r="H454" s="119"/>
    </row>
    <row r="455" spans="2:8" x14ac:dyDescent="0.25">
      <c r="B455" s="118"/>
      <c r="C455" s="93"/>
      <c r="D455" s="441"/>
      <c r="E455" s="442"/>
      <c r="H455" s="119"/>
    </row>
    <row r="456" spans="2:8" x14ac:dyDescent="0.25">
      <c r="B456" s="118"/>
      <c r="C456" s="93"/>
      <c r="D456" s="441"/>
      <c r="E456" s="442"/>
      <c r="H456" s="119"/>
    </row>
    <row r="457" spans="2:8" x14ac:dyDescent="0.25">
      <c r="B457" s="118"/>
      <c r="C457" s="93"/>
      <c r="D457" s="441"/>
      <c r="E457" s="442"/>
      <c r="H457" s="119"/>
    </row>
    <row r="458" spans="2:8" x14ac:dyDescent="0.25">
      <c r="B458" s="118"/>
      <c r="C458" s="93"/>
      <c r="D458" s="441"/>
      <c r="E458" s="442"/>
      <c r="H458" s="119"/>
    </row>
    <row r="459" spans="2:8" x14ac:dyDescent="0.25">
      <c r="B459" s="118"/>
      <c r="C459" s="93"/>
      <c r="D459" s="441"/>
      <c r="E459" s="442"/>
      <c r="H459" s="119"/>
    </row>
    <row r="460" spans="2:8" x14ac:dyDescent="0.25">
      <c r="B460" s="118"/>
      <c r="C460" s="93"/>
      <c r="D460" s="441"/>
      <c r="E460" s="442"/>
      <c r="H460" s="119"/>
    </row>
    <row r="461" spans="2:8" x14ac:dyDescent="0.25">
      <c r="B461" s="118"/>
      <c r="C461" s="93"/>
      <c r="D461" s="441"/>
      <c r="E461" s="442"/>
      <c r="H461" s="119"/>
    </row>
    <row r="462" spans="2:8" x14ac:dyDescent="0.25">
      <c r="B462" s="118"/>
      <c r="C462" s="93"/>
      <c r="D462" s="441"/>
      <c r="E462" s="442"/>
      <c r="H462" s="119"/>
    </row>
    <row r="463" spans="2:8" x14ac:dyDescent="0.25">
      <c r="B463" s="118"/>
      <c r="C463" s="93"/>
      <c r="D463" s="441"/>
      <c r="E463" s="442"/>
      <c r="H463" s="119"/>
    </row>
    <row r="464" spans="2:8" x14ac:dyDescent="0.25">
      <c r="B464" s="118"/>
      <c r="C464" s="93"/>
      <c r="D464" s="441"/>
      <c r="E464" s="442"/>
      <c r="H464" s="119"/>
    </row>
    <row r="465" spans="2:8" x14ac:dyDescent="0.25">
      <c r="B465" s="118"/>
      <c r="C465" s="93"/>
      <c r="D465" s="441"/>
      <c r="E465" s="442"/>
      <c r="H465" s="119"/>
    </row>
    <row r="466" spans="2:8" x14ac:dyDescent="0.25">
      <c r="B466" s="118"/>
      <c r="C466" s="93"/>
      <c r="D466" s="441"/>
      <c r="E466" s="442"/>
      <c r="H466" s="119"/>
    </row>
    <row r="467" spans="2:8" x14ac:dyDescent="0.25">
      <c r="B467" s="118"/>
      <c r="C467" s="93"/>
      <c r="D467" s="441"/>
      <c r="E467" s="442"/>
      <c r="H467" s="119"/>
    </row>
    <row r="468" spans="2:8" x14ac:dyDescent="0.25">
      <c r="B468" s="118"/>
      <c r="C468" s="93"/>
      <c r="D468" s="441"/>
      <c r="E468" s="442"/>
      <c r="H468" s="119"/>
    </row>
    <row r="469" spans="2:8" x14ac:dyDescent="0.25">
      <c r="B469" s="118"/>
      <c r="C469" s="93"/>
      <c r="D469" s="441"/>
      <c r="E469" s="442"/>
      <c r="H469" s="119"/>
    </row>
    <row r="470" spans="2:8" x14ac:dyDescent="0.25">
      <c r="B470" s="118"/>
      <c r="C470" s="93"/>
      <c r="D470" s="441"/>
      <c r="E470" s="442"/>
      <c r="H470" s="119"/>
    </row>
    <row r="471" spans="2:8" x14ac:dyDescent="0.25">
      <c r="B471" s="118"/>
      <c r="C471" s="93"/>
      <c r="D471" s="441"/>
      <c r="E471" s="442"/>
      <c r="H471" s="119"/>
    </row>
    <row r="472" spans="2:8" x14ac:dyDescent="0.25">
      <c r="B472" s="118"/>
      <c r="C472" s="93"/>
      <c r="D472" s="441"/>
      <c r="E472" s="442"/>
      <c r="H472" s="119"/>
    </row>
    <row r="473" spans="2:8" x14ac:dyDescent="0.25">
      <c r="B473" s="118"/>
      <c r="C473" s="93"/>
      <c r="D473" s="441"/>
      <c r="E473" s="442"/>
      <c r="H473" s="119"/>
    </row>
    <row r="474" spans="2:8" x14ac:dyDescent="0.25">
      <c r="B474" s="118"/>
      <c r="C474" s="93"/>
      <c r="D474" s="441"/>
      <c r="E474" s="442"/>
      <c r="H474" s="119"/>
    </row>
    <row r="475" spans="2:8" x14ac:dyDescent="0.25">
      <c r="B475" s="118"/>
      <c r="C475" s="93"/>
      <c r="D475" s="441"/>
      <c r="E475" s="442"/>
      <c r="H475" s="119"/>
    </row>
    <row r="476" spans="2:8" x14ac:dyDescent="0.25">
      <c r="B476" s="118"/>
      <c r="C476" s="93"/>
      <c r="D476" s="441"/>
      <c r="E476" s="442"/>
      <c r="H476" s="119"/>
    </row>
    <row r="477" spans="2:8" x14ac:dyDescent="0.25">
      <c r="B477" s="118"/>
      <c r="C477" s="93"/>
      <c r="D477" s="441"/>
      <c r="E477" s="442"/>
      <c r="H477" s="119"/>
    </row>
    <row r="478" spans="2:8" x14ac:dyDescent="0.25">
      <c r="B478" s="118"/>
      <c r="C478" s="93"/>
      <c r="D478" s="441"/>
      <c r="E478" s="442"/>
      <c r="H478" s="119"/>
    </row>
    <row r="479" spans="2:8" x14ac:dyDescent="0.25">
      <c r="B479" s="118"/>
      <c r="C479" s="93"/>
      <c r="D479" s="441"/>
      <c r="E479" s="442"/>
      <c r="H479" s="119"/>
    </row>
    <row r="480" spans="2:8" x14ac:dyDescent="0.25">
      <c r="B480" s="118"/>
      <c r="C480" s="93"/>
      <c r="D480" s="441"/>
      <c r="E480" s="442"/>
      <c r="H480" s="119"/>
    </row>
    <row r="481" spans="2:8" x14ac:dyDescent="0.25">
      <c r="B481" s="118"/>
      <c r="C481" s="93"/>
      <c r="D481" s="441"/>
      <c r="E481" s="442"/>
      <c r="H481" s="119"/>
    </row>
    <row r="482" spans="2:8" x14ac:dyDescent="0.25">
      <c r="B482" s="118"/>
      <c r="C482" s="93"/>
      <c r="D482" s="441"/>
      <c r="E482" s="442"/>
      <c r="H482" s="119"/>
    </row>
    <row r="483" spans="2:8" x14ac:dyDescent="0.25">
      <c r="B483" s="118"/>
      <c r="C483" s="93"/>
      <c r="D483" s="441"/>
      <c r="E483" s="442"/>
      <c r="H483" s="119"/>
    </row>
    <row r="484" spans="2:8" x14ac:dyDescent="0.25">
      <c r="B484" s="118"/>
      <c r="C484" s="93"/>
      <c r="D484" s="441"/>
      <c r="E484" s="442"/>
      <c r="H484" s="119"/>
    </row>
    <row r="485" spans="2:8" x14ac:dyDescent="0.25">
      <c r="B485" s="118"/>
      <c r="C485" s="93"/>
      <c r="D485" s="441"/>
      <c r="E485" s="442"/>
      <c r="H485" s="119"/>
    </row>
    <row r="486" spans="2:8" x14ac:dyDescent="0.25">
      <c r="B486" s="118"/>
      <c r="C486" s="93"/>
      <c r="D486" s="441"/>
      <c r="E486" s="442"/>
      <c r="H486" s="119"/>
    </row>
    <row r="487" spans="2:8" x14ac:dyDescent="0.25">
      <c r="B487" s="118"/>
      <c r="C487" s="93"/>
      <c r="D487" s="441"/>
      <c r="E487" s="442"/>
      <c r="H487" s="119"/>
    </row>
    <row r="488" spans="2:8" x14ac:dyDescent="0.25">
      <c r="B488" s="118"/>
      <c r="C488" s="93"/>
      <c r="D488" s="441"/>
      <c r="E488" s="442"/>
      <c r="H488" s="119"/>
    </row>
    <row r="489" spans="2:8" x14ac:dyDescent="0.25">
      <c r="B489" s="118"/>
      <c r="C489" s="93"/>
      <c r="D489" s="441"/>
      <c r="E489" s="442"/>
      <c r="H489" s="119"/>
    </row>
    <row r="490" spans="2:8" x14ac:dyDescent="0.25">
      <c r="B490" s="118"/>
      <c r="C490" s="93"/>
      <c r="D490" s="441"/>
      <c r="E490" s="442"/>
      <c r="H490" s="119"/>
    </row>
    <row r="491" spans="2:8" x14ac:dyDescent="0.25">
      <c r="B491" s="118"/>
      <c r="C491" s="93"/>
      <c r="D491" s="441"/>
      <c r="E491" s="442"/>
      <c r="H491" s="119"/>
    </row>
    <row r="492" spans="2:8" x14ac:dyDescent="0.25">
      <c r="B492" s="118"/>
      <c r="C492" s="93"/>
      <c r="D492" s="441"/>
      <c r="E492" s="442"/>
      <c r="H492" s="119"/>
    </row>
    <row r="493" spans="2:8" x14ac:dyDescent="0.25">
      <c r="B493" s="118"/>
      <c r="C493" s="93"/>
      <c r="D493" s="441"/>
      <c r="E493" s="442"/>
      <c r="H493" s="119"/>
    </row>
    <row r="494" spans="2:8" x14ac:dyDescent="0.25">
      <c r="B494" s="118"/>
      <c r="C494" s="93"/>
      <c r="D494" s="441"/>
      <c r="E494" s="442"/>
      <c r="H494" s="119"/>
    </row>
    <row r="495" spans="2:8" x14ac:dyDescent="0.25">
      <c r="B495" s="118"/>
      <c r="C495" s="93"/>
      <c r="D495" s="441"/>
      <c r="E495" s="442"/>
      <c r="H495" s="119"/>
    </row>
    <row r="496" spans="2:8" x14ac:dyDescent="0.25">
      <c r="B496" s="118"/>
      <c r="C496" s="93"/>
      <c r="D496" s="441"/>
      <c r="E496" s="442"/>
      <c r="H496" s="119"/>
    </row>
    <row r="497" spans="2:8" x14ac:dyDescent="0.25">
      <c r="B497" s="118"/>
      <c r="C497" s="93"/>
      <c r="D497" s="441"/>
      <c r="E497" s="442"/>
      <c r="H497" s="119"/>
    </row>
    <row r="498" spans="2:8" x14ac:dyDescent="0.25">
      <c r="B498" s="118"/>
      <c r="C498" s="93"/>
      <c r="D498" s="441"/>
      <c r="E498" s="442"/>
      <c r="H498" s="119"/>
    </row>
    <row r="499" spans="2:8" x14ac:dyDescent="0.25">
      <c r="B499" s="118"/>
      <c r="C499" s="93"/>
      <c r="D499" s="441"/>
      <c r="E499" s="442"/>
      <c r="H499" s="119"/>
    </row>
    <row r="500" spans="2:8" x14ac:dyDescent="0.25">
      <c r="B500" s="118"/>
      <c r="C500" s="93"/>
      <c r="D500" s="441"/>
      <c r="E500" s="442"/>
      <c r="H500" s="119"/>
    </row>
    <row r="501" spans="2:8" x14ac:dyDescent="0.25">
      <c r="B501" s="118"/>
      <c r="C501" s="93"/>
      <c r="D501" s="441"/>
      <c r="E501" s="442"/>
      <c r="H501" s="119"/>
    </row>
    <row r="502" spans="2:8" x14ac:dyDescent="0.25">
      <c r="B502" s="118"/>
      <c r="C502" s="93"/>
      <c r="D502" s="441"/>
      <c r="E502" s="442"/>
      <c r="H502" s="119"/>
    </row>
    <row r="503" spans="2:8" x14ac:dyDescent="0.25">
      <c r="B503" s="118"/>
      <c r="C503" s="93"/>
      <c r="D503" s="441"/>
      <c r="E503" s="442"/>
      <c r="H503" s="119"/>
    </row>
    <row r="504" spans="2:8" x14ac:dyDescent="0.25">
      <c r="B504" s="118"/>
      <c r="C504" s="93"/>
      <c r="D504" s="441"/>
      <c r="E504" s="442"/>
      <c r="H504" s="119"/>
    </row>
    <row r="505" spans="2:8" x14ac:dyDescent="0.25">
      <c r="B505" s="118"/>
      <c r="C505" s="93"/>
      <c r="D505" s="441"/>
      <c r="E505" s="442"/>
      <c r="H505" s="119"/>
    </row>
    <row r="506" spans="2:8" x14ac:dyDescent="0.25">
      <c r="B506" s="118"/>
      <c r="C506" s="93"/>
      <c r="D506" s="441"/>
      <c r="E506" s="442"/>
      <c r="H506" s="119"/>
    </row>
    <row r="507" spans="2:8" x14ac:dyDescent="0.25">
      <c r="B507" s="118"/>
      <c r="C507" s="93"/>
      <c r="D507" s="441"/>
      <c r="E507" s="442"/>
      <c r="H507" s="119"/>
    </row>
    <row r="508" spans="2:8" x14ac:dyDescent="0.25">
      <c r="B508" s="118"/>
      <c r="C508" s="93"/>
      <c r="D508" s="441"/>
      <c r="E508" s="442"/>
      <c r="H508" s="119"/>
    </row>
    <row r="509" spans="2:8" x14ac:dyDescent="0.25">
      <c r="B509" s="118"/>
      <c r="C509" s="93"/>
      <c r="D509" s="441"/>
      <c r="E509" s="442"/>
      <c r="H509" s="119"/>
    </row>
    <row r="510" spans="2:8" x14ac:dyDescent="0.25">
      <c r="B510" s="118"/>
      <c r="C510" s="93"/>
      <c r="D510" s="441"/>
      <c r="E510" s="442"/>
      <c r="H510" s="119"/>
    </row>
    <row r="511" spans="2:8" x14ac:dyDescent="0.25">
      <c r="B511" s="118"/>
      <c r="C511" s="93"/>
      <c r="D511" s="441"/>
      <c r="E511" s="442"/>
      <c r="H511" s="119"/>
    </row>
    <row r="512" spans="2:8" x14ac:dyDescent="0.25">
      <c r="B512" s="118"/>
      <c r="C512" s="93"/>
      <c r="D512" s="441"/>
      <c r="E512" s="442"/>
      <c r="H512" s="119"/>
    </row>
    <row r="513" spans="2:8" x14ac:dyDescent="0.25">
      <c r="B513" s="118"/>
      <c r="C513" s="93"/>
      <c r="D513" s="441"/>
      <c r="E513" s="442"/>
      <c r="H513" s="119"/>
    </row>
    <row r="514" spans="2:8" x14ac:dyDescent="0.25">
      <c r="B514" s="118"/>
      <c r="C514" s="93"/>
      <c r="D514" s="441"/>
      <c r="E514" s="442"/>
      <c r="H514" s="119"/>
    </row>
    <row r="515" spans="2:8" x14ac:dyDescent="0.25">
      <c r="B515" s="118"/>
      <c r="C515" s="93"/>
      <c r="D515" s="441"/>
      <c r="E515" s="442"/>
      <c r="H515" s="119"/>
    </row>
    <row r="516" spans="2:8" x14ac:dyDescent="0.25">
      <c r="B516" s="118"/>
      <c r="C516" s="93"/>
      <c r="D516" s="441"/>
      <c r="E516" s="442"/>
      <c r="H516" s="119"/>
    </row>
    <row r="517" spans="2:8" x14ac:dyDescent="0.25">
      <c r="B517" s="118"/>
      <c r="C517" s="93"/>
      <c r="D517" s="441"/>
      <c r="E517" s="442"/>
      <c r="H517" s="119"/>
    </row>
    <row r="518" spans="2:8" x14ac:dyDescent="0.25">
      <c r="B518" s="118"/>
      <c r="C518" s="93"/>
      <c r="D518" s="441"/>
      <c r="E518" s="442"/>
      <c r="H518" s="119"/>
    </row>
    <row r="519" spans="2:8" x14ac:dyDescent="0.25">
      <c r="B519" s="118"/>
      <c r="C519" s="93"/>
      <c r="D519" s="441"/>
      <c r="E519" s="442"/>
      <c r="H519" s="119"/>
    </row>
    <row r="520" spans="2:8" x14ac:dyDescent="0.25">
      <c r="B520" s="118"/>
      <c r="C520" s="93"/>
      <c r="D520" s="441"/>
      <c r="E520" s="442"/>
      <c r="H520" s="119"/>
    </row>
    <row r="521" spans="2:8" x14ac:dyDescent="0.25">
      <c r="B521" s="118"/>
      <c r="C521" s="93"/>
      <c r="D521" s="441"/>
      <c r="E521" s="442"/>
      <c r="H521" s="119"/>
    </row>
    <row r="522" spans="2:8" x14ac:dyDescent="0.25">
      <c r="B522" s="118"/>
      <c r="C522" s="93"/>
      <c r="D522" s="441"/>
      <c r="E522" s="442"/>
      <c r="H522" s="119"/>
    </row>
    <row r="523" spans="2:8" x14ac:dyDescent="0.25">
      <c r="B523" s="118"/>
      <c r="C523" s="93"/>
      <c r="D523" s="441"/>
      <c r="E523" s="442"/>
      <c r="H523" s="119"/>
    </row>
    <row r="524" spans="2:8" x14ac:dyDescent="0.25">
      <c r="B524" s="118"/>
      <c r="C524" s="93"/>
      <c r="D524" s="441"/>
      <c r="E524" s="442"/>
      <c r="H524" s="119"/>
    </row>
    <row r="525" spans="2:8" x14ac:dyDescent="0.25">
      <c r="B525" s="118"/>
      <c r="C525" s="93"/>
      <c r="D525" s="441"/>
      <c r="E525" s="442"/>
      <c r="H525" s="119"/>
    </row>
    <row r="526" spans="2:8" x14ac:dyDescent="0.25">
      <c r="B526" s="118"/>
      <c r="C526" s="93"/>
      <c r="D526" s="441"/>
      <c r="E526" s="442"/>
      <c r="H526" s="119"/>
    </row>
    <row r="527" spans="2:8" x14ac:dyDescent="0.25">
      <c r="B527" s="118"/>
      <c r="C527" s="93"/>
      <c r="D527" s="441"/>
      <c r="E527" s="442"/>
      <c r="H527" s="119"/>
    </row>
    <row r="528" spans="2:8" x14ac:dyDescent="0.25">
      <c r="B528" s="118"/>
      <c r="C528" s="93"/>
      <c r="D528" s="441"/>
      <c r="E528" s="442"/>
      <c r="H528" s="119"/>
    </row>
    <row r="529" spans="2:8" x14ac:dyDescent="0.25">
      <c r="B529" s="118"/>
      <c r="C529" s="93"/>
      <c r="D529" s="441"/>
      <c r="E529" s="442"/>
      <c r="H529" s="119"/>
    </row>
    <row r="530" spans="2:8" x14ac:dyDescent="0.25">
      <c r="B530" s="118"/>
      <c r="C530" s="93"/>
      <c r="D530" s="441"/>
      <c r="E530" s="442"/>
      <c r="H530" s="119"/>
    </row>
    <row r="531" spans="2:8" x14ac:dyDescent="0.25">
      <c r="B531" s="118"/>
      <c r="C531" s="93"/>
      <c r="D531" s="441"/>
      <c r="E531" s="442"/>
      <c r="H531" s="119"/>
    </row>
    <row r="532" spans="2:8" x14ac:dyDescent="0.25">
      <c r="B532" s="118"/>
      <c r="C532" s="93"/>
      <c r="D532" s="441"/>
      <c r="E532" s="442"/>
      <c r="H532" s="119"/>
    </row>
    <row r="533" spans="2:8" x14ac:dyDescent="0.25">
      <c r="B533" s="118"/>
      <c r="C533" s="93"/>
      <c r="D533" s="441"/>
      <c r="E533" s="442"/>
      <c r="H533" s="119"/>
    </row>
    <row r="534" spans="2:8" x14ac:dyDescent="0.25">
      <c r="B534" s="118"/>
      <c r="C534" s="93"/>
      <c r="D534" s="441"/>
      <c r="E534" s="442"/>
      <c r="H534" s="119"/>
    </row>
    <row r="535" spans="2:8" x14ac:dyDescent="0.25">
      <c r="B535" s="118"/>
      <c r="C535" s="93"/>
      <c r="D535" s="441"/>
      <c r="E535" s="442"/>
      <c r="H535" s="119"/>
    </row>
    <row r="536" spans="2:8" x14ac:dyDescent="0.25">
      <c r="B536" s="118"/>
      <c r="C536" s="93"/>
      <c r="D536" s="441"/>
      <c r="E536" s="442"/>
      <c r="H536" s="119"/>
    </row>
    <row r="537" spans="2:8" x14ac:dyDescent="0.25">
      <c r="B537" s="118"/>
      <c r="C537" s="93"/>
      <c r="D537" s="441"/>
      <c r="E537" s="442"/>
      <c r="H537" s="119"/>
    </row>
    <row r="538" spans="2:8" x14ac:dyDescent="0.25">
      <c r="B538" s="118"/>
      <c r="C538" s="93"/>
      <c r="D538" s="441"/>
      <c r="E538" s="442"/>
      <c r="H538" s="119"/>
    </row>
    <row r="539" spans="2:8" x14ac:dyDescent="0.25">
      <c r="B539" s="118"/>
      <c r="C539" s="93"/>
      <c r="D539" s="441"/>
      <c r="E539" s="442"/>
      <c r="H539" s="119"/>
    </row>
    <row r="540" spans="2:8" x14ac:dyDescent="0.25">
      <c r="B540" s="118"/>
      <c r="C540" s="93"/>
      <c r="D540" s="441"/>
      <c r="E540" s="442"/>
      <c r="H540" s="119"/>
    </row>
    <row r="541" spans="2:8" x14ac:dyDescent="0.25">
      <c r="B541" s="118"/>
      <c r="C541" s="93"/>
      <c r="D541" s="441"/>
      <c r="E541" s="442"/>
      <c r="H541" s="119"/>
    </row>
    <row r="542" spans="2:8" x14ac:dyDescent="0.25">
      <c r="B542" s="118"/>
      <c r="C542" s="93"/>
      <c r="D542" s="441"/>
      <c r="E542" s="442"/>
      <c r="H542" s="119"/>
    </row>
    <row r="543" spans="2:8" x14ac:dyDescent="0.25">
      <c r="B543" s="118"/>
      <c r="C543" s="93"/>
      <c r="D543" s="441"/>
      <c r="E543" s="442"/>
      <c r="H543" s="119"/>
    </row>
    <row r="544" spans="2:8" x14ac:dyDescent="0.25">
      <c r="B544" s="118"/>
      <c r="C544" s="93"/>
      <c r="D544" s="441"/>
      <c r="E544" s="442"/>
      <c r="H544" s="119"/>
    </row>
    <row r="545" spans="2:8" x14ac:dyDescent="0.25">
      <c r="B545" s="118"/>
      <c r="C545" s="93"/>
      <c r="D545" s="441"/>
      <c r="E545" s="442"/>
      <c r="H545" s="119"/>
    </row>
    <row r="546" spans="2:8" x14ac:dyDescent="0.25">
      <c r="B546" s="118"/>
      <c r="C546" s="93"/>
      <c r="D546" s="441"/>
      <c r="E546" s="442"/>
      <c r="H546" s="119"/>
    </row>
    <row r="547" spans="2:8" x14ac:dyDescent="0.25">
      <c r="B547" s="118"/>
      <c r="C547" s="93"/>
      <c r="D547" s="441"/>
      <c r="E547" s="442"/>
      <c r="H547" s="119"/>
    </row>
    <row r="548" spans="2:8" x14ac:dyDescent="0.25">
      <c r="B548" s="118"/>
      <c r="C548" s="93"/>
      <c r="D548" s="441"/>
      <c r="E548" s="442"/>
      <c r="H548" s="119"/>
    </row>
    <row r="549" spans="2:8" x14ac:dyDescent="0.25">
      <c r="B549" s="118"/>
      <c r="C549" s="93"/>
      <c r="D549" s="441"/>
      <c r="E549" s="442"/>
      <c r="H549" s="119"/>
    </row>
    <row r="550" spans="2:8" x14ac:dyDescent="0.25">
      <c r="B550" s="118"/>
      <c r="C550" s="93"/>
      <c r="D550" s="441"/>
      <c r="E550" s="442"/>
      <c r="H550" s="119"/>
    </row>
    <row r="551" spans="2:8" x14ac:dyDescent="0.25">
      <c r="B551" s="118"/>
      <c r="C551" s="93"/>
      <c r="D551" s="441"/>
      <c r="E551" s="442"/>
      <c r="H551" s="119"/>
    </row>
    <row r="552" spans="2:8" x14ac:dyDescent="0.25">
      <c r="B552" s="118"/>
      <c r="C552" s="93"/>
      <c r="D552" s="441"/>
      <c r="E552" s="442"/>
      <c r="H552" s="119"/>
    </row>
    <row r="553" spans="2:8" x14ac:dyDescent="0.25">
      <c r="B553" s="118"/>
      <c r="C553" s="93"/>
      <c r="D553" s="441"/>
      <c r="E553" s="442"/>
      <c r="H553" s="119"/>
    </row>
    <row r="554" spans="2:8" x14ac:dyDescent="0.25">
      <c r="B554" s="118"/>
      <c r="C554" s="93"/>
      <c r="D554" s="441"/>
      <c r="E554" s="442"/>
      <c r="H554" s="119"/>
    </row>
    <row r="555" spans="2:8" x14ac:dyDescent="0.25">
      <c r="B555" s="118"/>
      <c r="C555" s="93"/>
      <c r="D555" s="441"/>
      <c r="E555" s="442"/>
      <c r="H555" s="119"/>
    </row>
    <row r="556" spans="2:8" x14ac:dyDescent="0.25">
      <c r="B556" s="118"/>
      <c r="C556" s="93"/>
      <c r="D556" s="441"/>
      <c r="E556" s="442"/>
      <c r="H556" s="119"/>
    </row>
    <row r="557" spans="2:8" x14ac:dyDescent="0.25">
      <c r="B557" s="118"/>
      <c r="C557" s="93"/>
      <c r="D557" s="441"/>
      <c r="E557" s="442"/>
      <c r="H557" s="119"/>
    </row>
    <row r="558" spans="2:8" x14ac:dyDescent="0.25">
      <c r="B558" s="118"/>
      <c r="C558" s="93"/>
      <c r="D558" s="441"/>
      <c r="E558" s="442"/>
      <c r="H558" s="119"/>
    </row>
    <row r="559" spans="2:8" x14ac:dyDescent="0.25">
      <c r="B559" s="118"/>
      <c r="C559" s="93"/>
      <c r="D559" s="441"/>
      <c r="E559" s="442"/>
      <c r="H559" s="119"/>
    </row>
    <row r="560" spans="2:8" x14ac:dyDescent="0.25">
      <c r="B560" s="118"/>
      <c r="C560" s="93"/>
      <c r="D560" s="441"/>
      <c r="E560" s="442"/>
      <c r="H560" s="119"/>
    </row>
    <row r="561" spans="2:8" x14ac:dyDescent="0.25">
      <c r="B561" s="118"/>
      <c r="C561" s="93"/>
      <c r="D561" s="441"/>
      <c r="E561" s="442"/>
      <c r="H561" s="119"/>
    </row>
    <row r="562" spans="2:8" x14ac:dyDescent="0.25">
      <c r="B562" s="118"/>
      <c r="C562" s="93"/>
      <c r="D562" s="441"/>
      <c r="E562" s="442"/>
      <c r="H562" s="119"/>
    </row>
    <row r="563" spans="2:8" x14ac:dyDescent="0.25">
      <c r="B563" s="118"/>
      <c r="C563" s="93"/>
      <c r="D563" s="441"/>
      <c r="E563" s="442"/>
      <c r="H563" s="119"/>
    </row>
    <row r="564" spans="2:8" x14ac:dyDescent="0.25">
      <c r="B564" s="118"/>
      <c r="C564" s="93"/>
      <c r="D564" s="441"/>
      <c r="E564" s="442"/>
      <c r="H564" s="119"/>
    </row>
    <row r="565" spans="2:8" x14ac:dyDescent="0.25">
      <c r="B565" s="118"/>
      <c r="C565" s="93"/>
      <c r="D565" s="441"/>
      <c r="E565" s="442"/>
      <c r="H565" s="119"/>
    </row>
    <row r="566" spans="2:8" x14ac:dyDescent="0.25">
      <c r="B566" s="118"/>
      <c r="C566" s="93"/>
      <c r="D566" s="441"/>
      <c r="E566" s="442"/>
      <c r="H566" s="119"/>
    </row>
    <row r="567" spans="2:8" x14ac:dyDescent="0.25">
      <c r="B567" s="118"/>
      <c r="C567" s="93"/>
      <c r="D567" s="441"/>
      <c r="E567" s="442"/>
      <c r="H567" s="119"/>
    </row>
    <row r="568" spans="2:8" x14ac:dyDescent="0.25">
      <c r="B568" s="118"/>
      <c r="C568" s="93"/>
      <c r="D568" s="441"/>
      <c r="E568" s="442"/>
      <c r="H568" s="119"/>
    </row>
    <row r="569" spans="2:8" x14ac:dyDescent="0.25">
      <c r="B569" s="118"/>
      <c r="C569" s="93"/>
      <c r="D569" s="441"/>
      <c r="E569" s="442"/>
      <c r="H569" s="119"/>
    </row>
    <row r="570" spans="2:8" x14ac:dyDescent="0.25">
      <c r="B570" s="118"/>
      <c r="C570" s="93"/>
      <c r="D570" s="441"/>
      <c r="E570" s="442"/>
      <c r="H570" s="119"/>
    </row>
    <row r="571" spans="2:8" x14ac:dyDescent="0.25">
      <c r="B571" s="118"/>
      <c r="C571" s="93"/>
      <c r="D571" s="441"/>
      <c r="E571" s="442"/>
      <c r="H571" s="119"/>
    </row>
    <row r="572" spans="2:8" x14ac:dyDescent="0.25">
      <c r="B572" s="118"/>
      <c r="C572" s="93"/>
      <c r="D572" s="441"/>
      <c r="E572" s="442"/>
      <c r="H572" s="119"/>
    </row>
    <row r="573" spans="2:8" x14ac:dyDescent="0.25">
      <c r="B573" s="118"/>
      <c r="C573" s="93"/>
      <c r="D573" s="441"/>
      <c r="E573" s="442"/>
      <c r="H573" s="119"/>
    </row>
    <row r="574" spans="2:8" x14ac:dyDescent="0.25">
      <c r="B574" s="118"/>
      <c r="C574" s="93"/>
      <c r="D574" s="441"/>
      <c r="E574" s="442"/>
      <c r="H574" s="119"/>
    </row>
    <row r="575" spans="2:8" x14ac:dyDescent="0.25">
      <c r="B575" s="118"/>
      <c r="C575" s="93"/>
      <c r="D575" s="441"/>
      <c r="E575" s="442"/>
      <c r="H575" s="119"/>
    </row>
    <row r="576" spans="2:8" x14ac:dyDescent="0.25">
      <c r="B576" s="118"/>
      <c r="C576" s="93"/>
      <c r="D576" s="441"/>
      <c r="E576" s="442"/>
      <c r="H576" s="119"/>
    </row>
    <row r="577" spans="2:8" x14ac:dyDescent="0.25">
      <c r="B577" s="118"/>
      <c r="C577" s="93"/>
      <c r="D577" s="441"/>
      <c r="E577" s="442"/>
      <c r="H577" s="119"/>
    </row>
    <row r="578" spans="2:8" x14ac:dyDescent="0.25">
      <c r="B578" s="118"/>
      <c r="C578" s="93"/>
      <c r="D578" s="441"/>
      <c r="E578" s="442"/>
      <c r="H578" s="119"/>
    </row>
    <row r="579" spans="2:8" x14ac:dyDescent="0.25">
      <c r="B579" s="118"/>
      <c r="C579" s="93"/>
      <c r="D579" s="441"/>
      <c r="E579" s="442"/>
      <c r="H579" s="119"/>
    </row>
    <row r="580" spans="2:8" x14ac:dyDescent="0.25">
      <c r="B580" s="118"/>
      <c r="C580" s="93"/>
      <c r="D580" s="441"/>
      <c r="E580" s="442"/>
      <c r="H580" s="119"/>
    </row>
    <row r="581" spans="2:8" x14ac:dyDescent="0.25">
      <c r="B581" s="118"/>
      <c r="C581" s="93"/>
      <c r="D581" s="441"/>
      <c r="E581" s="442"/>
      <c r="H581" s="119"/>
    </row>
    <row r="582" spans="2:8" x14ac:dyDescent="0.25">
      <c r="B582" s="118"/>
      <c r="C582" s="93"/>
      <c r="D582" s="441"/>
      <c r="E582" s="442"/>
      <c r="H582" s="119"/>
    </row>
    <row r="583" spans="2:8" x14ac:dyDescent="0.25">
      <c r="B583" s="118"/>
      <c r="C583" s="93"/>
      <c r="D583" s="441"/>
      <c r="E583" s="442"/>
      <c r="H583" s="119"/>
    </row>
    <row r="584" spans="2:8" x14ac:dyDescent="0.25">
      <c r="B584" s="118"/>
      <c r="C584" s="93"/>
      <c r="D584" s="441"/>
      <c r="E584" s="442"/>
      <c r="H584" s="119"/>
    </row>
    <row r="585" spans="2:8" x14ac:dyDescent="0.25">
      <c r="B585" s="118"/>
      <c r="C585" s="93"/>
      <c r="D585" s="441"/>
      <c r="E585" s="442"/>
      <c r="H585" s="119"/>
    </row>
    <row r="586" spans="2:8" x14ac:dyDescent="0.25">
      <c r="B586" s="118"/>
      <c r="C586" s="93"/>
      <c r="D586" s="441"/>
      <c r="E586" s="442"/>
      <c r="H586" s="119"/>
    </row>
    <row r="587" spans="2:8" x14ac:dyDescent="0.25">
      <c r="B587" s="118"/>
      <c r="C587" s="93"/>
      <c r="D587" s="441"/>
      <c r="E587" s="442"/>
      <c r="H587" s="119"/>
    </row>
    <row r="588" spans="2:8" x14ac:dyDescent="0.25">
      <c r="B588" s="118"/>
      <c r="C588" s="93"/>
      <c r="D588" s="441"/>
      <c r="E588" s="442"/>
      <c r="H588" s="119"/>
    </row>
    <row r="589" spans="2:8" x14ac:dyDescent="0.25">
      <c r="B589" s="118"/>
      <c r="C589" s="93"/>
      <c r="H589" s="119"/>
    </row>
    <row r="590" spans="2:8" x14ac:dyDescent="0.25">
      <c r="B590" s="118"/>
      <c r="C590" s="93"/>
      <c r="H590" s="119"/>
    </row>
    <row r="591" spans="2:8" x14ac:dyDescent="0.25">
      <c r="B591" s="118"/>
      <c r="C591" s="93"/>
      <c r="H591" s="119"/>
    </row>
    <row r="592" spans="2:8" x14ac:dyDescent="0.25">
      <c r="B592" s="118"/>
      <c r="C592" s="93"/>
      <c r="H592" s="119"/>
    </row>
    <row r="593" spans="2:8" x14ac:dyDescent="0.25">
      <c r="B593" s="118"/>
      <c r="C593" s="93"/>
      <c r="H593" s="119"/>
    </row>
    <row r="594" spans="2:8" x14ac:dyDescent="0.25">
      <c r="B594" s="118"/>
      <c r="C594" s="93"/>
      <c r="H594" s="119"/>
    </row>
    <row r="595" spans="2:8" x14ac:dyDescent="0.25">
      <c r="B595" s="118"/>
      <c r="C595" s="93"/>
      <c r="H595" s="119"/>
    </row>
    <row r="596" spans="2:8" x14ac:dyDescent="0.25">
      <c r="B596" s="118"/>
      <c r="C596" s="93"/>
      <c r="H596" s="119"/>
    </row>
    <row r="597" spans="2:8" x14ac:dyDescent="0.25">
      <c r="B597" s="118"/>
      <c r="C597" s="93"/>
      <c r="H597" s="119"/>
    </row>
    <row r="598" spans="2:8" x14ac:dyDescent="0.25">
      <c r="B598" s="118"/>
      <c r="C598" s="93"/>
      <c r="H598" s="119"/>
    </row>
    <row r="599" spans="2:8" x14ac:dyDescent="0.25">
      <c r="B599" s="118"/>
      <c r="C599" s="93"/>
      <c r="H599" s="119"/>
    </row>
    <row r="600" spans="2:8" x14ac:dyDescent="0.25">
      <c r="B600" s="118"/>
      <c r="C600" s="93"/>
      <c r="H600" s="119"/>
    </row>
    <row r="601" spans="2:8" x14ac:dyDescent="0.25">
      <c r="B601" s="118"/>
      <c r="C601" s="93"/>
      <c r="H601" s="119"/>
    </row>
    <row r="602" spans="2:8" x14ac:dyDescent="0.25">
      <c r="B602" s="118"/>
      <c r="C602" s="93"/>
      <c r="H602" s="119"/>
    </row>
    <row r="603" spans="2:8" x14ac:dyDescent="0.25">
      <c r="B603" s="118"/>
      <c r="C603" s="93"/>
      <c r="H603" s="119"/>
    </row>
    <row r="604" spans="2:8" x14ac:dyDescent="0.25">
      <c r="B604" s="118"/>
      <c r="C604" s="93"/>
      <c r="H604" s="119"/>
    </row>
    <row r="605" spans="2:8" x14ac:dyDescent="0.25">
      <c r="B605" s="118"/>
      <c r="C605" s="93"/>
      <c r="H605" s="119"/>
    </row>
    <row r="606" spans="2:8" x14ac:dyDescent="0.25">
      <c r="B606" s="118"/>
      <c r="C606" s="93"/>
      <c r="H606" s="119"/>
    </row>
    <row r="607" spans="2:8" x14ac:dyDescent="0.25">
      <c r="B607" s="118"/>
      <c r="C607" s="93"/>
      <c r="H607" s="119"/>
    </row>
    <row r="608" spans="2:8" x14ac:dyDescent="0.25">
      <c r="B608" s="118"/>
      <c r="C608" s="93"/>
      <c r="H608" s="119"/>
    </row>
    <row r="609" spans="2:8" x14ac:dyDescent="0.25">
      <c r="B609" s="118"/>
      <c r="C609" s="93"/>
      <c r="H609" s="119"/>
    </row>
    <row r="610" spans="2:8" x14ac:dyDescent="0.25">
      <c r="B610" s="118"/>
      <c r="C610" s="93"/>
      <c r="H610" s="119"/>
    </row>
    <row r="611" spans="2:8" x14ac:dyDescent="0.25">
      <c r="B611" s="118"/>
      <c r="C611" s="93"/>
      <c r="H611" s="119"/>
    </row>
    <row r="612" spans="2:8" x14ac:dyDescent="0.25">
      <c r="B612" s="118"/>
      <c r="C612" s="93"/>
      <c r="H612" s="119"/>
    </row>
    <row r="613" spans="2:8" x14ac:dyDescent="0.25">
      <c r="B613" s="118"/>
      <c r="C613" s="93"/>
      <c r="H613" s="119"/>
    </row>
    <row r="614" spans="2:8" x14ac:dyDescent="0.25">
      <c r="B614" s="118"/>
      <c r="C614" s="93"/>
      <c r="H614" s="119"/>
    </row>
    <row r="615" spans="2:8" x14ac:dyDescent="0.25">
      <c r="B615" s="118"/>
      <c r="C615" s="93"/>
      <c r="H615" s="119"/>
    </row>
    <row r="616" spans="2:8" x14ac:dyDescent="0.25">
      <c r="B616" s="118"/>
      <c r="C616" s="93"/>
      <c r="H616" s="119"/>
    </row>
    <row r="617" spans="2:8" x14ac:dyDescent="0.25">
      <c r="B617" s="118"/>
      <c r="C617" s="93"/>
      <c r="H617" s="119"/>
    </row>
    <row r="618" spans="2:8" x14ac:dyDescent="0.25">
      <c r="B618" s="118"/>
      <c r="C618" s="93"/>
      <c r="H618" s="119"/>
    </row>
    <row r="619" spans="2:8" x14ac:dyDescent="0.25">
      <c r="B619" s="118"/>
      <c r="C619" s="93"/>
      <c r="H619" s="119"/>
    </row>
    <row r="620" spans="2:8" x14ac:dyDescent="0.25">
      <c r="B620" s="118"/>
      <c r="C620" s="93"/>
      <c r="H620" s="119"/>
    </row>
    <row r="621" spans="2:8" x14ac:dyDescent="0.25">
      <c r="B621" s="118"/>
      <c r="C621" s="93"/>
      <c r="H621" s="119"/>
    </row>
    <row r="622" spans="2:8" x14ac:dyDescent="0.25">
      <c r="B622" s="118"/>
      <c r="C622" s="93"/>
      <c r="H622" s="119"/>
    </row>
    <row r="623" spans="2:8" x14ac:dyDescent="0.25">
      <c r="B623" s="118"/>
      <c r="C623" s="93"/>
      <c r="H623" s="119"/>
    </row>
    <row r="624" spans="2:8" x14ac:dyDescent="0.25">
      <c r="B624" s="118"/>
      <c r="C624" s="93"/>
      <c r="H624" s="119"/>
    </row>
    <row r="625" spans="2:8" x14ac:dyDescent="0.25">
      <c r="B625" s="118"/>
      <c r="C625" s="93"/>
      <c r="H625" s="119"/>
    </row>
    <row r="626" spans="2:8" x14ac:dyDescent="0.25">
      <c r="B626" s="118"/>
      <c r="C626" s="93"/>
      <c r="H626" s="119"/>
    </row>
    <row r="627" spans="2:8" x14ac:dyDescent="0.25">
      <c r="B627" s="118"/>
      <c r="C627" s="93"/>
      <c r="H627" s="119"/>
    </row>
    <row r="628" spans="2:8" x14ac:dyDescent="0.25">
      <c r="B628" s="118"/>
      <c r="C628" s="93"/>
      <c r="H628" s="119"/>
    </row>
    <row r="629" spans="2:8" x14ac:dyDescent="0.25">
      <c r="B629" s="118"/>
      <c r="C629" s="93"/>
      <c r="H629" s="119"/>
    </row>
    <row r="630" spans="2:8" x14ac:dyDescent="0.25">
      <c r="B630" s="118"/>
      <c r="C630" s="93"/>
      <c r="H630" s="119"/>
    </row>
    <row r="631" spans="2:8" x14ac:dyDescent="0.25">
      <c r="B631" s="118"/>
      <c r="C631" s="93"/>
      <c r="H631" s="119"/>
    </row>
    <row r="632" spans="2:8" x14ac:dyDescent="0.25">
      <c r="B632" s="118"/>
      <c r="C632" s="93"/>
      <c r="H632" s="119"/>
    </row>
    <row r="633" spans="2:8" x14ac:dyDescent="0.25">
      <c r="B633" s="118"/>
      <c r="C633" s="93"/>
      <c r="H633" s="119"/>
    </row>
    <row r="634" spans="2:8" x14ac:dyDescent="0.25">
      <c r="B634" s="118"/>
      <c r="C634" s="93"/>
      <c r="H634" s="119"/>
    </row>
    <row r="635" spans="2:8" x14ac:dyDescent="0.25">
      <c r="B635" s="118"/>
      <c r="C635" s="93"/>
      <c r="H635" s="119"/>
    </row>
    <row r="636" spans="2:8" x14ac:dyDescent="0.25">
      <c r="B636" s="118"/>
      <c r="C636" s="93"/>
      <c r="H636" s="119"/>
    </row>
    <row r="637" spans="2:8" x14ac:dyDescent="0.25">
      <c r="B637" s="118"/>
      <c r="C637" s="93"/>
      <c r="H637" s="119"/>
    </row>
    <row r="638" spans="2:8" x14ac:dyDescent="0.25">
      <c r="B638" s="118"/>
      <c r="C638" s="93"/>
      <c r="H638" s="119"/>
    </row>
    <row r="639" spans="2:8" x14ac:dyDescent="0.25">
      <c r="B639" s="118"/>
      <c r="C639" s="93"/>
      <c r="H639" s="119"/>
    </row>
    <row r="640" spans="2:8" x14ac:dyDescent="0.25">
      <c r="B640" s="118"/>
      <c r="C640" s="93"/>
      <c r="H640" s="119"/>
    </row>
    <row r="641" spans="2:8" x14ac:dyDescent="0.25">
      <c r="B641" s="118"/>
      <c r="C641" s="93"/>
      <c r="H641" s="119"/>
    </row>
    <row r="642" spans="2:8" x14ac:dyDescent="0.25">
      <c r="B642" s="118"/>
      <c r="C642" s="93"/>
      <c r="H642" s="119"/>
    </row>
    <row r="643" spans="2:8" x14ac:dyDescent="0.25">
      <c r="B643" s="118"/>
      <c r="C643" s="93"/>
      <c r="H643" s="119"/>
    </row>
    <row r="644" spans="2:8" x14ac:dyDescent="0.25">
      <c r="B644" s="118"/>
      <c r="C644" s="93"/>
      <c r="H644" s="119"/>
    </row>
    <row r="645" spans="2:8" x14ac:dyDescent="0.25">
      <c r="B645" s="118"/>
      <c r="C645" s="93"/>
      <c r="H645" s="119"/>
    </row>
    <row r="646" spans="2:8" x14ac:dyDescent="0.25">
      <c r="B646" s="118"/>
      <c r="C646" s="93"/>
      <c r="H646" s="119"/>
    </row>
    <row r="647" spans="2:8" x14ac:dyDescent="0.25">
      <c r="B647" s="118"/>
      <c r="C647" s="93"/>
      <c r="H647" s="119"/>
    </row>
    <row r="648" spans="2:8" x14ac:dyDescent="0.25">
      <c r="B648" s="118"/>
      <c r="C648" s="93"/>
      <c r="H648" s="119"/>
    </row>
    <row r="649" spans="2:8" x14ac:dyDescent="0.25">
      <c r="B649" s="118"/>
      <c r="C649" s="93"/>
      <c r="H649" s="119"/>
    </row>
    <row r="650" spans="2:8" x14ac:dyDescent="0.25">
      <c r="B650" s="118"/>
      <c r="C650" s="93"/>
      <c r="H650" s="119"/>
    </row>
    <row r="651" spans="2:8" x14ac:dyDescent="0.25">
      <c r="B651" s="118"/>
      <c r="C651" s="93"/>
      <c r="H651" s="119"/>
    </row>
    <row r="652" spans="2:8" x14ac:dyDescent="0.25">
      <c r="B652" s="118"/>
      <c r="C652" s="93"/>
      <c r="H652" s="119"/>
    </row>
    <row r="653" spans="2:8" x14ac:dyDescent="0.25">
      <c r="B653" s="118"/>
      <c r="C653" s="93"/>
      <c r="H653" s="119"/>
    </row>
    <row r="654" spans="2:8" x14ac:dyDescent="0.25">
      <c r="B654" s="118"/>
      <c r="C654" s="93"/>
      <c r="H654" s="119"/>
    </row>
    <row r="655" spans="2:8" x14ac:dyDescent="0.25">
      <c r="B655" s="118"/>
      <c r="C655" s="93"/>
      <c r="H655" s="119"/>
    </row>
    <row r="656" spans="2:8" x14ac:dyDescent="0.25">
      <c r="B656" s="118"/>
      <c r="C656" s="93"/>
      <c r="H656" s="119"/>
    </row>
    <row r="657" spans="2:8" x14ac:dyDescent="0.25">
      <c r="B657" s="118"/>
      <c r="C657" s="93"/>
      <c r="H657" s="119"/>
    </row>
    <row r="658" spans="2:8" x14ac:dyDescent="0.25">
      <c r="B658" s="118"/>
      <c r="C658" s="93"/>
      <c r="H658" s="119"/>
    </row>
    <row r="659" spans="2:8" x14ac:dyDescent="0.25">
      <c r="B659" s="118"/>
      <c r="C659" s="93"/>
      <c r="H659" s="119"/>
    </row>
    <row r="660" spans="2:8" x14ac:dyDescent="0.25">
      <c r="B660" s="118"/>
      <c r="C660" s="93"/>
      <c r="H660" s="119"/>
    </row>
    <row r="661" spans="2:8" x14ac:dyDescent="0.25">
      <c r="B661" s="118"/>
      <c r="C661" s="93"/>
      <c r="H661" s="119"/>
    </row>
    <row r="662" spans="2:8" x14ac:dyDescent="0.25">
      <c r="B662" s="118"/>
      <c r="C662" s="93"/>
      <c r="H662" s="119"/>
    </row>
    <row r="663" spans="2:8" x14ac:dyDescent="0.25">
      <c r="B663" s="118"/>
      <c r="C663" s="93"/>
      <c r="H663" s="119"/>
    </row>
    <row r="664" spans="2:8" x14ac:dyDescent="0.25">
      <c r="B664" s="118"/>
      <c r="C664" s="93"/>
      <c r="H664" s="119"/>
    </row>
    <row r="665" spans="2:8" x14ac:dyDescent="0.25">
      <c r="B665" s="118"/>
      <c r="C665" s="93"/>
      <c r="H665" s="119"/>
    </row>
    <row r="666" spans="2:8" x14ac:dyDescent="0.25">
      <c r="B666" s="118"/>
      <c r="C666" s="93"/>
      <c r="H666" s="119"/>
    </row>
    <row r="667" spans="2:8" x14ac:dyDescent="0.25">
      <c r="B667" s="118"/>
      <c r="C667" s="93"/>
      <c r="H667" s="119"/>
    </row>
    <row r="668" spans="2:8" x14ac:dyDescent="0.25">
      <c r="B668" s="118"/>
      <c r="C668" s="93"/>
      <c r="H668" s="119"/>
    </row>
    <row r="669" spans="2:8" x14ac:dyDescent="0.25">
      <c r="B669" s="118"/>
      <c r="C669" s="93"/>
      <c r="H669" s="119"/>
    </row>
    <row r="670" spans="2:8" x14ac:dyDescent="0.25">
      <c r="B670" s="118"/>
      <c r="C670" s="93"/>
      <c r="H670" s="119"/>
    </row>
    <row r="671" spans="2:8" x14ac:dyDescent="0.25">
      <c r="B671" s="118"/>
      <c r="C671" s="93"/>
      <c r="H671" s="119"/>
    </row>
    <row r="672" spans="2:8" x14ac:dyDescent="0.25">
      <c r="B672" s="118"/>
      <c r="C672" s="93"/>
      <c r="H672" s="119"/>
    </row>
    <row r="673" spans="2:8" x14ac:dyDescent="0.25">
      <c r="B673" s="118"/>
      <c r="C673" s="93"/>
      <c r="H673" s="119"/>
    </row>
    <row r="674" spans="2:8" x14ac:dyDescent="0.25">
      <c r="B674" s="118"/>
      <c r="C674" s="93"/>
      <c r="H674" s="119"/>
    </row>
    <row r="675" spans="2:8" x14ac:dyDescent="0.25">
      <c r="B675" s="118"/>
      <c r="C675" s="93"/>
      <c r="H675" s="119"/>
    </row>
    <row r="676" spans="2:8" x14ac:dyDescent="0.25">
      <c r="B676" s="118"/>
      <c r="C676" s="93"/>
      <c r="H676" s="119"/>
    </row>
    <row r="677" spans="2:8" x14ac:dyDescent="0.25">
      <c r="B677" s="118"/>
      <c r="C677" s="93"/>
      <c r="H677" s="119"/>
    </row>
    <row r="678" spans="2:8" x14ac:dyDescent="0.25">
      <c r="B678" s="118"/>
      <c r="C678" s="93"/>
      <c r="H678" s="119"/>
    </row>
    <row r="679" spans="2:8" x14ac:dyDescent="0.25">
      <c r="B679" s="118"/>
      <c r="C679" s="93"/>
      <c r="H679" s="119"/>
    </row>
    <row r="680" spans="2:8" x14ac:dyDescent="0.25">
      <c r="B680" s="118"/>
      <c r="C680" s="93"/>
      <c r="H680" s="119"/>
    </row>
    <row r="681" spans="2:8" x14ac:dyDescent="0.25">
      <c r="B681" s="118"/>
      <c r="C681" s="93"/>
      <c r="H681" s="119"/>
    </row>
    <row r="682" spans="2:8" x14ac:dyDescent="0.25">
      <c r="B682" s="118"/>
      <c r="C682" s="93"/>
      <c r="H682" s="119"/>
    </row>
    <row r="683" spans="2:8" x14ac:dyDescent="0.25">
      <c r="B683" s="118"/>
      <c r="C683" s="93"/>
      <c r="H683" s="119"/>
    </row>
    <row r="684" spans="2:8" x14ac:dyDescent="0.25">
      <c r="B684" s="118"/>
      <c r="C684" s="93"/>
      <c r="H684" s="119"/>
    </row>
    <row r="685" spans="2:8" x14ac:dyDescent="0.25">
      <c r="B685" s="118"/>
      <c r="C685" s="93"/>
      <c r="H685" s="119"/>
    </row>
    <row r="686" spans="2:8" x14ac:dyDescent="0.25">
      <c r="B686" s="118"/>
      <c r="C686" s="93"/>
      <c r="H686" s="119"/>
    </row>
    <row r="687" spans="2:8" x14ac:dyDescent="0.25">
      <c r="B687" s="118"/>
      <c r="C687" s="93"/>
      <c r="H687" s="119"/>
    </row>
    <row r="688" spans="2:8" x14ac:dyDescent="0.25">
      <c r="B688" s="118"/>
      <c r="C688" s="93"/>
      <c r="H688" s="119"/>
    </row>
    <row r="689" spans="2:8" x14ac:dyDescent="0.25">
      <c r="B689" s="118"/>
      <c r="C689" s="93"/>
      <c r="H689" s="119"/>
    </row>
    <row r="690" spans="2:8" x14ac:dyDescent="0.25">
      <c r="B690" s="118"/>
      <c r="C690" s="93"/>
      <c r="H690" s="119"/>
    </row>
    <row r="691" spans="2:8" x14ac:dyDescent="0.25">
      <c r="B691" s="118"/>
      <c r="C691" s="93"/>
      <c r="H691" s="119"/>
    </row>
    <row r="692" spans="2:8" x14ac:dyDescent="0.25">
      <c r="B692" s="118"/>
      <c r="C692" s="93"/>
      <c r="H692" s="119"/>
    </row>
    <row r="693" spans="2:8" x14ac:dyDescent="0.25">
      <c r="B693" s="118"/>
      <c r="C693" s="93"/>
      <c r="H693" s="119"/>
    </row>
    <row r="694" spans="2:8" x14ac:dyDescent="0.25">
      <c r="B694" s="118"/>
      <c r="C694" s="93"/>
      <c r="H694" s="119"/>
    </row>
    <row r="695" spans="2:8" x14ac:dyDescent="0.25">
      <c r="B695" s="118"/>
      <c r="C695" s="93"/>
      <c r="H695" s="119"/>
    </row>
    <row r="696" spans="2:8" x14ac:dyDescent="0.25">
      <c r="B696" s="118"/>
      <c r="C696" s="93"/>
      <c r="H696" s="119"/>
    </row>
    <row r="697" spans="2:8" x14ac:dyDescent="0.25">
      <c r="B697" s="118"/>
      <c r="C697" s="93"/>
      <c r="H697" s="119"/>
    </row>
    <row r="698" spans="2:8" x14ac:dyDescent="0.25">
      <c r="B698" s="118"/>
      <c r="C698" s="93"/>
      <c r="H698" s="119"/>
    </row>
    <row r="699" spans="2:8" x14ac:dyDescent="0.25">
      <c r="B699" s="118"/>
      <c r="C699" s="93"/>
      <c r="H699" s="119"/>
    </row>
    <row r="700" spans="2:8" x14ac:dyDescent="0.25">
      <c r="B700" s="118"/>
      <c r="C700" s="93"/>
      <c r="H700" s="119"/>
    </row>
    <row r="701" spans="2:8" x14ac:dyDescent="0.25">
      <c r="B701" s="118"/>
      <c r="C701" s="93"/>
      <c r="H701" s="119"/>
    </row>
    <row r="702" spans="2:8" x14ac:dyDescent="0.25">
      <c r="B702" s="118"/>
      <c r="C702" s="93"/>
      <c r="H702" s="119"/>
    </row>
    <row r="703" spans="2:8" x14ac:dyDescent="0.25">
      <c r="B703" s="118"/>
      <c r="C703" s="93"/>
      <c r="H703" s="119"/>
    </row>
    <row r="704" spans="2:8" x14ac:dyDescent="0.25">
      <c r="B704" s="118"/>
      <c r="C704" s="93"/>
      <c r="H704" s="119"/>
    </row>
    <row r="705" spans="2:8" x14ac:dyDescent="0.25">
      <c r="B705" s="118"/>
      <c r="C705" s="93"/>
      <c r="H705" s="119"/>
    </row>
    <row r="706" spans="2:8" x14ac:dyDescent="0.25">
      <c r="B706" s="118"/>
      <c r="C706" s="93"/>
      <c r="H706" s="119"/>
    </row>
    <row r="707" spans="2:8" x14ac:dyDescent="0.25">
      <c r="B707" s="118"/>
      <c r="C707" s="93"/>
      <c r="H707" s="119"/>
    </row>
    <row r="708" spans="2:8" x14ac:dyDescent="0.25">
      <c r="B708" s="118"/>
      <c r="C708" s="93"/>
      <c r="H708" s="119"/>
    </row>
    <row r="709" spans="2:8" x14ac:dyDescent="0.25">
      <c r="B709" s="118"/>
      <c r="C709" s="93"/>
      <c r="H709" s="119"/>
    </row>
    <row r="710" spans="2:8" x14ac:dyDescent="0.25">
      <c r="B710" s="118"/>
      <c r="C710" s="93"/>
      <c r="H710" s="119"/>
    </row>
    <row r="711" spans="2:8" x14ac:dyDescent="0.25">
      <c r="B711" s="118"/>
      <c r="C711" s="93"/>
      <c r="H711" s="119"/>
    </row>
    <row r="712" spans="2:8" x14ac:dyDescent="0.25">
      <c r="B712" s="118"/>
      <c r="C712" s="93"/>
      <c r="H712" s="119"/>
    </row>
    <row r="713" spans="2:8" x14ac:dyDescent="0.25">
      <c r="B713" s="118"/>
      <c r="C713" s="93"/>
      <c r="H713" s="119"/>
    </row>
    <row r="714" spans="2:8" x14ac:dyDescent="0.25">
      <c r="B714" s="118"/>
      <c r="C714" s="93"/>
      <c r="H714" s="119"/>
    </row>
    <row r="715" spans="2:8" x14ac:dyDescent="0.25">
      <c r="B715" s="118"/>
      <c r="C715" s="93"/>
      <c r="H715" s="119"/>
    </row>
    <row r="716" spans="2:8" x14ac:dyDescent="0.25">
      <c r="B716" s="118"/>
      <c r="C716" s="93"/>
      <c r="H716" s="119"/>
    </row>
    <row r="717" spans="2:8" x14ac:dyDescent="0.25">
      <c r="B717" s="118"/>
      <c r="C717" s="93"/>
      <c r="H717" s="119"/>
    </row>
    <row r="718" spans="2:8" x14ac:dyDescent="0.25">
      <c r="B718" s="118"/>
      <c r="C718" s="93"/>
      <c r="H718" s="119"/>
    </row>
    <row r="719" spans="2:8" x14ac:dyDescent="0.25">
      <c r="B719" s="118"/>
      <c r="C719" s="93"/>
      <c r="H719" s="119"/>
    </row>
    <row r="720" spans="2:8" x14ac:dyDescent="0.25">
      <c r="B720" s="118"/>
      <c r="C720" s="93"/>
      <c r="H720" s="119"/>
    </row>
    <row r="721" spans="2:8" x14ac:dyDescent="0.25">
      <c r="B721" s="118"/>
      <c r="C721" s="93"/>
      <c r="H721" s="119"/>
    </row>
    <row r="722" spans="2:8" x14ac:dyDescent="0.25">
      <c r="B722" s="118"/>
      <c r="C722" s="93"/>
      <c r="H722" s="119"/>
    </row>
    <row r="723" spans="2:8" x14ac:dyDescent="0.25">
      <c r="B723" s="118"/>
      <c r="C723" s="93"/>
      <c r="H723" s="119"/>
    </row>
    <row r="724" spans="2:8" x14ac:dyDescent="0.25">
      <c r="B724" s="118"/>
      <c r="C724" s="93"/>
      <c r="H724" s="119"/>
    </row>
    <row r="725" spans="2:8" x14ac:dyDescent="0.25">
      <c r="B725" s="118"/>
      <c r="C725" s="93"/>
      <c r="H725" s="119"/>
    </row>
    <row r="726" spans="2:8" x14ac:dyDescent="0.25">
      <c r="B726" s="118"/>
      <c r="C726" s="93"/>
      <c r="H726" s="119"/>
    </row>
    <row r="727" spans="2:8" x14ac:dyDescent="0.25">
      <c r="B727" s="118"/>
      <c r="C727" s="93"/>
      <c r="H727" s="119"/>
    </row>
    <row r="728" spans="2:8" x14ac:dyDescent="0.25">
      <c r="B728" s="118"/>
      <c r="C728" s="93"/>
      <c r="H728" s="119"/>
    </row>
    <row r="729" spans="2:8" x14ac:dyDescent="0.25">
      <c r="B729" s="118"/>
      <c r="C729" s="93"/>
      <c r="H729" s="119"/>
    </row>
    <row r="730" spans="2:8" x14ac:dyDescent="0.25">
      <c r="B730" s="118"/>
      <c r="C730" s="93"/>
      <c r="H730" s="119"/>
    </row>
    <row r="731" spans="2:8" x14ac:dyDescent="0.25">
      <c r="B731" s="118"/>
      <c r="C731" s="93"/>
      <c r="H731" s="119"/>
    </row>
    <row r="732" spans="2:8" x14ac:dyDescent="0.25">
      <c r="B732" s="118"/>
      <c r="C732" s="93"/>
      <c r="H732" s="119"/>
    </row>
    <row r="733" spans="2:8" x14ac:dyDescent="0.25">
      <c r="B733" s="118"/>
      <c r="C733" s="93"/>
      <c r="H733" s="119"/>
    </row>
    <row r="734" spans="2:8" x14ac:dyDescent="0.25">
      <c r="B734" s="118"/>
      <c r="C734" s="93"/>
      <c r="H734" s="119"/>
    </row>
    <row r="735" spans="2:8" x14ac:dyDescent="0.25">
      <c r="B735" s="118"/>
      <c r="C735" s="93"/>
      <c r="H735" s="119"/>
    </row>
    <row r="736" spans="2:8" x14ac:dyDescent="0.25">
      <c r="B736" s="118"/>
      <c r="C736" s="93"/>
      <c r="H736" s="119"/>
    </row>
    <row r="737" spans="2:8" x14ac:dyDescent="0.25">
      <c r="B737" s="118"/>
      <c r="C737" s="93"/>
      <c r="H737" s="119"/>
    </row>
    <row r="738" spans="2:8" x14ac:dyDescent="0.25">
      <c r="B738" s="118"/>
      <c r="C738" s="93"/>
      <c r="H738" s="119"/>
    </row>
    <row r="739" spans="2:8" x14ac:dyDescent="0.25">
      <c r="B739" s="118"/>
      <c r="C739" s="93"/>
      <c r="H739" s="119"/>
    </row>
    <row r="740" spans="2:8" x14ac:dyDescent="0.25">
      <c r="B740" s="118"/>
      <c r="C740" s="93"/>
      <c r="H740" s="119"/>
    </row>
    <row r="741" spans="2:8" x14ac:dyDescent="0.25">
      <c r="B741" s="118"/>
      <c r="C741" s="93"/>
      <c r="H741" s="119"/>
    </row>
    <row r="742" spans="2:8" x14ac:dyDescent="0.25">
      <c r="B742" s="118"/>
      <c r="C742" s="93"/>
      <c r="H742" s="119"/>
    </row>
    <row r="743" spans="2:8" x14ac:dyDescent="0.25">
      <c r="B743" s="118"/>
      <c r="C743" s="93"/>
      <c r="H743" s="119"/>
    </row>
    <row r="744" spans="2:8" x14ac:dyDescent="0.25">
      <c r="B744" s="118"/>
      <c r="C744" s="93"/>
      <c r="H744" s="119"/>
    </row>
    <row r="745" spans="2:8" x14ac:dyDescent="0.25">
      <c r="B745" s="118"/>
      <c r="C745" s="93"/>
      <c r="H745" s="119"/>
    </row>
    <row r="746" spans="2:8" x14ac:dyDescent="0.25">
      <c r="B746" s="118"/>
      <c r="C746" s="93"/>
      <c r="H746" s="119"/>
    </row>
    <row r="747" spans="2:8" x14ac:dyDescent="0.25">
      <c r="B747" s="118"/>
      <c r="C747" s="93"/>
      <c r="H747" s="119"/>
    </row>
    <row r="748" spans="2:8" x14ac:dyDescent="0.25">
      <c r="B748" s="118"/>
      <c r="C748" s="93"/>
      <c r="H748" s="119"/>
    </row>
    <row r="749" spans="2:8" x14ac:dyDescent="0.25">
      <c r="B749" s="118"/>
      <c r="C749" s="93"/>
      <c r="H749" s="119"/>
    </row>
    <row r="750" spans="2:8" x14ac:dyDescent="0.25">
      <c r="B750" s="118"/>
      <c r="C750" s="93"/>
      <c r="H750" s="119"/>
    </row>
    <row r="751" spans="2:8" x14ac:dyDescent="0.25">
      <c r="B751" s="118"/>
      <c r="C751" s="93"/>
      <c r="H751" s="119"/>
    </row>
    <row r="752" spans="2:8" x14ac:dyDescent="0.25">
      <c r="B752" s="118"/>
      <c r="C752" s="93"/>
      <c r="H752" s="119"/>
    </row>
    <row r="753" spans="2:8" x14ac:dyDescent="0.25">
      <c r="B753" s="118"/>
      <c r="C753" s="93"/>
      <c r="H753" s="119"/>
    </row>
    <row r="754" spans="2:8" x14ac:dyDescent="0.25">
      <c r="B754" s="118"/>
      <c r="C754" s="93"/>
      <c r="H754" s="119"/>
    </row>
    <row r="755" spans="2:8" x14ac:dyDescent="0.25">
      <c r="B755" s="118"/>
      <c r="C755" s="93"/>
      <c r="H755" s="119"/>
    </row>
    <row r="756" spans="2:8" x14ac:dyDescent="0.25">
      <c r="B756" s="118"/>
      <c r="C756" s="93"/>
      <c r="H756" s="119"/>
    </row>
    <row r="757" spans="2:8" x14ac:dyDescent="0.25">
      <c r="B757" s="118"/>
      <c r="C757" s="93"/>
      <c r="H757" s="119"/>
    </row>
    <row r="758" spans="2:8" x14ac:dyDescent="0.25">
      <c r="B758" s="118"/>
      <c r="C758" s="93"/>
      <c r="H758" s="119"/>
    </row>
    <row r="759" spans="2:8" x14ac:dyDescent="0.25">
      <c r="B759" s="118"/>
      <c r="C759" s="93"/>
      <c r="H759" s="119"/>
    </row>
    <row r="760" spans="2:8" x14ac:dyDescent="0.25">
      <c r="B760" s="118"/>
      <c r="C760" s="93"/>
      <c r="H760" s="119"/>
    </row>
    <row r="761" spans="2:8" x14ac:dyDescent="0.25">
      <c r="B761" s="118"/>
      <c r="C761" s="93"/>
      <c r="H761" s="119"/>
    </row>
    <row r="762" spans="2:8" x14ac:dyDescent="0.25">
      <c r="B762" s="118"/>
      <c r="C762" s="93"/>
      <c r="H762" s="119"/>
    </row>
    <row r="763" spans="2:8" x14ac:dyDescent="0.25">
      <c r="B763" s="118"/>
      <c r="C763" s="93"/>
      <c r="H763" s="119"/>
    </row>
    <row r="764" spans="2:8" x14ac:dyDescent="0.25">
      <c r="B764" s="118"/>
      <c r="C764" s="93"/>
      <c r="H764" s="119"/>
    </row>
    <row r="765" spans="2:8" x14ac:dyDescent="0.25">
      <c r="B765" s="118"/>
      <c r="C765" s="93"/>
      <c r="H765" s="119"/>
    </row>
    <row r="766" spans="2:8" x14ac:dyDescent="0.25">
      <c r="B766" s="118"/>
      <c r="C766" s="93"/>
      <c r="H766" s="119"/>
    </row>
    <row r="767" spans="2:8" x14ac:dyDescent="0.25">
      <c r="B767" s="118"/>
      <c r="C767" s="93"/>
      <c r="H767" s="119"/>
    </row>
    <row r="768" spans="2:8" x14ac:dyDescent="0.25">
      <c r="B768" s="118"/>
      <c r="C768" s="93"/>
      <c r="H768" s="119"/>
    </row>
    <row r="769" spans="2:8" x14ac:dyDescent="0.25">
      <c r="B769" s="118"/>
      <c r="C769" s="93"/>
      <c r="H769" s="119"/>
    </row>
    <row r="770" spans="2:8" x14ac:dyDescent="0.25">
      <c r="B770" s="118"/>
      <c r="C770" s="93"/>
      <c r="H770" s="119"/>
    </row>
    <row r="771" spans="2:8" x14ac:dyDescent="0.25">
      <c r="B771" s="118"/>
      <c r="C771" s="93"/>
      <c r="H771" s="119"/>
    </row>
    <row r="772" spans="2:8" x14ac:dyDescent="0.25">
      <c r="B772" s="118"/>
      <c r="C772" s="93"/>
      <c r="H772" s="119"/>
    </row>
    <row r="773" spans="2:8" x14ac:dyDescent="0.25">
      <c r="B773" s="118"/>
      <c r="C773" s="93"/>
      <c r="H773" s="119"/>
    </row>
    <row r="774" spans="2:8" x14ac:dyDescent="0.25">
      <c r="B774" s="118"/>
      <c r="C774" s="93"/>
      <c r="H774" s="119"/>
    </row>
    <row r="775" spans="2:8" x14ac:dyDescent="0.25">
      <c r="B775" s="118"/>
      <c r="C775" s="93"/>
      <c r="H775" s="119"/>
    </row>
    <row r="776" spans="2:8" x14ac:dyDescent="0.25">
      <c r="B776" s="118"/>
      <c r="C776" s="93"/>
      <c r="H776" s="119"/>
    </row>
    <row r="777" spans="2:8" x14ac:dyDescent="0.25">
      <c r="B777" s="118"/>
      <c r="C777" s="93"/>
      <c r="H777" s="119"/>
    </row>
    <row r="778" spans="2:8" x14ac:dyDescent="0.25">
      <c r="B778" s="118"/>
      <c r="C778" s="93"/>
      <c r="H778" s="119"/>
    </row>
    <row r="779" spans="2:8" x14ac:dyDescent="0.25">
      <c r="B779" s="118"/>
      <c r="C779" s="93"/>
      <c r="H779" s="119"/>
    </row>
    <row r="780" spans="2:8" x14ac:dyDescent="0.25">
      <c r="B780" s="118"/>
      <c r="C780" s="93"/>
      <c r="H780" s="119"/>
    </row>
    <row r="781" spans="2:8" x14ac:dyDescent="0.25">
      <c r="B781" s="118"/>
      <c r="C781" s="93"/>
      <c r="H781" s="119"/>
    </row>
    <row r="782" spans="2:8" x14ac:dyDescent="0.25">
      <c r="B782" s="118"/>
      <c r="C782" s="93"/>
      <c r="H782" s="119"/>
    </row>
    <row r="783" spans="2:8" x14ac:dyDescent="0.25">
      <c r="B783" s="118"/>
      <c r="C783" s="93"/>
      <c r="H783" s="119"/>
    </row>
    <row r="784" spans="2:8" x14ac:dyDescent="0.25">
      <c r="B784" s="118"/>
      <c r="C784" s="93"/>
      <c r="H784" s="119"/>
    </row>
    <row r="785" spans="2:8" x14ac:dyDescent="0.25">
      <c r="B785" s="118"/>
      <c r="C785" s="93"/>
      <c r="H785" s="119"/>
    </row>
    <row r="786" spans="2:8" x14ac:dyDescent="0.25">
      <c r="B786" s="118"/>
      <c r="C786" s="93"/>
      <c r="H786" s="119"/>
    </row>
    <row r="787" spans="2:8" x14ac:dyDescent="0.25">
      <c r="B787" s="118"/>
      <c r="C787" s="93"/>
      <c r="H787" s="119"/>
    </row>
    <row r="788" spans="2:8" x14ac:dyDescent="0.25">
      <c r="B788" s="118"/>
      <c r="C788" s="93"/>
      <c r="H788" s="119"/>
    </row>
    <row r="789" spans="2:8" x14ac:dyDescent="0.25">
      <c r="B789" s="118"/>
      <c r="C789" s="93"/>
      <c r="H789" s="119"/>
    </row>
    <row r="790" spans="2:8" x14ac:dyDescent="0.25">
      <c r="B790" s="118"/>
      <c r="C790" s="93"/>
      <c r="H790" s="119"/>
    </row>
    <row r="791" spans="2:8" x14ac:dyDescent="0.25">
      <c r="B791" s="118"/>
      <c r="C791" s="93"/>
      <c r="H791" s="119"/>
    </row>
    <row r="792" spans="2:8" x14ac:dyDescent="0.25">
      <c r="B792" s="118"/>
      <c r="C792" s="93"/>
      <c r="H792" s="119"/>
    </row>
    <row r="793" spans="2:8" x14ac:dyDescent="0.25">
      <c r="B793" s="118"/>
      <c r="C793" s="93"/>
      <c r="H793" s="119"/>
    </row>
    <row r="794" spans="2:8" x14ac:dyDescent="0.25">
      <c r="B794" s="118"/>
      <c r="C794" s="93"/>
      <c r="H794" s="119"/>
    </row>
    <row r="795" spans="2:8" x14ac:dyDescent="0.25">
      <c r="B795" s="118"/>
      <c r="C795" s="93"/>
      <c r="H795" s="119"/>
    </row>
    <row r="796" spans="2:8" x14ac:dyDescent="0.25">
      <c r="B796" s="118"/>
      <c r="C796" s="93"/>
      <c r="H796" s="119"/>
    </row>
    <row r="797" spans="2:8" x14ac:dyDescent="0.25">
      <c r="B797" s="118"/>
      <c r="C797" s="93"/>
      <c r="H797" s="119"/>
    </row>
    <row r="798" spans="2:8" x14ac:dyDescent="0.25">
      <c r="B798" s="118"/>
      <c r="C798" s="93"/>
      <c r="H798" s="119"/>
    </row>
    <row r="799" spans="2:8" x14ac:dyDescent="0.25">
      <c r="B799" s="118"/>
      <c r="C799" s="93"/>
      <c r="H799" s="119"/>
    </row>
    <row r="800" spans="2:8" x14ac:dyDescent="0.25">
      <c r="B800" s="118"/>
      <c r="C800" s="93"/>
      <c r="H800" s="119"/>
    </row>
    <row r="801" spans="2:8" x14ac:dyDescent="0.25">
      <c r="B801" s="118"/>
      <c r="C801" s="93"/>
      <c r="H801" s="119"/>
    </row>
    <row r="802" spans="2:8" x14ac:dyDescent="0.25">
      <c r="B802" s="118"/>
      <c r="C802" s="93"/>
      <c r="H802" s="119"/>
    </row>
    <row r="803" spans="2:8" x14ac:dyDescent="0.25">
      <c r="B803" s="118"/>
      <c r="C803" s="93"/>
      <c r="H803" s="119"/>
    </row>
    <row r="804" spans="2:8" x14ac:dyDescent="0.25">
      <c r="B804" s="118"/>
      <c r="C804" s="93"/>
      <c r="H804" s="119"/>
    </row>
    <row r="805" spans="2:8" x14ac:dyDescent="0.25">
      <c r="B805" s="118"/>
      <c r="C805" s="93"/>
      <c r="H805" s="119"/>
    </row>
    <row r="806" spans="2:8" x14ac:dyDescent="0.25">
      <c r="B806" s="118"/>
      <c r="C806" s="93"/>
      <c r="H806" s="119"/>
    </row>
    <row r="807" spans="2:8" x14ac:dyDescent="0.25">
      <c r="B807" s="118"/>
      <c r="C807" s="93"/>
      <c r="H807" s="119"/>
    </row>
    <row r="808" spans="2:8" x14ac:dyDescent="0.25">
      <c r="B808" s="118"/>
      <c r="C808" s="93"/>
      <c r="H808" s="119"/>
    </row>
    <row r="809" spans="2:8" x14ac:dyDescent="0.25">
      <c r="B809" s="118"/>
      <c r="C809" s="93"/>
      <c r="H809" s="119"/>
    </row>
    <row r="810" spans="2:8" x14ac:dyDescent="0.25">
      <c r="B810" s="118"/>
      <c r="C810" s="93"/>
      <c r="H810" s="119"/>
    </row>
    <row r="811" spans="2:8" x14ac:dyDescent="0.25">
      <c r="B811" s="118"/>
      <c r="C811" s="93"/>
      <c r="H811" s="119"/>
    </row>
    <row r="812" spans="2:8" x14ac:dyDescent="0.25">
      <c r="B812" s="118"/>
      <c r="C812" s="93"/>
      <c r="H812" s="119"/>
    </row>
    <row r="813" spans="2:8" x14ac:dyDescent="0.25">
      <c r="B813" s="118"/>
      <c r="C813" s="93"/>
      <c r="H813" s="119"/>
    </row>
    <row r="814" spans="2:8" x14ac:dyDescent="0.25">
      <c r="B814" s="118"/>
      <c r="C814" s="93"/>
      <c r="H814" s="119"/>
    </row>
    <row r="815" spans="2:8" x14ac:dyDescent="0.25">
      <c r="B815" s="118"/>
      <c r="C815" s="93"/>
      <c r="H815" s="119"/>
    </row>
    <row r="816" spans="2:8" x14ac:dyDescent="0.25">
      <c r="B816" s="118"/>
      <c r="C816" s="93"/>
      <c r="H816" s="119"/>
    </row>
    <row r="817" spans="2:8" x14ac:dyDescent="0.25">
      <c r="B817" s="118"/>
      <c r="C817" s="93"/>
      <c r="H817" s="119"/>
    </row>
    <row r="818" spans="2:8" x14ac:dyDescent="0.25">
      <c r="B818" s="118"/>
      <c r="C818" s="93"/>
      <c r="H818" s="119"/>
    </row>
    <row r="819" spans="2:8" x14ac:dyDescent="0.25">
      <c r="B819" s="118"/>
      <c r="C819" s="93"/>
      <c r="H819" s="119"/>
    </row>
    <row r="820" spans="2:8" x14ac:dyDescent="0.25">
      <c r="B820" s="118"/>
      <c r="C820" s="93"/>
      <c r="H820" s="119"/>
    </row>
    <row r="821" spans="2:8" x14ac:dyDescent="0.25">
      <c r="B821" s="118"/>
      <c r="C821" s="93"/>
      <c r="H821" s="119"/>
    </row>
    <row r="822" spans="2:8" x14ac:dyDescent="0.25">
      <c r="B822" s="118"/>
      <c r="C822" s="93"/>
      <c r="H822" s="119"/>
    </row>
    <row r="823" spans="2:8" x14ac:dyDescent="0.25">
      <c r="B823" s="118"/>
      <c r="C823" s="93"/>
      <c r="H823" s="119"/>
    </row>
    <row r="824" spans="2:8" x14ac:dyDescent="0.25">
      <c r="B824" s="118"/>
      <c r="C824" s="93"/>
      <c r="H824" s="119"/>
    </row>
    <row r="825" spans="2:8" x14ac:dyDescent="0.25">
      <c r="B825" s="118"/>
      <c r="C825" s="93"/>
      <c r="H825" s="119"/>
    </row>
    <row r="826" spans="2:8" x14ac:dyDescent="0.25">
      <c r="B826" s="118"/>
      <c r="C826" s="93"/>
      <c r="H826" s="119"/>
    </row>
    <row r="827" spans="2:8" x14ac:dyDescent="0.25">
      <c r="B827" s="118"/>
      <c r="C827" s="93"/>
      <c r="H827" s="119"/>
    </row>
    <row r="828" spans="2:8" x14ac:dyDescent="0.25">
      <c r="B828" s="118"/>
      <c r="C828" s="93"/>
      <c r="H828" s="119"/>
    </row>
    <row r="829" spans="2:8" x14ac:dyDescent="0.25">
      <c r="B829" s="118"/>
      <c r="C829" s="93"/>
      <c r="H829" s="119"/>
    </row>
    <row r="830" spans="2:8" x14ac:dyDescent="0.25">
      <c r="B830" s="118"/>
      <c r="C830" s="93"/>
      <c r="H830" s="119"/>
    </row>
    <row r="831" spans="2:8" x14ac:dyDescent="0.25">
      <c r="B831" s="118"/>
      <c r="C831" s="93"/>
      <c r="H831" s="119"/>
    </row>
    <row r="832" spans="2:8" x14ac:dyDescent="0.25">
      <c r="B832" s="118"/>
      <c r="C832" s="93"/>
      <c r="H832" s="119"/>
    </row>
    <row r="833" spans="2:8" x14ac:dyDescent="0.25">
      <c r="B833" s="118"/>
      <c r="C833" s="93"/>
      <c r="H833" s="119"/>
    </row>
    <row r="834" spans="2:8" x14ac:dyDescent="0.25">
      <c r="B834" s="118"/>
      <c r="C834" s="93"/>
      <c r="H834" s="119"/>
    </row>
    <row r="835" spans="2:8" x14ac:dyDescent="0.25">
      <c r="B835" s="118"/>
      <c r="C835" s="93"/>
      <c r="H835" s="119"/>
    </row>
    <row r="836" spans="2:8" x14ac:dyDescent="0.25">
      <c r="B836" s="118"/>
      <c r="C836" s="93"/>
      <c r="H836" s="119"/>
    </row>
    <row r="837" spans="2:8" x14ac:dyDescent="0.25">
      <c r="B837" s="118"/>
      <c r="C837" s="93"/>
      <c r="H837" s="119"/>
    </row>
    <row r="838" spans="2:8" x14ac:dyDescent="0.25">
      <c r="B838" s="118"/>
      <c r="C838" s="93"/>
      <c r="H838" s="119"/>
    </row>
    <row r="839" spans="2:8" x14ac:dyDescent="0.25">
      <c r="B839" s="118"/>
      <c r="C839" s="93"/>
      <c r="H839" s="119"/>
    </row>
    <row r="840" spans="2:8" x14ac:dyDescent="0.25">
      <c r="B840" s="118"/>
      <c r="C840" s="93"/>
      <c r="H840" s="119"/>
    </row>
    <row r="841" spans="2:8" x14ac:dyDescent="0.25">
      <c r="B841" s="118"/>
      <c r="C841" s="93"/>
      <c r="H841" s="119"/>
    </row>
    <row r="842" spans="2:8" x14ac:dyDescent="0.25">
      <c r="B842" s="118"/>
      <c r="C842" s="93"/>
      <c r="H842" s="119"/>
    </row>
    <row r="843" spans="2:8" x14ac:dyDescent="0.25">
      <c r="B843" s="118"/>
      <c r="C843" s="93"/>
      <c r="H843" s="119"/>
    </row>
    <row r="844" spans="2:8" x14ac:dyDescent="0.25">
      <c r="B844" s="118"/>
      <c r="C844" s="93"/>
      <c r="H844" s="119"/>
    </row>
    <row r="845" spans="2:8" x14ac:dyDescent="0.25">
      <c r="B845" s="118"/>
      <c r="C845" s="93"/>
      <c r="H845" s="119"/>
    </row>
    <row r="846" spans="2:8" x14ac:dyDescent="0.25">
      <c r="B846" s="118"/>
      <c r="C846" s="93"/>
      <c r="H846" s="119"/>
    </row>
    <row r="847" spans="2:8" x14ac:dyDescent="0.25">
      <c r="B847" s="118"/>
      <c r="C847" s="93"/>
      <c r="H847" s="119"/>
    </row>
    <row r="848" spans="2:8" x14ac:dyDescent="0.25">
      <c r="B848" s="118"/>
      <c r="C848" s="93"/>
      <c r="H848" s="119"/>
    </row>
    <row r="849" spans="2:8" x14ac:dyDescent="0.25">
      <c r="B849" s="118"/>
      <c r="C849" s="93"/>
      <c r="H849" s="119"/>
    </row>
    <row r="850" spans="2:8" x14ac:dyDescent="0.25">
      <c r="B850" s="118"/>
      <c r="C850" s="93"/>
      <c r="H850" s="119"/>
    </row>
    <row r="851" spans="2:8" x14ac:dyDescent="0.25">
      <c r="B851" s="118"/>
      <c r="C851" s="93"/>
      <c r="H851" s="119"/>
    </row>
    <row r="852" spans="2:8" x14ac:dyDescent="0.25">
      <c r="B852" s="118"/>
      <c r="C852" s="93"/>
      <c r="H852" s="119"/>
    </row>
    <row r="853" spans="2:8" x14ac:dyDescent="0.25">
      <c r="B853" s="118"/>
      <c r="C853" s="93"/>
      <c r="H853" s="119"/>
    </row>
    <row r="854" spans="2:8" x14ac:dyDescent="0.25">
      <c r="B854" s="118"/>
      <c r="C854" s="93"/>
      <c r="H854" s="119"/>
    </row>
    <row r="855" spans="2:8" x14ac:dyDescent="0.25">
      <c r="B855" s="118"/>
      <c r="C855" s="93"/>
      <c r="H855" s="119"/>
    </row>
    <row r="856" spans="2:8" x14ac:dyDescent="0.25">
      <c r="B856" s="118"/>
      <c r="C856" s="93"/>
      <c r="H856" s="119"/>
    </row>
    <row r="857" spans="2:8" x14ac:dyDescent="0.25">
      <c r="B857" s="118"/>
      <c r="C857" s="93"/>
      <c r="H857" s="119"/>
    </row>
    <row r="858" spans="2:8" x14ac:dyDescent="0.25">
      <c r="B858" s="118"/>
      <c r="C858" s="93"/>
      <c r="H858" s="119"/>
    </row>
    <row r="859" spans="2:8" x14ac:dyDescent="0.25">
      <c r="B859" s="118"/>
      <c r="C859" s="93"/>
      <c r="H859" s="119"/>
    </row>
    <row r="860" spans="2:8" x14ac:dyDescent="0.25">
      <c r="B860" s="118"/>
      <c r="C860" s="93"/>
      <c r="H860" s="119"/>
    </row>
    <row r="861" spans="2:8" x14ac:dyDescent="0.25">
      <c r="B861" s="118"/>
      <c r="C861" s="93"/>
      <c r="H861" s="119"/>
    </row>
    <row r="862" spans="2:8" x14ac:dyDescent="0.25">
      <c r="B862" s="118"/>
      <c r="C862" s="93"/>
      <c r="H862" s="119"/>
    </row>
    <row r="863" spans="2:8" x14ac:dyDescent="0.25">
      <c r="B863" s="118"/>
      <c r="C863" s="93"/>
      <c r="H863" s="119"/>
    </row>
    <row r="864" spans="2:8" x14ac:dyDescent="0.25">
      <c r="B864" s="118"/>
      <c r="C864" s="93"/>
      <c r="H864" s="119"/>
    </row>
    <row r="865" spans="2:8" x14ac:dyDescent="0.25">
      <c r="B865" s="118"/>
      <c r="C865" s="93"/>
      <c r="H865" s="119"/>
    </row>
    <row r="866" spans="2:8" x14ac:dyDescent="0.25">
      <c r="B866" s="118"/>
      <c r="C866" s="93"/>
      <c r="H866" s="119"/>
    </row>
    <row r="867" spans="2:8" x14ac:dyDescent="0.25">
      <c r="B867" s="118"/>
      <c r="C867" s="93"/>
      <c r="H867" s="119"/>
    </row>
    <row r="868" spans="2:8" x14ac:dyDescent="0.25">
      <c r="B868" s="118"/>
      <c r="C868" s="93"/>
      <c r="H868" s="119"/>
    </row>
    <row r="869" spans="2:8" x14ac:dyDescent="0.25">
      <c r="B869" s="118"/>
      <c r="C869" s="93"/>
      <c r="H869" s="119"/>
    </row>
    <row r="870" spans="2:8" x14ac:dyDescent="0.25">
      <c r="B870" s="118"/>
      <c r="C870" s="93"/>
      <c r="H870" s="119"/>
    </row>
    <row r="871" spans="2:8" x14ac:dyDescent="0.25">
      <c r="B871" s="118"/>
      <c r="C871" s="93"/>
      <c r="H871" s="119"/>
    </row>
    <row r="872" spans="2:8" x14ac:dyDescent="0.25">
      <c r="B872" s="118"/>
      <c r="C872" s="93"/>
      <c r="H872" s="119"/>
    </row>
    <row r="873" spans="2:8" x14ac:dyDescent="0.25">
      <c r="B873" s="118"/>
      <c r="C873" s="93"/>
      <c r="H873" s="119"/>
    </row>
    <row r="874" spans="2:8" x14ac:dyDescent="0.25">
      <c r="B874" s="118"/>
      <c r="C874" s="93"/>
      <c r="H874" s="119"/>
    </row>
    <row r="875" spans="2:8" x14ac:dyDescent="0.25">
      <c r="B875" s="118"/>
      <c r="C875" s="93"/>
      <c r="H875" s="119"/>
    </row>
    <row r="876" spans="2:8" x14ac:dyDescent="0.25">
      <c r="B876" s="118"/>
      <c r="C876" s="93"/>
      <c r="H876" s="119"/>
    </row>
    <row r="877" spans="2:8" x14ac:dyDescent="0.25">
      <c r="B877" s="118"/>
      <c r="C877" s="93"/>
      <c r="H877" s="119"/>
    </row>
    <row r="878" spans="2:8" x14ac:dyDescent="0.25">
      <c r="B878" s="118"/>
      <c r="C878" s="93"/>
      <c r="H878" s="119"/>
    </row>
    <row r="879" spans="2:8" x14ac:dyDescent="0.25">
      <c r="B879" s="118"/>
      <c r="C879" s="93"/>
      <c r="H879" s="119"/>
    </row>
    <row r="880" spans="2:8" x14ac:dyDescent="0.25">
      <c r="B880" s="118"/>
      <c r="C880" s="93"/>
      <c r="H880" s="119"/>
    </row>
    <row r="881" spans="2:8" x14ac:dyDescent="0.25">
      <c r="B881" s="118"/>
      <c r="C881" s="93"/>
      <c r="H881" s="119"/>
    </row>
    <row r="882" spans="2:8" x14ac:dyDescent="0.25">
      <c r="B882" s="118"/>
      <c r="C882" s="93"/>
      <c r="H882" s="119"/>
    </row>
    <row r="883" spans="2:8" x14ac:dyDescent="0.25">
      <c r="B883" s="118"/>
      <c r="C883" s="93"/>
      <c r="H883" s="119"/>
    </row>
    <row r="884" spans="2:8" x14ac:dyDescent="0.25">
      <c r="B884" s="118"/>
      <c r="C884" s="93"/>
      <c r="H884" s="119"/>
    </row>
    <row r="885" spans="2:8" x14ac:dyDescent="0.25">
      <c r="B885" s="118"/>
      <c r="C885" s="93"/>
      <c r="H885" s="119"/>
    </row>
    <row r="886" spans="2:8" x14ac:dyDescent="0.25">
      <c r="B886" s="118"/>
      <c r="C886" s="93"/>
      <c r="H886" s="119"/>
    </row>
    <row r="887" spans="2:8" x14ac:dyDescent="0.25">
      <c r="B887" s="118"/>
      <c r="C887" s="93"/>
      <c r="H887" s="119"/>
    </row>
    <row r="888" spans="2:8" x14ac:dyDescent="0.25">
      <c r="B888" s="118"/>
      <c r="C888" s="93"/>
      <c r="H888" s="119"/>
    </row>
    <row r="889" spans="2:8" x14ac:dyDescent="0.25">
      <c r="B889" s="118"/>
      <c r="C889" s="93"/>
      <c r="H889" s="119"/>
    </row>
    <row r="890" spans="2:8" x14ac:dyDescent="0.25">
      <c r="B890" s="118"/>
      <c r="C890" s="93"/>
      <c r="H890" s="119"/>
    </row>
    <row r="891" spans="2:8" x14ac:dyDescent="0.25">
      <c r="B891" s="118"/>
      <c r="C891" s="93"/>
      <c r="H891" s="119"/>
    </row>
    <row r="892" spans="2:8" x14ac:dyDescent="0.25">
      <c r="B892" s="118"/>
      <c r="C892" s="93"/>
      <c r="H892" s="119"/>
    </row>
    <row r="893" spans="2:8" x14ac:dyDescent="0.25">
      <c r="B893" s="118"/>
      <c r="C893" s="93"/>
      <c r="H893" s="119"/>
    </row>
    <row r="894" spans="2:8" x14ac:dyDescent="0.25">
      <c r="B894" s="118"/>
      <c r="C894" s="93"/>
      <c r="H894" s="119"/>
    </row>
    <row r="895" spans="2:8" x14ac:dyDescent="0.25">
      <c r="B895" s="118"/>
      <c r="C895" s="93"/>
      <c r="H895" s="119"/>
    </row>
    <row r="896" spans="2:8" x14ac:dyDescent="0.25">
      <c r="B896" s="118"/>
      <c r="C896" s="93"/>
      <c r="H896" s="119"/>
    </row>
    <row r="897" spans="2:8" x14ac:dyDescent="0.25">
      <c r="B897" s="118"/>
      <c r="C897" s="93"/>
      <c r="H897" s="119"/>
    </row>
    <row r="898" spans="2:8" x14ac:dyDescent="0.25">
      <c r="B898" s="118"/>
      <c r="C898" s="93"/>
      <c r="H898" s="119"/>
    </row>
    <row r="899" spans="2:8" x14ac:dyDescent="0.25">
      <c r="B899" s="118"/>
      <c r="C899" s="93"/>
      <c r="H899" s="119"/>
    </row>
    <row r="900" spans="2:8" x14ac:dyDescent="0.25">
      <c r="B900" s="118"/>
      <c r="C900" s="93"/>
      <c r="H900" s="119"/>
    </row>
  </sheetData>
  <mergeCells count="598"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539:E539"/>
    <mergeCell ref="D540:E540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74:E574"/>
    <mergeCell ref="D575:E575"/>
    <mergeCell ref="D576:E576"/>
    <mergeCell ref="D577:E577"/>
    <mergeCell ref="D578:E578"/>
    <mergeCell ref="D579:E579"/>
    <mergeCell ref="D580:E580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6:E46"/>
    <mergeCell ref="D48:E48"/>
    <mergeCell ref="D49:E49"/>
    <mergeCell ref="D51:E51"/>
    <mergeCell ref="A1:B1"/>
    <mergeCell ref="D1:E1"/>
    <mergeCell ref="D2:E2"/>
    <mergeCell ref="D3:E3"/>
    <mergeCell ref="D4:E4"/>
    <mergeCell ref="B6:B7"/>
    <mergeCell ref="C6:C7"/>
    <mergeCell ref="D7:E7"/>
    <mergeCell ref="D5:E5"/>
    <mergeCell ref="D6:E6"/>
    <mergeCell ref="D8:E8"/>
    <mergeCell ref="D9:E9"/>
    <mergeCell ref="D10:E10"/>
    <mergeCell ref="B11:B12"/>
    <mergeCell ref="C11:C12"/>
    <mergeCell ref="D11:E11"/>
    <mergeCell ref="D12:E12"/>
    <mergeCell ref="D13:E13"/>
    <mergeCell ref="D14:E14"/>
    <mergeCell ref="D15:E15"/>
    <mergeCell ref="B16:B17"/>
    <mergeCell ref="C16:C17"/>
    <mergeCell ref="D16:E16"/>
    <mergeCell ref="D17:E17"/>
    <mergeCell ref="D18:E18"/>
    <mergeCell ref="D20:E20"/>
    <mergeCell ref="B21:B22"/>
    <mergeCell ref="C21:C22"/>
    <mergeCell ref="D21:E21"/>
    <mergeCell ref="B30:B31"/>
    <mergeCell ref="B32:B34"/>
    <mergeCell ref="B35:B36"/>
    <mergeCell ref="B37:B38"/>
    <mergeCell ref="B39:B41"/>
    <mergeCell ref="B42:B43"/>
    <mergeCell ref="D22:E22"/>
    <mergeCell ref="D23:E23"/>
    <mergeCell ref="D27:E27"/>
    <mergeCell ref="D28:E28"/>
    <mergeCell ref="D29:E29"/>
    <mergeCell ref="D30:E30"/>
    <mergeCell ref="D31:E31"/>
    <mergeCell ref="D52:E52"/>
    <mergeCell ref="D53:E53"/>
    <mergeCell ref="D54:E54"/>
    <mergeCell ref="D55:E55"/>
    <mergeCell ref="B62:B63"/>
    <mergeCell ref="C62:C63"/>
    <mergeCell ref="D56:E56"/>
    <mergeCell ref="D57:E57"/>
    <mergeCell ref="B58:B59"/>
    <mergeCell ref="C58:C59"/>
    <mergeCell ref="D58:E58"/>
    <mergeCell ref="D59:E59"/>
    <mergeCell ref="D61:E61"/>
    <mergeCell ref="D62:E62"/>
    <mergeCell ref="D63:E63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90:E290"/>
    <mergeCell ref="D291:E291"/>
    <mergeCell ref="D292:E292"/>
    <mergeCell ref="D293:E293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1052"/>
  <sheetViews>
    <sheetView workbookViewId="0">
      <pane ySplit="2" topLeftCell="A116" activePane="bottomLeft" state="frozen"/>
      <selection pane="bottomLeft" activeCell="X124" sqref="X124"/>
    </sheetView>
  </sheetViews>
  <sheetFormatPr defaultColWidth="12.6640625" defaultRowHeight="15.75" customHeight="1" x14ac:dyDescent="0.25"/>
  <cols>
    <col min="1" max="1" width="2.21875" customWidth="1"/>
    <col min="2" max="2" width="42.21875" customWidth="1"/>
    <col min="4" max="4" width="24.44140625" customWidth="1"/>
    <col min="7" max="42" width="17.21875" customWidth="1"/>
  </cols>
  <sheetData>
    <row r="1" spans="1:42" ht="13.2" x14ac:dyDescent="0.25">
      <c r="A1" s="457" t="s">
        <v>144</v>
      </c>
      <c r="B1" s="442"/>
      <c r="C1" s="66"/>
      <c r="D1" s="66"/>
      <c r="E1" s="66"/>
      <c r="F1" s="65"/>
      <c r="G1" s="66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</row>
    <row r="2" spans="1:42" ht="13.2" x14ac:dyDescent="0.25">
      <c r="A2" s="67"/>
      <c r="B2" s="68"/>
      <c r="C2" s="69" t="s">
        <v>108</v>
      </c>
      <c r="D2" s="69" t="s">
        <v>109</v>
      </c>
      <c r="E2" s="69" t="s">
        <v>110</v>
      </c>
      <c r="F2" s="120" t="s">
        <v>145</v>
      </c>
      <c r="G2" s="22" t="s">
        <v>20</v>
      </c>
      <c r="H2" s="22" t="s">
        <v>21</v>
      </c>
      <c r="I2" s="22" t="s">
        <v>22</v>
      </c>
      <c r="J2" s="22" t="s">
        <v>23</v>
      </c>
      <c r="K2" s="22" t="s">
        <v>24</v>
      </c>
      <c r="L2" s="22" t="s">
        <v>25</v>
      </c>
      <c r="M2" s="22" t="s">
        <v>26</v>
      </c>
      <c r="N2" s="22" t="s">
        <v>27</v>
      </c>
      <c r="O2" s="22" t="s">
        <v>28</v>
      </c>
      <c r="P2" s="22" t="s">
        <v>29</v>
      </c>
      <c r="Q2" s="22" t="s">
        <v>30</v>
      </c>
      <c r="R2" s="22" t="s">
        <v>31</v>
      </c>
      <c r="S2" s="22" t="s">
        <v>32</v>
      </c>
      <c r="T2" s="22" t="s">
        <v>33</v>
      </c>
      <c r="U2" s="22" t="s">
        <v>34</v>
      </c>
      <c r="V2" s="22" t="s">
        <v>35</v>
      </c>
      <c r="W2" s="22" t="s">
        <v>36</v>
      </c>
      <c r="X2" s="22" t="s">
        <v>37</v>
      </c>
      <c r="Y2" s="22" t="s">
        <v>38</v>
      </c>
      <c r="Z2" s="22" t="s">
        <v>39</v>
      </c>
      <c r="AA2" s="22" t="s">
        <v>40</v>
      </c>
      <c r="AB2" s="22" t="s">
        <v>41</v>
      </c>
      <c r="AC2" s="22" t="s">
        <v>42</v>
      </c>
      <c r="AD2" s="22" t="s">
        <v>43</v>
      </c>
      <c r="AE2" s="22" t="s">
        <v>44</v>
      </c>
      <c r="AF2" s="22" t="s">
        <v>45</v>
      </c>
      <c r="AG2" s="22" t="s">
        <v>46</v>
      </c>
      <c r="AH2" s="22" t="s">
        <v>47</v>
      </c>
      <c r="AI2" s="22" t="s">
        <v>48</v>
      </c>
      <c r="AJ2" s="22" t="s">
        <v>49</v>
      </c>
      <c r="AK2" s="22" t="s">
        <v>50</v>
      </c>
      <c r="AL2" s="23"/>
      <c r="AM2" s="23"/>
      <c r="AN2" s="23"/>
      <c r="AO2" s="23"/>
      <c r="AP2" s="23"/>
    </row>
    <row r="3" spans="1:42" ht="13.2" x14ac:dyDescent="0.25">
      <c r="A3" s="71"/>
      <c r="B3" s="121"/>
      <c r="C3" s="73"/>
      <c r="D3" s="73"/>
      <c r="E3" s="122"/>
      <c r="F3" s="71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4"/>
      <c r="AF3" s="74"/>
      <c r="AG3" s="74"/>
      <c r="AH3" s="74"/>
      <c r="AI3" s="74"/>
      <c r="AJ3" s="74"/>
      <c r="AK3" s="74"/>
      <c r="AL3" s="123"/>
      <c r="AM3" s="123"/>
      <c r="AN3" s="123"/>
      <c r="AO3" s="123"/>
      <c r="AP3" s="123"/>
    </row>
    <row r="4" spans="1:42" ht="13.2" x14ac:dyDescent="0.25">
      <c r="A4" s="76"/>
      <c r="B4" s="77" t="s">
        <v>146</v>
      </c>
      <c r="C4" s="78"/>
      <c r="D4" s="78"/>
      <c r="E4" s="78"/>
      <c r="F4" s="76"/>
      <c r="G4" s="78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124"/>
      <c r="AM4" s="124"/>
      <c r="AN4" s="124"/>
      <c r="AO4" s="124"/>
      <c r="AP4" s="124"/>
    </row>
    <row r="5" spans="1:42" ht="13.2" x14ac:dyDescent="0.25">
      <c r="A5" s="71"/>
      <c r="B5" s="125" t="s">
        <v>147</v>
      </c>
      <c r="C5" s="126" t="s">
        <v>128</v>
      </c>
      <c r="D5" s="126" t="s">
        <v>148</v>
      </c>
      <c r="E5" s="127">
        <v>0.05</v>
      </c>
      <c r="F5" s="126">
        <v>0.05</v>
      </c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128"/>
      <c r="AF5" s="128"/>
      <c r="AG5" s="128"/>
      <c r="AH5" s="128"/>
      <c r="AI5" s="128"/>
      <c r="AJ5" s="128"/>
      <c r="AK5" s="128"/>
      <c r="AL5" s="129"/>
      <c r="AM5" s="129"/>
      <c r="AN5" s="129"/>
      <c r="AO5" s="129"/>
      <c r="AP5" s="129"/>
    </row>
    <row r="6" spans="1:42" ht="13.2" x14ac:dyDescent="0.25">
      <c r="A6" s="130"/>
      <c r="B6" s="125" t="s">
        <v>149</v>
      </c>
      <c r="C6" s="126" t="s">
        <v>128</v>
      </c>
      <c r="D6" s="126" t="s">
        <v>148</v>
      </c>
      <c r="E6" s="127">
        <f>(1+E5)^0.25-1</f>
        <v>1.2272234429039353E-2</v>
      </c>
      <c r="F6" s="128"/>
      <c r="G6" s="128">
        <f t="shared" ref="G6:AK6" si="0">$E$6</f>
        <v>1.2272234429039353E-2</v>
      </c>
      <c r="H6" s="128">
        <f t="shared" si="0"/>
        <v>1.2272234429039353E-2</v>
      </c>
      <c r="I6" s="128">
        <f t="shared" si="0"/>
        <v>1.2272234429039353E-2</v>
      </c>
      <c r="J6" s="128">
        <f t="shared" si="0"/>
        <v>1.2272234429039353E-2</v>
      </c>
      <c r="K6" s="128">
        <f t="shared" si="0"/>
        <v>1.2272234429039353E-2</v>
      </c>
      <c r="L6" s="128">
        <f t="shared" si="0"/>
        <v>1.2272234429039353E-2</v>
      </c>
      <c r="M6" s="128">
        <f t="shared" si="0"/>
        <v>1.2272234429039353E-2</v>
      </c>
      <c r="N6" s="128">
        <f t="shared" si="0"/>
        <v>1.2272234429039353E-2</v>
      </c>
      <c r="O6" s="128">
        <f t="shared" si="0"/>
        <v>1.2272234429039353E-2</v>
      </c>
      <c r="P6" s="128">
        <f t="shared" si="0"/>
        <v>1.2272234429039353E-2</v>
      </c>
      <c r="Q6" s="128">
        <f t="shared" si="0"/>
        <v>1.2272234429039353E-2</v>
      </c>
      <c r="R6" s="128">
        <f t="shared" si="0"/>
        <v>1.2272234429039353E-2</v>
      </c>
      <c r="S6" s="128">
        <f t="shared" si="0"/>
        <v>1.2272234429039353E-2</v>
      </c>
      <c r="T6" s="128">
        <f t="shared" si="0"/>
        <v>1.2272234429039353E-2</v>
      </c>
      <c r="U6" s="128">
        <f t="shared" si="0"/>
        <v>1.2272234429039353E-2</v>
      </c>
      <c r="V6" s="128">
        <f t="shared" si="0"/>
        <v>1.2272234429039353E-2</v>
      </c>
      <c r="W6" s="128">
        <f t="shared" si="0"/>
        <v>1.2272234429039353E-2</v>
      </c>
      <c r="X6" s="128">
        <f t="shared" si="0"/>
        <v>1.2272234429039353E-2</v>
      </c>
      <c r="Y6" s="128">
        <f t="shared" si="0"/>
        <v>1.2272234429039353E-2</v>
      </c>
      <c r="Z6" s="128">
        <f t="shared" si="0"/>
        <v>1.2272234429039353E-2</v>
      </c>
      <c r="AA6" s="128">
        <f t="shared" si="0"/>
        <v>1.2272234429039353E-2</v>
      </c>
      <c r="AB6" s="128">
        <f t="shared" si="0"/>
        <v>1.2272234429039353E-2</v>
      </c>
      <c r="AC6" s="128">
        <f t="shared" si="0"/>
        <v>1.2272234429039353E-2</v>
      </c>
      <c r="AD6" s="128">
        <f t="shared" si="0"/>
        <v>1.2272234429039353E-2</v>
      </c>
      <c r="AE6" s="128">
        <f t="shared" si="0"/>
        <v>1.2272234429039353E-2</v>
      </c>
      <c r="AF6" s="128">
        <f t="shared" si="0"/>
        <v>1.2272234429039353E-2</v>
      </c>
      <c r="AG6" s="128">
        <f t="shared" si="0"/>
        <v>1.2272234429039353E-2</v>
      </c>
      <c r="AH6" s="128">
        <f t="shared" si="0"/>
        <v>1.2272234429039353E-2</v>
      </c>
      <c r="AI6" s="128">
        <f t="shared" si="0"/>
        <v>1.2272234429039353E-2</v>
      </c>
      <c r="AJ6" s="128">
        <f t="shared" si="0"/>
        <v>1.2272234429039353E-2</v>
      </c>
      <c r="AK6" s="128">
        <f t="shared" si="0"/>
        <v>1.2272234429039353E-2</v>
      </c>
      <c r="AL6" s="129"/>
      <c r="AM6" s="129"/>
      <c r="AN6" s="129"/>
      <c r="AO6" s="129"/>
      <c r="AP6" s="129"/>
    </row>
    <row r="7" spans="1:42" ht="13.2" x14ac:dyDescent="0.25">
      <c r="A7" s="71"/>
      <c r="B7" s="125" t="s">
        <v>150</v>
      </c>
      <c r="C7" s="126" t="s">
        <v>151</v>
      </c>
      <c r="D7" s="73"/>
      <c r="E7" s="128"/>
      <c r="F7" s="71"/>
      <c r="G7" s="131">
        <f t="shared" ref="G7:AK7" si="1">1+G6</f>
        <v>1.0122722344290394</v>
      </c>
      <c r="H7" s="131">
        <f t="shared" si="1"/>
        <v>1.0122722344290394</v>
      </c>
      <c r="I7" s="131">
        <f t="shared" si="1"/>
        <v>1.0122722344290394</v>
      </c>
      <c r="J7" s="131">
        <f t="shared" si="1"/>
        <v>1.0122722344290394</v>
      </c>
      <c r="K7" s="131">
        <f t="shared" si="1"/>
        <v>1.0122722344290394</v>
      </c>
      <c r="L7" s="131">
        <f t="shared" si="1"/>
        <v>1.0122722344290394</v>
      </c>
      <c r="M7" s="131">
        <f t="shared" si="1"/>
        <v>1.0122722344290394</v>
      </c>
      <c r="N7" s="131">
        <f t="shared" si="1"/>
        <v>1.0122722344290394</v>
      </c>
      <c r="O7" s="131">
        <f t="shared" si="1"/>
        <v>1.0122722344290394</v>
      </c>
      <c r="P7" s="131">
        <f t="shared" si="1"/>
        <v>1.0122722344290394</v>
      </c>
      <c r="Q7" s="131">
        <f t="shared" si="1"/>
        <v>1.0122722344290394</v>
      </c>
      <c r="R7" s="131">
        <f t="shared" si="1"/>
        <v>1.0122722344290394</v>
      </c>
      <c r="S7" s="131">
        <f t="shared" si="1"/>
        <v>1.0122722344290394</v>
      </c>
      <c r="T7" s="131">
        <f t="shared" si="1"/>
        <v>1.0122722344290394</v>
      </c>
      <c r="U7" s="131">
        <f t="shared" si="1"/>
        <v>1.0122722344290394</v>
      </c>
      <c r="V7" s="131">
        <f t="shared" si="1"/>
        <v>1.0122722344290394</v>
      </c>
      <c r="W7" s="131">
        <f t="shared" si="1"/>
        <v>1.0122722344290394</v>
      </c>
      <c r="X7" s="131">
        <f t="shared" si="1"/>
        <v>1.0122722344290394</v>
      </c>
      <c r="Y7" s="131">
        <f t="shared" si="1"/>
        <v>1.0122722344290394</v>
      </c>
      <c r="Z7" s="131">
        <f t="shared" si="1"/>
        <v>1.0122722344290394</v>
      </c>
      <c r="AA7" s="131">
        <f t="shared" si="1"/>
        <v>1.0122722344290394</v>
      </c>
      <c r="AB7" s="131">
        <f t="shared" si="1"/>
        <v>1.0122722344290394</v>
      </c>
      <c r="AC7" s="131">
        <f t="shared" si="1"/>
        <v>1.0122722344290394</v>
      </c>
      <c r="AD7" s="131">
        <f t="shared" si="1"/>
        <v>1.0122722344290394</v>
      </c>
      <c r="AE7" s="131">
        <f t="shared" si="1"/>
        <v>1.0122722344290394</v>
      </c>
      <c r="AF7" s="131">
        <f t="shared" si="1"/>
        <v>1.0122722344290394</v>
      </c>
      <c r="AG7" s="131">
        <f t="shared" si="1"/>
        <v>1.0122722344290394</v>
      </c>
      <c r="AH7" s="131">
        <f t="shared" si="1"/>
        <v>1.0122722344290394</v>
      </c>
      <c r="AI7" s="131">
        <f t="shared" si="1"/>
        <v>1.0122722344290394</v>
      </c>
      <c r="AJ7" s="131">
        <f t="shared" si="1"/>
        <v>1.0122722344290394</v>
      </c>
      <c r="AK7" s="131">
        <f t="shared" si="1"/>
        <v>1.0122722344290394</v>
      </c>
      <c r="AL7" s="132"/>
      <c r="AM7" s="132"/>
      <c r="AN7" s="132"/>
      <c r="AO7" s="132"/>
      <c r="AP7" s="132"/>
    </row>
    <row r="8" spans="1:42" ht="13.2" x14ac:dyDescent="0.25">
      <c r="A8" s="71"/>
      <c r="B8" s="125" t="s">
        <v>152</v>
      </c>
      <c r="C8" s="126" t="s">
        <v>151</v>
      </c>
      <c r="D8" s="73"/>
      <c r="E8" s="128"/>
      <c r="F8" s="71"/>
      <c r="G8" s="131">
        <f>1*G7</f>
        <v>1.0122722344290394</v>
      </c>
      <c r="H8" s="131">
        <f t="shared" ref="H8:AK8" si="2">G8*H7</f>
        <v>1.0246950765959599</v>
      </c>
      <c r="I8" s="131">
        <f t="shared" si="2"/>
        <v>1.037270374794228</v>
      </c>
      <c r="J8" s="131">
        <f t="shared" si="2"/>
        <v>1.0500000000000003</v>
      </c>
      <c r="K8" s="131">
        <f t="shared" si="2"/>
        <v>1.0628858461504915</v>
      </c>
      <c r="L8" s="131">
        <f t="shared" si="2"/>
        <v>1.0759298304257583</v>
      </c>
      <c r="M8" s="131">
        <f t="shared" si="2"/>
        <v>1.0891338935339399</v>
      </c>
      <c r="N8" s="131">
        <f t="shared" si="2"/>
        <v>1.1025000000000007</v>
      </c>
      <c r="O8" s="131">
        <f t="shared" si="2"/>
        <v>1.1160301384580167</v>
      </c>
      <c r="P8" s="131">
        <f t="shared" si="2"/>
        <v>1.1297263219470468</v>
      </c>
      <c r="Q8" s="131">
        <f t="shared" si="2"/>
        <v>1.1435905882106374</v>
      </c>
      <c r="R8" s="131">
        <f t="shared" si="2"/>
        <v>1.1576250000000015</v>
      </c>
      <c r="S8" s="131">
        <f t="shared" si="2"/>
        <v>1.1718316453809181</v>
      </c>
      <c r="T8" s="131">
        <f t="shared" si="2"/>
        <v>1.1862126380443996</v>
      </c>
      <c r="U8" s="131">
        <f t="shared" si="2"/>
        <v>1.2007701176211696</v>
      </c>
      <c r="V8" s="131">
        <f t="shared" si="2"/>
        <v>1.2155062500000018</v>
      </c>
      <c r="W8" s="131">
        <f t="shared" si="2"/>
        <v>1.2304232276499643</v>
      </c>
      <c r="X8" s="131">
        <f t="shared" si="2"/>
        <v>1.2455232699466199</v>
      </c>
      <c r="Y8" s="131">
        <f t="shared" si="2"/>
        <v>1.2608086235022284</v>
      </c>
      <c r="Z8" s="131">
        <f t="shared" si="2"/>
        <v>1.2762815625000021</v>
      </c>
      <c r="AA8" s="131">
        <f t="shared" si="2"/>
        <v>1.2919443890324629</v>
      </c>
      <c r="AB8" s="131">
        <f t="shared" si="2"/>
        <v>1.3077994334439513</v>
      </c>
      <c r="AC8" s="131">
        <f t="shared" si="2"/>
        <v>1.3238490546773403</v>
      </c>
      <c r="AD8" s="131">
        <f t="shared" si="2"/>
        <v>1.3400956406250026</v>
      </c>
      <c r="AE8" s="131">
        <f t="shared" si="2"/>
        <v>1.3565416084840864</v>
      </c>
      <c r="AF8" s="131">
        <f t="shared" si="2"/>
        <v>1.3731894051161493</v>
      </c>
      <c r="AG8" s="131">
        <f t="shared" si="2"/>
        <v>1.3900415074112078</v>
      </c>
      <c r="AH8" s="131">
        <f t="shared" si="2"/>
        <v>1.4071004226562533</v>
      </c>
      <c r="AI8" s="131">
        <f t="shared" si="2"/>
        <v>1.4243686889082912</v>
      </c>
      <c r="AJ8" s="131">
        <f t="shared" si="2"/>
        <v>1.4418488753719572</v>
      </c>
      <c r="AK8" s="131">
        <f t="shared" si="2"/>
        <v>1.4595435827817687</v>
      </c>
      <c r="AL8" s="133"/>
      <c r="AM8" s="133"/>
      <c r="AN8" s="133"/>
      <c r="AO8" s="133"/>
      <c r="AP8" s="133"/>
    </row>
    <row r="10" spans="1:42" ht="13.2" x14ac:dyDescent="0.25">
      <c r="A10" s="73"/>
      <c r="B10" s="125" t="s">
        <v>153</v>
      </c>
      <c r="C10" s="126" t="s">
        <v>128</v>
      </c>
      <c r="D10" s="73"/>
      <c r="E10" s="134">
        <v>0.2</v>
      </c>
      <c r="F10" s="73"/>
      <c r="G10" s="135">
        <f t="shared" ref="G10:AK10" si="3">$E$10</f>
        <v>0.2</v>
      </c>
      <c r="H10" s="135">
        <f t="shared" si="3"/>
        <v>0.2</v>
      </c>
      <c r="I10" s="135">
        <f t="shared" si="3"/>
        <v>0.2</v>
      </c>
      <c r="J10" s="135">
        <f t="shared" si="3"/>
        <v>0.2</v>
      </c>
      <c r="K10" s="135">
        <f t="shared" si="3"/>
        <v>0.2</v>
      </c>
      <c r="L10" s="135">
        <f t="shared" si="3"/>
        <v>0.2</v>
      </c>
      <c r="M10" s="135">
        <f t="shared" si="3"/>
        <v>0.2</v>
      </c>
      <c r="N10" s="135">
        <f t="shared" si="3"/>
        <v>0.2</v>
      </c>
      <c r="O10" s="135">
        <f t="shared" si="3"/>
        <v>0.2</v>
      </c>
      <c r="P10" s="135">
        <f t="shared" si="3"/>
        <v>0.2</v>
      </c>
      <c r="Q10" s="135">
        <f t="shared" si="3"/>
        <v>0.2</v>
      </c>
      <c r="R10" s="135">
        <f t="shared" si="3"/>
        <v>0.2</v>
      </c>
      <c r="S10" s="135">
        <f t="shared" si="3"/>
        <v>0.2</v>
      </c>
      <c r="T10" s="135">
        <f t="shared" si="3"/>
        <v>0.2</v>
      </c>
      <c r="U10" s="135">
        <f t="shared" si="3"/>
        <v>0.2</v>
      </c>
      <c r="V10" s="135">
        <f t="shared" si="3"/>
        <v>0.2</v>
      </c>
      <c r="W10" s="135">
        <f t="shared" si="3"/>
        <v>0.2</v>
      </c>
      <c r="X10" s="135">
        <f t="shared" si="3"/>
        <v>0.2</v>
      </c>
      <c r="Y10" s="135">
        <f t="shared" si="3"/>
        <v>0.2</v>
      </c>
      <c r="Z10" s="135">
        <f t="shared" si="3"/>
        <v>0.2</v>
      </c>
      <c r="AA10" s="135">
        <f t="shared" si="3"/>
        <v>0.2</v>
      </c>
      <c r="AB10" s="135">
        <f t="shared" si="3"/>
        <v>0.2</v>
      </c>
      <c r="AC10" s="135">
        <f t="shared" si="3"/>
        <v>0.2</v>
      </c>
      <c r="AD10" s="135">
        <f t="shared" si="3"/>
        <v>0.2</v>
      </c>
      <c r="AE10" s="135">
        <f t="shared" si="3"/>
        <v>0.2</v>
      </c>
      <c r="AF10" s="135">
        <f t="shared" si="3"/>
        <v>0.2</v>
      </c>
      <c r="AG10" s="135">
        <f t="shared" si="3"/>
        <v>0.2</v>
      </c>
      <c r="AH10" s="135">
        <f t="shared" si="3"/>
        <v>0.2</v>
      </c>
      <c r="AI10" s="135">
        <f t="shared" si="3"/>
        <v>0.2</v>
      </c>
      <c r="AJ10" s="135">
        <f t="shared" si="3"/>
        <v>0.2</v>
      </c>
      <c r="AK10" s="135">
        <f t="shared" si="3"/>
        <v>0.2</v>
      </c>
      <c r="AL10" s="122"/>
      <c r="AM10" s="122"/>
      <c r="AN10" s="122"/>
      <c r="AO10" s="122"/>
      <c r="AP10" s="122"/>
    </row>
    <row r="11" spans="1:42" ht="13.2" x14ac:dyDescent="0.25">
      <c r="A11" s="73"/>
      <c r="B11" s="125"/>
      <c r="C11" s="126"/>
      <c r="D11" s="73"/>
      <c r="E11" s="136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122"/>
      <c r="AM11" s="122"/>
      <c r="AN11" s="122"/>
      <c r="AO11" s="122"/>
      <c r="AP11" s="122"/>
    </row>
    <row r="12" spans="1:42" ht="13.2" x14ac:dyDescent="0.25">
      <c r="A12" s="73"/>
      <c r="B12" s="125" t="s">
        <v>154</v>
      </c>
      <c r="C12" s="126" t="s">
        <v>128</v>
      </c>
      <c r="D12" s="73"/>
      <c r="E12" s="137">
        <v>0.09</v>
      </c>
      <c r="F12" s="73"/>
      <c r="G12" s="138">
        <v>0.09</v>
      </c>
      <c r="H12" s="138">
        <v>0.09</v>
      </c>
      <c r="I12" s="138">
        <v>0.09</v>
      </c>
      <c r="J12" s="138">
        <v>0.09</v>
      </c>
      <c r="K12" s="138">
        <v>0.09</v>
      </c>
      <c r="L12" s="138">
        <v>0.09</v>
      </c>
      <c r="M12" s="138">
        <v>0.09</v>
      </c>
      <c r="N12" s="138">
        <v>0.09</v>
      </c>
      <c r="O12" s="138">
        <v>0.09</v>
      </c>
      <c r="P12" s="138">
        <v>0.09</v>
      </c>
      <c r="Q12" s="138">
        <v>0.09</v>
      </c>
      <c r="R12" s="138">
        <v>0.09</v>
      </c>
      <c r="S12" s="138">
        <v>0.09</v>
      </c>
      <c r="T12" s="138">
        <v>0.09</v>
      </c>
      <c r="U12" s="138">
        <v>0.09</v>
      </c>
      <c r="V12" s="138">
        <v>0.09</v>
      </c>
      <c r="W12" s="138">
        <v>0.09</v>
      </c>
      <c r="X12" s="138">
        <v>0.09</v>
      </c>
      <c r="Y12" s="138">
        <v>0.09</v>
      </c>
      <c r="Z12" s="138">
        <v>0.09</v>
      </c>
      <c r="AA12" s="138">
        <v>0.09</v>
      </c>
      <c r="AB12" s="138">
        <v>0.09</v>
      </c>
      <c r="AC12" s="138">
        <v>0.09</v>
      </c>
      <c r="AD12" s="138">
        <v>0.09</v>
      </c>
      <c r="AE12" s="138">
        <v>0.09</v>
      </c>
      <c r="AF12" s="138">
        <v>0.09</v>
      </c>
      <c r="AG12" s="138">
        <v>0.09</v>
      </c>
      <c r="AH12" s="138">
        <v>0.09</v>
      </c>
      <c r="AI12" s="138">
        <v>0.09</v>
      </c>
      <c r="AJ12" s="138">
        <v>0.09</v>
      </c>
      <c r="AK12" s="138">
        <v>0.09</v>
      </c>
      <c r="AL12" s="122"/>
      <c r="AM12" s="122"/>
      <c r="AN12" s="122"/>
      <c r="AO12" s="122"/>
      <c r="AP12" s="122"/>
    </row>
    <row r="13" spans="1:42" ht="13.2" x14ac:dyDescent="0.25">
      <c r="A13" s="73"/>
      <c r="B13" s="125" t="s">
        <v>155</v>
      </c>
      <c r="C13" s="126" t="s">
        <v>128</v>
      </c>
      <c r="D13" s="73"/>
      <c r="E13" s="134">
        <v>0.04</v>
      </c>
      <c r="F13" s="73"/>
      <c r="G13" s="138">
        <v>0.04</v>
      </c>
      <c r="H13" s="138">
        <v>0.04</v>
      </c>
      <c r="I13" s="138">
        <v>0.04</v>
      </c>
      <c r="J13" s="138">
        <v>0.04</v>
      </c>
      <c r="K13" s="138">
        <v>0.04</v>
      </c>
      <c r="L13" s="138">
        <v>0.04</v>
      </c>
      <c r="M13" s="138">
        <v>0.04</v>
      </c>
      <c r="N13" s="138">
        <v>0.04</v>
      </c>
      <c r="O13" s="138">
        <v>0.04</v>
      </c>
      <c r="P13" s="138">
        <v>0.04</v>
      </c>
      <c r="Q13" s="138">
        <v>0.04</v>
      </c>
      <c r="R13" s="138">
        <v>0.04</v>
      </c>
      <c r="S13" s="138">
        <v>0.04</v>
      </c>
      <c r="T13" s="138">
        <v>0.04</v>
      </c>
      <c r="U13" s="138">
        <v>0.04</v>
      </c>
      <c r="V13" s="138">
        <v>0.04</v>
      </c>
      <c r="W13" s="138">
        <v>0.04</v>
      </c>
      <c r="X13" s="138">
        <v>0.04</v>
      </c>
      <c r="Y13" s="138">
        <v>0.04</v>
      </c>
      <c r="Z13" s="138">
        <v>0.04</v>
      </c>
      <c r="AA13" s="138">
        <v>0.04</v>
      </c>
      <c r="AB13" s="138">
        <v>0.04</v>
      </c>
      <c r="AC13" s="138">
        <v>0.04</v>
      </c>
      <c r="AD13" s="138">
        <v>0.04</v>
      </c>
      <c r="AE13" s="138">
        <v>0.04</v>
      </c>
      <c r="AF13" s="138">
        <v>0.04</v>
      </c>
      <c r="AG13" s="138">
        <v>0.04</v>
      </c>
      <c r="AH13" s="138">
        <v>0.04</v>
      </c>
      <c r="AI13" s="138">
        <v>0.04</v>
      </c>
      <c r="AJ13" s="138">
        <v>0.04</v>
      </c>
      <c r="AK13" s="138">
        <v>0.04</v>
      </c>
      <c r="AL13" s="122"/>
      <c r="AM13" s="122"/>
      <c r="AN13" s="122"/>
      <c r="AO13" s="122"/>
      <c r="AP13" s="122"/>
    </row>
    <row r="14" spans="1:42" ht="13.2" x14ac:dyDescent="0.25">
      <c r="A14" s="73"/>
      <c r="B14" s="125" t="s">
        <v>156</v>
      </c>
      <c r="C14" s="126" t="s">
        <v>128</v>
      </c>
      <c r="D14" s="73"/>
      <c r="E14" s="134">
        <v>0.02</v>
      </c>
      <c r="F14" s="73"/>
      <c r="G14" s="138">
        <v>0.02</v>
      </c>
      <c r="H14" s="138">
        <v>0.02</v>
      </c>
      <c r="I14" s="138">
        <v>0.02</v>
      </c>
      <c r="J14" s="138">
        <v>0.02</v>
      </c>
      <c r="K14" s="138">
        <v>0.02</v>
      </c>
      <c r="L14" s="138">
        <v>0.02</v>
      </c>
      <c r="M14" s="138">
        <v>0.02</v>
      </c>
      <c r="N14" s="138">
        <v>0.02</v>
      </c>
      <c r="O14" s="138">
        <v>0.02</v>
      </c>
      <c r="P14" s="138">
        <v>0.02</v>
      </c>
      <c r="Q14" s="138">
        <v>0.02</v>
      </c>
      <c r="R14" s="138">
        <v>0.02</v>
      </c>
      <c r="S14" s="138">
        <v>0.02</v>
      </c>
      <c r="T14" s="138">
        <v>0.02</v>
      </c>
      <c r="U14" s="138">
        <v>0.02</v>
      </c>
      <c r="V14" s="138">
        <v>0.02</v>
      </c>
      <c r="W14" s="138">
        <v>0.02</v>
      </c>
      <c r="X14" s="138">
        <v>0.02</v>
      </c>
      <c r="Y14" s="138">
        <v>0.02</v>
      </c>
      <c r="Z14" s="138">
        <v>0.02</v>
      </c>
      <c r="AA14" s="138">
        <v>0.02</v>
      </c>
      <c r="AB14" s="138">
        <v>0.02</v>
      </c>
      <c r="AC14" s="138">
        <v>0.02</v>
      </c>
      <c r="AD14" s="138">
        <v>0.02</v>
      </c>
      <c r="AE14" s="138">
        <v>0.02</v>
      </c>
      <c r="AF14" s="138">
        <v>0.02</v>
      </c>
      <c r="AG14" s="138">
        <v>0.02</v>
      </c>
      <c r="AH14" s="138">
        <v>0.02</v>
      </c>
      <c r="AI14" s="138">
        <v>0.02</v>
      </c>
      <c r="AJ14" s="138">
        <v>0.02</v>
      </c>
      <c r="AK14" s="138">
        <v>0.02</v>
      </c>
      <c r="AL14" s="122"/>
      <c r="AM14" s="122"/>
      <c r="AN14" s="122"/>
      <c r="AO14" s="122"/>
      <c r="AP14" s="122"/>
    </row>
    <row r="15" spans="1:42" ht="13.2" x14ac:dyDescent="0.25">
      <c r="A15" s="71"/>
      <c r="B15" s="125" t="s">
        <v>157</v>
      </c>
      <c r="C15" s="126" t="s">
        <v>128</v>
      </c>
      <c r="D15" s="73"/>
      <c r="E15" s="134">
        <f>SUM(E12:E14)</f>
        <v>0.15</v>
      </c>
      <c r="F15" s="71"/>
      <c r="G15" s="135">
        <f t="shared" ref="G15:AK15" si="4">$E$15</f>
        <v>0.15</v>
      </c>
      <c r="H15" s="135">
        <f t="shared" si="4"/>
        <v>0.15</v>
      </c>
      <c r="I15" s="135">
        <f t="shared" si="4"/>
        <v>0.15</v>
      </c>
      <c r="J15" s="135">
        <f t="shared" si="4"/>
        <v>0.15</v>
      </c>
      <c r="K15" s="135">
        <f t="shared" si="4"/>
        <v>0.15</v>
      </c>
      <c r="L15" s="135">
        <f t="shared" si="4"/>
        <v>0.15</v>
      </c>
      <c r="M15" s="135">
        <f t="shared" si="4"/>
        <v>0.15</v>
      </c>
      <c r="N15" s="135">
        <f t="shared" si="4"/>
        <v>0.15</v>
      </c>
      <c r="O15" s="135">
        <f t="shared" si="4"/>
        <v>0.15</v>
      </c>
      <c r="P15" s="135">
        <f t="shared" si="4"/>
        <v>0.15</v>
      </c>
      <c r="Q15" s="135">
        <f t="shared" si="4"/>
        <v>0.15</v>
      </c>
      <c r="R15" s="135">
        <f t="shared" si="4"/>
        <v>0.15</v>
      </c>
      <c r="S15" s="135">
        <f t="shared" si="4"/>
        <v>0.15</v>
      </c>
      <c r="T15" s="135">
        <f t="shared" si="4"/>
        <v>0.15</v>
      </c>
      <c r="U15" s="135">
        <f t="shared" si="4"/>
        <v>0.15</v>
      </c>
      <c r="V15" s="135">
        <f t="shared" si="4"/>
        <v>0.15</v>
      </c>
      <c r="W15" s="135">
        <f t="shared" si="4"/>
        <v>0.15</v>
      </c>
      <c r="X15" s="135">
        <f t="shared" si="4"/>
        <v>0.15</v>
      </c>
      <c r="Y15" s="135">
        <f t="shared" si="4"/>
        <v>0.15</v>
      </c>
      <c r="Z15" s="135">
        <f t="shared" si="4"/>
        <v>0.15</v>
      </c>
      <c r="AA15" s="135">
        <f t="shared" si="4"/>
        <v>0.15</v>
      </c>
      <c r="AB15" s="135">
        <f t="shared" si="4"/>
        <v>0.15</v>
      </c>
      <c r="AC15" s="135">
        <f t="shared" si="4"/>
        <v>0.15</v>
      </c>
      <c r="AD15" s="135">
        <f t="shared" si="4"/>
        <v>0.15</v>
      </c>
      <c r="AE15" s="135">
        <f t="shared" si="4"/>
        <v>0.15</v>
      </c>
      <c r="AF15" s="135">
        <f t="shared" si="4"/>
        <v>0.15</v>
      </c>
      <c r="AG15" s="135">
        <f t="shared" si="4"/>
        <v>0.15</v>
      </c>
      <c r="AH15" s="135">
        <f t="shared" si="4"/>
        <v>0.15</v>
      </c>
      <c r="AI15" s="135">
        <f t="shared" si="4"/>
        <v>0.15</v>
      </c>
      <c r="AJ15" s="135">
        <f t="shared" si="4"/>
        <v>0.15</v>
      </c>
      <c r="AK15" s="135">
        <f t="shared" si="4"/>
        <v>0.15</v>
      </c>
      <c r="AL15" s="124"/>
      <c r="AM15" s="124"/>
      <c r="AN15" s="124"/>
      <c r="AO15" s="124"/>
      <c r="AP15" s="124"/>
    </row>
    <row r="16" spans="1:42" ht="13.2" x14ac:dyDescent="0.25">
      <c r="A16" s="139"/>
      <c r="B16" s="140"/>
      <c r="C16" s="126"/>
      <c r="D16" s="141"/>
      <c r="E16" s="142"/>
      <c r="F16" s="139"/>
      <c r="G16" s="141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43"/>
      <c r="AM16" s="143"/>
      <c r="AN16" s="143"/>
      <c r="AO16" s="143"/>
      <c r="AP16" s="143"/>
    </row>
    <row r="17" spans="1:42" ht="13.2" x14ac:dyDescent="0.25">
      <c r="A17" s="71"/>
      <c r="B17" s="140" t="s">
        <v>158</v>
      </c>
      <c r="C17" s="126" t="s">
        <v>128</v>
      </c>
      <c r="D17" s="73"/>
      <c r="E17" s="144">
        <v>4.0000000000000001E-3</v>
      </c>
      <c r="F17" s="126">
        <v>4.0000000000000001E-3</v>
      </c>
      <c r="G17" s="135">
        <f t="shared" ref="G17:AK17" si="5">$E$17</f>
        <v>4.0000000000000001E-3</v>
      </c>
      <c r="H17" s="135">
        <f t="shared" si="5"/>
        <v>4.0000000000000001E-3</v>
      </c>
      <c r="I17" s="135">
        <f t="shared" si="5"/>
        <v>4.0000000000000001E-3</v>
      </c>
      <c r="J17" s="135">
        <f t="shared" si="5"/>
        <v>4.0000000000000001E-3</v>
      </c>
      <c r="K17" s="135">
        <f t="shared" si="5"/>
        <v>4.0000000000000001E-3</v>
      </c>
      <c r="L17" s="135">
        <f t="shared" si="5"/>
        <v>4.0000000000000001E-3</v>
      </c>
      <c r="M17" s="135">
        <f t="shared" si="5"/>
        <v>4.0000000000000001E-3</v>
      </c>
      <c r="N17" s="135">
        <f t="shared" si="5"/>
        <v>4.0000000000000001E-3</v>
      </c>
      <c r="O17" s="135">
        <f t="shared" si="5"/>
        <v>4.0000000000000001E-3</v>
      </c>
      <c r="P17" s="135">
        <f t="shared" si="5"/>
        <v>4.0000000000000001E-3</v>
      </c>
      <c r="Q17" s="135">
        <f t="shared" si="5"/>
        <v>4.0000000000000001E-3</v>
      </c>
      <c r="R17" s="135">
        <f t="shared" si="5"/>
        <v>4.0000000000000001E-3</v>
      </c>
      <c r="S17" s="135">
        <f t="shared" si="5"/>
        <v>4.0000000000000001E-3</v>
      </c>
      <c r="T17" s="135">
        <f t="shared" si="5"/>
        <v>4.0000000000000001E-3</v>
      </c>
      <c r="U17" s="135">
        <f t="shared" si="5"/>
        <v>4.0000000000000001E-3</v>
      </c>
      <c r="V17" s="135">
        <f t="shared" si="5"/>
        <v>4.0000000000000001E-3</v>
      </c>
      <c r="W17" s="135">
        <f t="shared" si="5"/>
        <v>4.0000000000000001E-3</v>
      </c>
      <c r="X17" s="135">
        <f t="shared" si="5"/>
        <v>4.0000000000000001E-3</v>
      </c>
      <c r="Y17" s="135">
        <f t="shared" si="5"/>
        <v>4.0000000000000001E-3</v>
      </c>
      <c r="Z17" s="135">
        <f t="shared" si="5"/>
        <v>4.0000000000000001E-3</v>
      </c>
      <c r="AA17" s="135">
        <f t="shared" si="5"/>
        <v>4.0000000000000001E-3</v>
      </c>
      <c r="AB17" s="135">
        <f t="shared" si="5"/>
        <v>4.0000000000000001E-3</v>
      </c>
      <c r="AC17" s="135">
        <f t="shared" si="5"/>
        <v>4.0000000000000001E-3</v>
      </c>
      <c r="AD17" s="135">
        <f t="shared" si="5"/>
        <v>4.0000000000000001E-3</v>
      </c>
      <c r="AE17" s="135">
        <f t="shared" si="5"/>
        <v>4.0000000000000001E-3</v>
      </c>
      <c r="AF17" s="135">
        <f t="shared" si="5"/>
        <v>4.0000000000000001E-3</v>
      </c>
      <c r="AG17" s="135">
        <f t="shared" si="5"/>
        <v>4.0000000000000001E-3</v>
      </c>
      <c r="AH17" s="135">
        <f t="shared" si="5"/>
        <v>4.0000000000000001E-3</v>
      </c>
      <c r="AI17" s="135">
        <f t="shared" si="5"/>
        <v>4.0000000000000001E-3</v>
      </c>
      <c r="AJ17" s="135">
        <f t="shared" si="5"/>
        <v>4.0000000000000001E-3</v>
      </c>
      <c r="AK17" s="135">
        <f t="shared" si="5"/>
        <v>4.0000000000000001E-3</v>
      </c>
      <c r="AL17" s="124"/>
      <c r="AM17" s="124"/>
      <c r="AN17" s="124"/>
      <c r="AO17" s="124"/>
      <c r="AP17" s="124"/>
    </row>
    <row r="18" spans="1:42" ht="13.2" x14ac:dyDescent="0.25">
      <c r="A18" s="71"/>
      <c r="B18" s="140" t="s">
        <v>159</v>
      </c>
      <c r="C18" s="126" t="s">
        <v>160</v>
      </c>
      <c r="D18" s="73"/>
      <c r="E18" s="127">
        <v>7.0000000000000007E-2</v>
      </c>
      <c r="F18" s="126">
        <v>7.0000000000000007E-2</v>
      </c>
      <c r="G18" s="138">
        <v>7.0000000000000007E-2</v>
      </c>
      <c r="H18" s="138">
        <v>7.0000000000000007E-2</v>
      </c>
      <c r="I18" s="138">
        <v>7.0000000000000007E-2</v>
      </c>
      <c r="J18" s="138">
        <v>7.0000000000000007E-2</v>
      </c>
      <c r="K18" s="138">
        <v>7.0000000000000007E-2</v>
      </c>
      <c r="L18" s="138">
        <v>7.0000000000000007E-2</v>
      </c>
      <c r="M18" s="138">
        <v>7.0000000000000007E-2</v>
      </c>
      <c r="N18" s="138">
        <v>7.0000000000000007E-2</v>
      </c>
      <c r="O18" s="138">
        <v>7.0000000000000007E-2</v>
      </c>
      <c r="P18" s="138">
        <v>7.0000000000000007E-2</v>
      </c>
      <c r="Q18" s="138">
        <v>7.0000000000000007E-2</v>
      </c>
      <c r="R18" s="138">
        <v>7.0000000000000007E-2</v>
      </c>
      <c r="S18" s="138">
        <v>7.0000000000000007E-2</v>
      </c>
      <c r="T18" s="138">
        <v>7.0000000000000007E-2</v>
      </c>
      <c r="U18" s="138">
        <v>7.0000000000000007E-2</v>
      </c>
      <c r="V18" s="138">
        <v>7.0000000000000007E-2</v>
      </c>
      <c r="W18" s="138">
        <v>7.0000000000000007E-2</v>
      </c>
      <c r="X18" s="138">
        <v>7.0000000000000007E-2</v>
      </c>
      <c r="Y18" s="138">
        <v>7.0000000000000007E-2</v>
      </c>
      <c r="Z18" s="138">
        <v>7.0000000000000007E-2</v>
      </c>
      <c r="AA18" s="138">
        <v>7.0000000000000007E-2</v>
      </c>
      <c r="AB18" s="138">
        <v>7.0000000000000007E-2</v>
      </c>
      <c r="AC18" s="138">
        <v>7.0000000000000007E-2</v>
      </c>
      <c r="AD18" s="138">
        <v>7.0000000000000007E-2</v>
      </c>
      <c r="AE18" s="138">
        <v>7.0000000000000007E-2</v>
      </c>
      <c r="AF18" s="138">
        <v>7.0000000000000007E-2</v>
      </c>
      <c r="AG18" s="138">
        <v>7.0000000000000007E-2</v>
      </c>
      <c r="AH18" s="138">
        <v>7.0000000000000007E-2</v>
      </c>
      <c r="AI18" s="138">
        <v>7.0000000000000007E-2</v>
      </c>
      <c r="AJ18" s="138">
        <v>7.0000000000000007E-2</v>
      </c>
      <c r="AK18" s="138">
        <v>7.0000000000000007E-2</v>
      </c>
      <c r="AL18" s="124"/>
      <c r="AM18" s="124"/>
      <c r="AN18" s="124"/>
      <c r="AO18" s="124"/>
      <c r="AP18" s="124"/>
    </row>
    <row r="19" spans="1:42" ht="13.2" x14ac:dyDescent="0.25">
      <c r="A19" s="145"/>
      <c r="B19" s="146" t="s">
        <v>161</v>
      </c>
      <c r="C19" s="147" t="s">
        <v>160</v>
      </c>
      <c r="D19" s="145"/>
      <c r="E19" s="148">
        <v>7.0000000000000007E-2</v>
      </c>
      <c r="F19" s="126">
        <v>7.0000000000000007E-2</v>
      </c>
      <c r="G19" s="138">
        <v>7.0000000000000007E-2</v>
      </c>
      <c r="H19" s="138">
        <v>7.0000000000000007E-2</v>
      </c>
      <c r="I19" s="138">
        <v>7.0000000000000007E-2</v>
      </c>
      <c r="J19" s="138">
        <v>7.0000000000000007E-2</v>
      </c>
      <c r="K19" s="138">
        <v>7.0000000000000007E-2</v>
      </c>
      <c r="L19" s="138">
        <v>7.0000000000000007E-2</v>
      </c>
      <c r="M19" s="138">
        <v>7.0000000000000007E-2</v>
      </c>
      <c r="N19" s="138">
        <v>7.0000000000000007E-2</v>
      </c>
      <c r="O19" s="138">
        <v>7.0000000000000007E-2</v>
      </c>
      <c r="P19" s="138">
        <v>7.0000000000000007E-2</v>
      </c>
      <c r="Q19" s="138">
        <v>7.0000000000000007E-2</v>
      </c>
      <c r="R19" s="138">
        <v>7.0000000000000007E-2</v>
      </c>
      <c r="S19" s="138">
        <v>7.0000000000000007E-2</v>
      </c>
      <c r="T19" s="138">
        <v>7.0000000000000007E-2</v>
      </c>
      <c r="U19" s="138">
        <v>7.0000000000000007E-2</v>
      </c>
      <c r="V19" s="138">
        <v>7.0000000000000007E-2</v>
      </c>
      <c r="W19" s="138">
        <v>7.0000000000000007E-2</v>
      </c>
      <c r="X19" s="138">
        <v>7.0000000000000007E-2</v>
      </c>
      <c r="Y19" s="138">
        <v>7.0000000000000007E-2</v>
      </c>
      <c r="Z19" s="138">
        <v>7.0000000000000007E-2</v>
      </c>
      <c r="AA19" s="138">
        <v>7.0000000000000007E-2</v>
      </c>
      <c r="AB19" s="138">
        <v>7.0000000000000007E-2</v>
      </c>
      <c r="AC19" s="138">
        <v>7.0000000000000007E-2</v>
      </c>
      <c r="AD19" s="138">
        <v>7.0000000000000007E-2</v>
      </c>
      <c r="AE19" s="138">
        <v>7.0000000000000007E-2</v>
      </c>
      <c r="AF19" s="138">
        <v>7.0000000000000007E-2</v>
      </c>
      <c r="AG19" s="138">
        <v>7.0000000000000007E-2</v>
      </c>
      <c r="AH19" s="138">
        <v>7.0000000000000007E-2</v>
      </c>
      <c r="AI19" s="138">
        <v>7.0000000000000007E-2</v>
      </c>
      <c r="AJ19" s="138">
        <v>7.0000000000000007E-2</v>
      </c>
      <c r="AK19" s="138">
        <v>7.0000000000000007E-2</v>
      </c>
      <c r="AL19" s="116"/>
      <c r="AM19" s="116"/>
      <c r="AN19" s="116"/>
      <c r="AO19" s="116"/>
      <c r="AP19" s="116"/>
    </row>
    <row r="20" spans="1:42" ht="13.2" x14ac:dyDescent="0.25">
      <c r="A20" s="139"/>
      <c r="B20" s="140"/>
      <c r="C20" s="126"/>
      <c r="D20" s="141"/>
      <c r="E20" s="149"/>
      <c r="F20" s="139"/>
      <c r="G20" s="141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43"/>
      <c r="AM20" s="143"/>
      <c r="AN20" s="143"/>
      <c r="AO20" s="143"/>
      <c r="AP20" s="143"/>
    </row>
    <row r="21" spans="1:42" ht="13.2" x14ac:dyDescent="0.25">
      <c r="A21" s="76"/>
      <c r="B21" s="150" t="s">
        <v>162</v>
      </c>
      <c r="C21" s="151"/>
      <c r="D21" s="152"/>
      <c r="E21" s="153"/>
      <c r="F21" s="154"/>
      <c r="G21" s="153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76"/>
      <c r="AF21" s="76"/>
      <c r="AG21" s="76"/>
      <c r="AH21" s="76"/>
      <c r="AI21" s="76"/>
      <c r="AJ21" s="76"/>
      <c r="AK21" s="76"/>
      <c r="AL21" s="124"/>
      <c r="AM21" s="124"/>
      <c r="AN21" s="124"/>
      <c r="AO21" s="124"/>
      <c r="AP21" s="124"/>
    </row>
    <row r="22" spans="1:42" ht="13.2" x14ac:dyDescent="0.25">
      <c r="A22" s="71"/>
      <c r="B22" s="125"/>
      <c r="C22" s="126"/>
      <c r="D22" s="155"/>
      <c r="E22" s="126"/>
      <c r="F22" s="71"/>
      <c r="G22" s="73"/>
      <c r="H22" s="71"/>
      <c r="I22" s="71"/>
      <c r="J22" s="71"/>
      <c r="K22" s="71"/>
      <c r="L22" s="71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71"/>
      <c r="AF22" s="71"/>
      <c r="AG22" s="71"/>
      <c r="AH22" s="71"/>
      <c r="AI22" s="71"/>
      <c r="AJ22" s="71"/>
      <c r="AK22" s="71"/>
      <c r="AL22" s="124"/>
      <c r="AM22" s="124"/>
      <c r="AN22" s="124"/>
      <c r="AO22" s="124"/>
      <c r="AP22" s="124"/>
    </row>
    <row r="23" spans="1:42" ht="13.2" x14ac:dyDescent="0.25">
      <c r="A23" s="71"/>
      <c r="B23" s="77" t="s">
        <v>163</v>
      </c>
      <c r="C23" s="157"/>
      <c r="D23" s="158"/>
      <c r="E23" s="157"/>
      <c r="F23" s="76"/>
      <c r="G23" s="78"/>
      <c r="H23" s="76"/>
      <c r="I23" s="76"/>
      <c r="J23" s="76"/>
      <c r="K23" s="76"/>
      <c r="L23" s="76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76"/>
      <c r="AF23" s="76"/>
      <c r="AG23" s="76"/>
      <c r="AH23" s="76"/>
      <c r="AI23" s="76"/>
      <c r="AJ23" s="76"/>
      <c r="AK23" s="76"/>
      <c r="AL23" s="124"/>
      <c r="AM23" s="124"/>
      <c r="AN23" s="124"/>
      <c r="AO23" s="124"/>
      <c r="AP23" s="124"/>
    </row>
    <row r="24" spans="1:42" ht="13.2" x14ac:dyDescent="0.25">
      <c r="A24" s="71"/>
      <c r="B24" s="160"/>
      <c r="C24" s="126"/>
      <c r="D24" s="126"/>
      <c r="E24" s="126"/>
      <c r="F24" s="71"/>
      <c r="G24" s="73"/>
      <c r="H24" s="71"/>
      <c r="I24" s="71"/>
      <c r="J24" s="71"/>
      <c r="K24" s="71"/>
      <c r="L24" s="71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71"/>
      <c r="AF24" s="71"/>
      <c r="AG24" s="71"/>
      <c r="AH24" s="71"/>
      <c r="AI24" s="71"/>
      <c r="AJ24" s="71"/>
      <c r="AK24" s="71"/>
      <c r="AL24" s="124"/>
      <c r="AM24" s="124"/>
      <c r="AN24" s="124"/>
      <c r="AO24" s="124"/>
      <c r="AP24" s="124"/>
    </row>
    <row r="25" spans="1:42" ht="13.2" x14ac:dyDescent="0.25">
      <c r="A25" s="71"/>
      <c r="B25" s="160" t="s">
        <v>51</v>
      </c>
      <c r="C25" s="126"/>
      <c r="D25" s="126"/>
      <c r="F25" s="71"/>
      <c r="G25" s="73"/>
      <c r="H25" s="73"/>
      <c r="I25" s="73"/>
      <c r="J25" s="73"/>
      <c r="K25" s="73"/>
      <c r="L25" s="73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73"/>
      <c r="AF25" s="73"/>
      <c r="AG25" s="73"/>
      <c r="AH25" s="73"/>
      <c r="AI25" s="73"/>
      <c r="AJ25" s="73"/>
      <c r="AK25" s="73"/>
      <c r="AL25" s="124"/>
      <c r="AM25" s="124"/>
      <c r="AN25" s="124"/>
      <c r="AO25" s="124"/>
      <c r="AP25" s="124"/>
    </row>
    <row r="26" spans="1:42" ht="13.2" x14ac:dyDescent="0.25">
      <c r="A26" s="71"/>
      <c r="B26" s="162" t="s">
        <v>164</v>
      </c>
      <c r="C26" s="126" t="s">
        <v>165</v>
      </c>
      <c r="D26" s="126"/>
      <c r="E26" s="126"/>
      <c r="F26" s="126"/>
      <c r="G26" s="163">
        <f>'Active Users'!C5</f>
        <v>0</v>
      </c>
      <c r="H26" s="163">
        <f>'Active Users'!D5</f>
        <v>57</v>
      </c>
      <c r="I26" s="163">
        <f>'Active Users'!E5</f>
        <v>57</v>
      </c>
      <c r="J26" s="163">
        <f>'Active Users'!F5</f>
        <v>0</v>
      </c>
      <c r="K26" s="163">
        <f>'Active Users'!G5</f>
        <v>0</v>
      </c>
      <c r="L26" s="163">
        <f>'Active Users'!H5</f>
        <v>57</v>
      </c>
      <c r="M26" s="163">
        <f>'Active Users'!I5</f>
        <v>57</v>
      </c>
      <c r="N26" s="163">
        <f>'Active Users'!J5</f>
        <v>0</v>
      </c>
      <c r="O26" s="163">
        <f>'Active Users'!K5</f>
        <v>0</v>
      </c>
      <c r="P26" s="163">
        <f>'Active Users'!L5</f>
        <v>148</v>
      </c>
      <c r="Q26" s="163">
        <f>'Active Users'!M5</f>
        <v>148</v>
      </c>
      <c r="R26" s="163">
        <f>'Active Users'!N5</f>
        <v>0</v>
      </c>
      <c r="S26" s="163">
        <f>'Active Users'!O5</f>
        <v>0</v>
      </c>
      <c r="T26" s="163">
        <f>'Active Users'!P5</f>
        <v>1584</v>
      </c>
      <c r="U26" s="163">
        <f>'Active Users'!Q5</f>
        <v>1584</v>
      </c>
      <c r="V26" s="163">
        <f>'Active Users'!R5</f>
        <v>0</v>
      </c>
      <c r="W26" s="163">
        <f>'Active Users'!S5</f>
        <v>0</v>
      </c>
      <c r="X26" s="163">
        <f>'Active Users'!T5</f>
        <v>1584</v>
      </c>
      <c r="Y26" s="163">
        <f>'Active Users'!U5</f>
        <v>1584</v>
      </c>
      <c r="Z26" s="163">
        <f>'Active Users'!V5</f>
        <v>0</v>
      </c>
      <c r="AA26" s="163">
        <f>'Active Users'!W5</f>
        <v>0</v>
      </c>
      <c r="AB26" s="163">
        <f>'Active Users'!X5</f>
        <v>6698</v>
      </c>
      <c r="AC26" s="163">
        <f>'Active Users'!Y5</f>
        <v>6698</v>
      </c>
      <c r="AD26" s="163">
        <f>'Active Users'!Z5</f>
        <v>0</v>
      </c>
      <c r="AE26" s="163">
        <f>'Active Users'!AA5</f>
        <v>0</v>
      </c>
      <c r="AF26" s="163">
        <f>'Active Users'!AB5</f>
        <v>7415</v>
      </c>
      <c r="AG26" s="163">
        <f>'Active Users'!AC5</f>
        <v>7415</v>
      </c>
      <c r="AH26" s="163">
        <f>'Active Users'!AD5</f>
        <v>0</v>
      </c>
      <c r="AI26" s="163">
        <f>'Active Users'!AE5</f>
        <v>0</v>
      </c>
      <c r="AJ26" s="163">
        <f>'Active Users'!AF5</f>
        <v>29665</v>
      </c>
      <c r="AK26" s="163">
        <f>'Active Users'!AG5</f>
        <v>29665</v>
      </c>
      <c r="AL26" s="124"/>
      <c r="AM26" s="124"/>
      <c r="AN26" s="124"/>
      <c r="AO26" s="124"/>
      <c r="AP26" s="124"/>
    </row>
    <row r="27" spans="1:42" ht="13.2" x14ac:dyDescent="0.25">
      <c r="A27" s="164"/>
      <c r="B27" s="165" t="s">
        <v>166</v>
      </c>
      <c r="C27" s="166" t="s">
        <v>167</v>
      </c>
      <c r="D27" s="166"/>
      <c r="E27" s="166"/>
      <c r="F27" s="164"/>
      <c r="G27" s="166">
        <v>0</v>
      </c>
      <c r="H27" s="166">
        <v>0</v>
      </c>
      <c r="I27" s="166">
        <v>0</v>
      </c>
      <c r="J27" s="166">
        <v>0</v>
      </c>
      <c r="K27" s="166">
        <v>0</v>
      </c>
      <c r="L27" s="166">
        <v>9</v>
      </c>
      <c r="M27" s="166">
        <v>9</v>
      </c>
      <c r="N27" s="166">
        <v>0</v>
      </c>
      <c r="O27" s="166">
        <v>0</v>
      </c>
      <c r="P27" s="167">
        <f>L27*($F$5-$F$17+1)</f>
        <v>9.4139999999999997</v>
      </c>
      <c r="Q27" s="167">
        <f>P27</f>
        <v>9.4139999999999997</v>
      </c>
      <c r="R27" s="166">
        <v>0</v>
      </c>
      <c r="S27" s="166">
        <v>0</v>
      </c>
      <c r="T27" s="167">
        <f>P27*($F$5-$F$17+1)</f>
        <v>9.8470440000000004</v>
      </c>
      <c r="U27" s="167">
        <f>T27</f>
        <v>9.8470440000000004</v>
      </c>
      <c r="V27" s="166">
        <v>0</v>
      </c>
      <c r="W27" s="166">
        <v>0</v>
      </c>
      <c r="X27" s="167">
        <f>T27*($F$5-$F$17+1)</f>
        <v>10.300008024</v>
      </c>
      <c r="Y27" s="167">
        <f>X27</f>
        <v>10.300008024</v>
      </c>
      <c r="Z27" s="166">
        <v>0</v>
      </c>
      <c r="AA27" s="166">
        <v>0</v>
      </c>
      <c r="AB27" s="167">
        <f>X27*($F$5-$F$17+1)</f>
        <v>10.773808393104</v>
      </c>
      <c r="AC27" s="167">
        <f>AB27</f>
        <v>10.773808393104</v>
      </c>
      <c r="AD27" s="166">
        <v>0</v>
      </c>
      <c r="AE27" s="166">
        <v>0</v>
      </c>
      <c r="AF27" s="167">
        <f>AB27*($F$5-$F$17+1)</f>
        <v>11.269403579186784</v>
      </c>
      <c r="AG27" s="167">
        <f>AF27</f>
        <v>11.269403579186784</v>
      </c>
      <c r="AH27" s="166">
        <v>0</v>
      </c>
      <c r="AI27" s="166">
        <v>0</v>
      </c>
      <c r="AJ27" s="167">
        <f>AF27*($F$5-$F$17+1)</f>
        <v>11.787796143829377</v>
      </c>
      <c r="AK27" s="167">
        <f>AJ27</f>
        <v>11.787796143829377</v>
      </c>
      <c r="AL27" s="168"/>
      <c r="AM27" s="168"/>
      <c r="AN27" s="168"/>
      <c r="AO27" s="168"/>
      <c r="AP27" s="168"/>
    </row>
    <row r="28" spans="1:42" ht="13.2" x14ac:dyDescent="0.25">
      <c r="A28" s="164"/>
      <c r="B28" s="165" t="s">
        <v>168</v>
      </c>
      <c r="C28" s="166" t="s">
        <v>167</v>
      </c>
      <c r="D28" s="166"/>
      <c r="E28" s="166"/>
      <c r="F28" s="164"/>
      <c r="G28" s="167">
        <f t="shared" ref="G28:AK28" si="6">G26*G27</f>
        <v>0</v>
      </c>
      <c r="H28" s="167">
        <f t="shared" si="6"/>
        <v>0</v>
      </c>
      <c r="I28" s="167">
        <f t="shared" si="6"/>
        <v>0</v>
      </c>
      <c r="J28" s="167">
        <f t="shared" si="6"/>
        <v>0</v>
      </c>
      <c r="K28" s="167">
        <f t="shared" si="6"/>
        <v>0</v>
      </c>
      <c r="L28" s="167">
        <f t="shared" si="6"/>
        <v>513</v>
      </c>
      <c r="M28" s="167">
        <f t="shared" si="6"/>
        <v>513</v>
      </c>
      <c r="N28" s="167">
        <f t="shared" si="6"/>
        <v>0</v>
      </c>
      <c r="O28" s="167">
        <f t="shared" si="6"/>
        <v>0</v>
      </c>
      <c r="P28" s="167">
        <f t="shared" si="6"/>
        <v>1393.2719999999999</v>
      </c>
      <c r="Q28" s="167">
        <f t="shared" si="6"/>
        <v>1393.2719999999999</v>
      </c>
      <c r="R28" s="167">
        <f t="shared" si="6"/>
        <v>0</v>
      </c>
      <c r="S28" s="167">
        <f t="shared" si="6"/>
        <v>0</v>
      </c>
      <c r="T28" s="167">
        <f t="shared" si="6"/>
        <v>15597.717696</v>
      </c>
      <c r="U28" s="167">
        <f t="shared" si="6"/>
        <v>15597.717696</v>
      </c>
      <c r="V28" s="167">
        <f t="shared" si="6"/>
        <v>0</v>
      </c>
      <c r="W28" s="167">
        <f t="shared" si="6"/>
        <v>0</v>
      </c>
      <c r="X28" s="167">
        <f t="shared" si="6"/>
        <v>16315.212710016</v>
      </c>
      <c r="Y28" s="167">
        <f t="shared" si="6"/>
        <v>16315.212710016</v>
      </c>
      <c r="Z28" s="167">
        <f t="shared" si="6"/>
        <v>0</v>
      </c>
      <c r="AA28" s="167">
        <f t="shared" si="6"/>
        <v>0</v>
      </c>
      <c r="AB28" s="167">
        <f t="shared" si="6"/>
        <v>72162.968617010585</v>
      </c>
      <c r="AC28" s="167">
        <f t="shared" si="6"/>
        <v>72162.968617010585</v>
      </c>
      <c r="AD28" s="167">
        <f t="shared" si="6"/>
        <v>0</v>
      </c>
      <c r="AE28" s="167">
        <f t="shared" si="6"/>
        <v>0</v>
      </c>
      <c r="AF28" s="167">
        <f t="shared" si="6"/>
        <v>83562.627539670008</v>
      </c>
      <c r="AG28" s="167">
        <f t="shared" si="6"/>
        <v>83562.627539670008</v>
      </c>
      <c r="AH28" s="167">
        <f t="shared" si="6"/>
        <v>0</v>
      </c>
      <c r="AI28" s="167">
        <f t="shared" si="6"/>
        <v>0</v>
      </c>
      <c r="AJ28" s="167">
        <f t="shared" si="6"/>
        <v>349684.97260669846</v>
      </c>
      <c r="AK28" s="167">
        <f t="shared" si="6"/>
        <v>349684.97260669846</v>
      </c>
      <c r="AL28" s="168"/>
      <c r="AM28" s="168"/>
      <c r="AN28" s="168"/>
      <c r="AO28" s="168"/>
      <c r="AP28" s="168"/>
    </row>
    <row r="29" spans="1:42" ht="51" customHeight="1" x14ac:dyDescent="0.25">
      <c r="A29" s="169"/>
      <c r="B29" s="170" t="s">
        <v>169</v>
      </c>
      <c r="C29" s="171"/>
      <c r="D29" s="171"/>
      <c r="E29" s="171"/>
      <c r="F29" s="169"/>
      <c r="G29" s="172">
        <f>'Active Users'!C9</f>
        <v>0</v>
      </c>
      <c r="H29" s="172" t="str">
        <f>'Active Users'!D9</f>
        <v>Economic faculty (EF) of Donja Gorica</v>
      </c>
      <c r="I29" s="172" t="str">
        <f>'Active Users'!E9</f>
        <v xml:space="preserve"> </v>
      </c>
      <c r="J29" s="172">
        <f>'Active Users'!F9</f>
        <v>0</v>
      </c>
      <c r="K29" s="172">
        <f>'Active Users'!G9</f>
        <v>0</v>
      </c>
      <c r="L29" s="172">
        <f>'Active Users'!H9</f>
        <v>0</v>
      </c>
      <c r="M29" s="172">
        <f>'Active Users'!I9</f>
        <v>0</v>
      </c>
      <c r="N29" s="172">
        <f>'Active Users'!J9</f>
        <v>0</v>
      </c>
      <c r="O29" s="172">
        <f>'Active Users'!K9</f>
        <v>0</v>
      </c>
      <c r="P29" s="172" t="str">
        <f>'Active Users'!L9</f>
        <v>EF of Donja Gorica, EF of Mediteran Podgorica</v>
      </c>
      <c r="Q29" s="172">
        <f>'Active Users'!M9</f>
        <v>0</v>
      </c>
      <c r="R29" s="172">
        <f>'Active Users'!N9</f>
        <v>0</v>
      </c>
      <c r="S29" s="172">
        <f>'Active Users'!O9</f>
        <v>0</v>
      </c>
      <c r="T29" s="172" t="str">
        <f>'Active Users'!P9</f>
        <v>All Donja Gorica, all Mediteran Podgorica, and EF of Univ. Crne Gore</v>
      </c>
      <c r="U29" s="172">
        <f>'Active Users'!Q9</f>
        <v>0</v>
      </c>
      <c r="V29" s="172">
        <f>'Active Users'!R9</f>
        <v>0</v>
      </c>
      <c r="W29" s="172">
        <f>'Active Users'!S9</f>
        <v>0</v>
      </c>
      <c r="X29" s="172">
        <f>'Active Users'!T9</f>
        <v>0</v>
      </c>
      <c r="Y29" s="172">
        <f>'Active Users'!U9</f>
        <v>0</v>
      </c>
      <c r="Z29" s="172">
        <f>'Active Users'!V9</f>
        <v>0</v>
      </c>
      <c r="AA29" s="172">
        <f>'Active Users'!W9</f>
        <v>0</v>
      </c>
      <c r="AB29" s="172" t="str">
        <f>'Active Users'!X9</f>
        <v>All Donja Gorica, all Mediteran Podgorica, all Univ. Crne Gore</v>
      </c>
      <c r="AC29" s="172">
        <f>'Active Users'!Y9</f>
        <v>0</v>
      </c>
      <c r="AD29" s="172">
        <f>'Active Users'!Z9</f>
        <v>0</v>
      </c>
      <c r="AE29" s="172">
        <f>'Active Users'!AA9</f>
        <v>0</v>
      </c>
      <c r="AF29" s="172" t="str">
        <f>'Active Users'!AB9</f>
        <v>All Donja Gorica, Mediteran Podgorica, Univ. Crne Gore. EF of Univ. of Belgrade</v>
      </c>
      <c r="AG29" s="172">
        <f>'Active Users'!AC9</f>
        <v>0</v>
      </c>
      <c r="AH29" s="172">
        <f>'Active Users'!AD9</f>
        <v>0</v>
      </c>
      <c r="AI29" s="172">
        <f>'Active Users'!AE9</f>
        <v>0</v>
      </c>
      <c r="AJ29" s="172" t="str">
        <f>'Active Users'!AF9</f>
        <v>All Donja Gorica, Mediteran Podgorica, Univ. Crne Gore, Univ. of Belgrade</v>
      </c>
      <c r="AK29" s="172">
        <f>'Active Users'!AG9</f>
        <v>0</v>
      </c>
      <c r="AL29" s="173"/>
      <c r="AM29" s="173"/>
      <c r="AN29" s="173"/>
      <c r="AO29" s="173"/>
      <c r="AP29" s="173"/>
    </row>
    <row r="30" spans="1:42" ht="13.2" x14ac:dyDescent="0.25">
      <c r="A30" s="71"/>
      <c r="B30" s="160"/>
      <c r="C30" s="126"/>
      <c r="D30" s="126"/>
      <c r="E30" s="126"/>
      <c r="F30" s="71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  <c r="AA30" s="174"/>
      <c r="AB30" s="174"/>
      <c r="AC30" s="174"/>
      <c r="AD30" s="174"/>
      <c r="AE30" s="174"/>
      <c r="AF30" s="174"/>
      <c r="AG30" s="174"/>
      <c r="AH30" s="174"/>
      <c r="AI30" s="174"/>
      <c r="AJ30" s="174"/>
      <c r="AK30" s="174"/>
      <c r="AL30" s="124"/>
      <c r="AM30" s="124"/>
      <c r="AN30" s="124"/>
      <c r="AO30" s="124"/>
      <c r="AP30" s="124"/>
    </row>
    <row r="31" spans="1:42" ht="13.2" x14ac:dyDescent="0.25">
      <c r="A31" s="175"/>
      <c r="B31" s="176" t="s">
        <v>64</v>
      </c>
      <c r="C31" s="177"/>
      <c r="D31" s="177"/>
      <c r="E31" s="177"/>
      <c r="F31" s="175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  <c r="AC31" s="178"/>
      <c r="AD31" s="178"/>
      <c r="AE31" s="178"/>
      <c r="AF31" s="178"/>
      <c r="AG31" s="178"/>
      <c r="AH31" s="178"/>
      <c r="AI31" s="178"/>
      <c r="AJ31" s="178"/>
      <c r="AK31" s="178"/>
      <c r="AL31" s="124"/>
      <c r="AM31" s="124"/>
      <c r="AN31" s="124"/>
      <c r="AO31" s="124"/>
      <c r="AP31" s="124"/>
    </row>
    <row r="32" spans="1:42" ht="13.2" x14ac:dyDescent="0.25">
      <c r="A32" s="175"/>
      <c r="B32" s="179" t="s">
        <v>164</v>
      </c>
      <c r="C32" s="177" t="s">
        <v>165</v>
      </c>
      <c r="D32" s="177"/>
      <c r="E32" s="177"/>
      <c r="F32" s="175"/>
      <c r="G32" s="180">
        <f>'Active Users'!C11</f>
        <v>50</v>
      </c>
      <c r="H32" s="180">
        <f>'Active Users'!D11</f>
        <v>186.5</v>
      </c>
      <c r="I32" s="180">
        <f>'Active Users'!E11</f>
        <v>186.5</v>
      </c>
      <c r="J32" s="180">
        <f>'Active Users'!F11</f>
        <v>186.5</v>
      </c>
      <c r="K32" s="180">
        <f>'Active Users'!G11</f>
        <v>186.5</v>
      </c>
      <c r="L32" s="180">
        <f>'Active Users'!H11</f>
        <v>1415</v>
      </c>
      <c r="M32" s="180">
        <f>'Active Users'!I11</f>
        <v>1415</v>
      </c>
      <c r="N32" s="180">
        <f>'Active Users'!J11</f>
        <v>1415</v>
      </c>
      <c r="O32" s="180">
        <f>'Active Users'!K11</f>
        <v>1415</v>
      </c>
      <c r="P32" s="180">
        <f>'Active Users'!L11</f>
        <v>6308.5</v>
      </c>
      <c r="Q32" s="180">
        <f>'Active Users'!M11</f>
        <v>6308.5</v>
      </c>
      <c r="R32" s="180">
        <f>'Active Users'!N11</f>
        <v>6308.5</v>
      </c>
      <c r="S32" s="180">
        <f>'Active Users'!O11</f>
        <v>6308.5</v>
      </c>
      <c r="T32" s="180">
        <f>'Active Users'!P11</f>
        <v>6951</v>
      </c>
      <c r="U32" s="180">
        <f>'Active Users'!Q11</f>
        <v>6951</v>
      </c>
      <c r="V32" s="180">
        <f>'Active Users'!R11</f>
        <v>6951</v>
      </c>
      <c r="W32" s="180">
        <f>'Active Users'!S11</f>
        <v>6951</v>
      </c>
      <c r="X32" s="180">
        <f>'Active Users'!T11</f>
        <v>12733.5</v>
      </c>
      <c r="Y32" s="180">
        <f>'Active Users'!U11</f>
        <v>12733.5</v>
      </c>
      <c r="Z32" s="180">
        <f>'Active Users'!V11</f>
        <v>12733.5</v>
      </c>
      <c r="AA32" s="180">
        <f>'Active Users'!W11</f>
        <v>12733.5</v>
      </c>
      <c r="AB32" s="180">
        <f>'Active Users'!X11</f>
        <v>19158.5</v>
      </c>
      <c r="AC32" s="180">
        <f>'Active Users'!Y11</f>
        <v>19158.5</v>
      </c>
      <c r="AD32" s="180">
        <f>'Active Users'!Z11</f>
        <v>19158.5</v>
      </c>
      <c r="AE32" s="180">
        <f>'Active Users'!AA11</f>
        <v>19158.5</v>
      </c>
      <c r="AF32" s="180">
        <f>'Active Users'!AB11</f>
        <v>25583.5</v>
      </c>
      <c r="AG32" s="180">
        <f>'Active Users'!AC11</f>
        <v>25583.5</v>
      </c>
      <c r="AH32" s="180">
        <f>'Active Users'!AD11</f>
        <v>25583.5</v>
      </c>
      <c r="AI32" s="180">
        <f>'Active Users'!AE11</f>
        <v>25583.5</v>
      </c>
      <c r="AJ32" s="180">
        <f>'Active Users'!AF11</f>
        <v>32008.5</v>
      </c>
      <c r="AK32" s="180">
        <f>'Active Users'!AG11</f>
        <v>32008.5</v>
      </c>
      <c r="AL32" s="124"/>
      <c r="AM32" s="124"/>
      <c r="AN32" s="124"/>
      <c r="AO32" s="124"/>
      <c r="AP32" s="124"/>
    </row>
    <row r="33" spans="1:42" ht="13.2" x14ac:dyDescent="0.25">
      <c r="A33" s="181"/>
      <c r="B33" s="182" t="s">
        <v>166</v>
      </c>
      <c r="C33" s="183" t="s">
        <v>167</v>
      </c>
      <c r="D33" s="183"/>
      <c r="E33" s="183"/>
      <c r="F33" s="181"/>
      <c r="G33" s="183">
        <v>0</v>
      </c>
      <c r="H33" s="183">
        <v>2.4</v>
      </c>
      <c r="I33" s="183">
        <v>2.4</v>
      </c>
      <c r="J33" s="183">
        <v>2.4</v>
      </c>
      <c r="K33" s="183">
        <v>2.4</v>
      </c>
      <c r="L33" s="184">
        <f>H33*($F$5-$F$17+1)</f>
        <v>2.5104000000000002</v>
      </c>
      <c r="M33" s="184">
        <f t="shared" ref="M33:O33" si="7">L33</f>
        <v>2.5104000000000002</v>
      </c>
      <c r="N33" s="184">
        <f t="shared" si="7"/>
        <v>2.5104000000000002</v>
      </c>
      <c r="O33" s="184">
        <f t="shared" si="7"/>
        <v>2.5104000000000002</v>
      </c>
      <c r="P33" s="184">
        <f>L33*($F$5-$F$17+1)</f>
        <v>2.6258784000000004</v>
      </c>
      <c r="Q33" s="184">
        <f t="shared" ref="Q33:S33" si="8">P33</f>
        <v>2.6258784000000004</v>
      </c>
      <c r="R33" s="184">
        <f t="shared" si="8"/>
        <v>2.6258784000000004</v>
      </c>
      <c r="S33" s="184">
        <f t="shared" si="8"/>
        <v>2.6258784000000004</v>
      </c>
      <c r="T33" s="184">
        <f>P33*($F$5-$F$17+1)</f>
        <v>2.7466688064000007</v>
      </c>
      <c r="U33" s="184">
        <f t="shared" ref="U33:W33" si="9">T33</f>
        <v>2.7466688064000007</v>
      </c>
      <c r="V33" s="184">
        <f t="shared" si="9"/>
        <v>2.7466688064000007</v>
      </c>
      <c r="W33" s="184">
        <f t="shared" si="9"/>
        <v>2.7466688064000007</v>
      </c>
      <c r="X33" s="184">
        <f>T33*($F$5-$F$17+1)</f>
        <v>2.8730155714944008</v>
      </c>
      <c r="Y33" s="184">
        <f t="shared" ref="Y33:AA33" si="10">X33</f>
        <v>2.8730155714944008</v>
      </c>
      <c r="Z33" s="184">
        <f t="shared" si="10"/>
        <v>2.8730155714944008</v>
      </c>
      <c r="AA33" s="184">
        <f t="shared" si="10"/>
        <v>2.8730155714944008</v>
      </c>
      <c r="AB33" s="184">
        <f>X33*($F$5-$F$17+1)</f>
        <v>3.0051742877831433</v>
      </c>
      <c r="AC33" s="184">
        <f t="shared" ref="AC33:AE33" si="11">AB33</f>
        <v>3.0051742877831433</v>
      </c>
      <c r="AD33" s="184">
        <f t="shared" si="11"/>
        <v>3.0051742877831433</v>
      </c>
      <c r="AE33" s="184">
        <f t="shared" si="11"/>
        <v>3.0051742877831433</v>
      </c>
      <c r="AF33" s="184">
        <f>AB33*($F$5-$F$17+1)</f>
        <v>3.143412305021168</v>
      </c>
      <c r="AG33" s="184">
        <f t="shared" ref="AG33:AI33" si="12">AF33</f>
        <v>3.143412305021168</v>
      </c>
      <c r="AH33" s="184">
        <f t="shared" si="12"/>
        <v>3.143412305021168</v>
      </c>
      <c r="AI33" s="184">
        <f t="shared" si="12"/>
        <v>3.143412305021168</v>
      </c>
      <c r="AJ33" s="184">
        <f>AF33*($F$5-$F$17+1)</f>
        <v>3.2880092710521418</v>
      </c>
      <c r="AK33" s="184">
        <f>AJ33</f>
        <v>3.2880092710521418</v>
      </c>
      <c r="AL33" s="168"/>
      <c r="AM33" s="168"/>
      <c r="AN33" s="168"/>
      <c r="AO33" s="168"/>
      <c r="AP33" s="168"/>
    </row>
    <row r="34" spans="1:42" ht="13.2" x14ac:dyDescent="0.25">
      <c r="A34" s="181"/>
      <c r="B34" s="182" t="s">
        <v>168</v>
      </c>
      <c r="C34" s="183" t="s">
        <v>167</v>
      </c>
      <c r="D34" s="183"/>
      <c r="E34" s="183"/>
      <c r="F34" s="181"/>
      <c r="G34" s="184">
        <f t="shared" ref="G34:AK34" si="13">G32*G33</f>
        <v>0</v>
      </c>
      <c r="H34" s="184">
        <f t="shared" si="13"/>
        <v>447.59999999999997</v>
      </c>
      <c r="I34" s="184">
        <f t="shared" si="13"/>
        <v>447.59999999999997</v>
      </c>
      <c r="J34" s="184">
        <f t="shared" si="13"/>
        <v>447.59999999999997</v>
      </c>
      <c r="K34" s="184">
        <f t="shared" si="13"/>
        <v>447.59999999999997</v>
      </c>
      <c r="L34" s="184">
        <f t="shared" si="13"/>
        <v>3552.2160000000003</v>
      </c>
      <c r="M34" s="184">
        <f t="shared" si="13"/>
        <v>3552.2160000000003</v>
      </c>
      <c r="N34" s="184">
        <f t="shared" si="13"/>
        <v>3552.2160000000003</v>
      </c>
      <c r="O34" s="184">
        <f t="shared" si="13"/>
        <v>3552.2160000000003</v>
      </c>
      <c r="P34" s="184">
        <f t="shared" si="13"/>
        <v>16565.353886400004</v>
      </c>
      <c r="Q34" s="184">
        <f t="shared" si="13"/>
        <v>16565.353886400004</v>
      </c>
      <c r="R34" s="184">
        <f t="shared" si="13"/>
        <v>16565.353886400004</v>
      </c>
      <c r="S34" s="184">
        <f t="shared" si="13"/>
        <v>16565.353886400004</v>
      </c>
      <c r="T34" s="184">
        <f t="shared" si="13"/>
        <v>19092.094873286405</v>
      </c>
      <c r="U34" s="184">
        <f t="shared" si="13"/>
        <v>19092.094873286405</v>
      </c>
      <c r="V34" s="184">
        <f t="shared" si="13"/>
        <v>19092.094873286405</v>
      </c>
      <c r="W34" s="184">
        <f t="shared" si="13"/>
        <v>19092.094873286405</v>
      </c>
      <c r="X34" s="184">
        <f t="shared" si="13"/>
        <v>36583.543779623949</v>
      </c>
      <c r="Y34" s="184">
        <f t="shared" si="13"/>
        <v>36583.543779623949</v>
      </c>
      <c r="Z34" s="184">
        <f t="shared" si="13"/>
        <v>36583.543779623949</v>
      </c>
      <c r="AA34" s="184">
        <f t="shared" si="13"/>
        <v>36583.543779623949</v>
      </c>
      <c r="AB34" s="184">
        <f t="shared" si="13"/>
        <v>57574.631592493351</v>
      </c>
      <c r="AC34" s="184">
        <f t="shared" si="13"/>
        <v>57574.631592493351</v>
      </c>
      <c r="AD34" s="184">
        <f t="shared" si="13"/>
        <v>57574.631592493351</v>
      </c>
      <c r="AE34" s="184">
        <f t="shared" si="13"/>
        <v>57574.631592493351</v>
      </c>
      <c r="AF34" s="184">
        <f t="shared" si="13"/>
        <v>80419.488705509051</v>
      </c>
      <c r="AG34" s="184">
        <f t="shared" si="13"/>
        <v>80419.488705509051</v>
      </c>
      <c r="AH34" s="184">
        <f t="shared" si="13"/>
        <v>80419.488705509051</v>
      </c>
      <c r="AI34" s="184">
        <f t="shared" si="13"/>
        <v>80419.488705509051</v>
      </c>
      <c r="AJ34" s="184">
        <f t="shared" si="13"/>
        <v>105244.24475247248</v>
      </c>
      <c r="AK34" s="184">
        <f t="shared" si="13"/>
        <v>105244.24475247248</v>
      </c>
      <c r="AL34" s="168"/>
      <c r="AM34" s="168"/>
      <c r="AN34" s="168"/>
      <c r="AO34" s="168"/>
      <c r="AP34" s="168"/>
    </row>
    <row r="35" spans="1:42" ht="51" customHeight="1" x14ac:dyDescent="0.25">
      <c r="A35" s="185"/>
      <c r="B35" s="186" t="s">
        <v>169</v>
      </c>
      <c r="C35" s="186"/>
      <c r="D35" s="186"/>
      <c r="E35" s="186"/>
      <c r="F35" s="185"/>
      <c r="G35" s="187" t="str">
        <f>'Active Users'!C15</f>
        <v>Test group at the end of the year</v>
      </c>
      <c r="H35" s="187" t="str">
        <f>'Active Users'!D15</f>
        <v>1 school from Sep (46 schools, 25 727 studentsi in sum)</v>
      </c>
      <c r="I35" s="187">
        <f>'Active Users'!E15</f>
        <v>0</v>
      </c>
      <c r="J35" s="187">
        <f>'Active Users'!F15</f>
        <v>0</v>
      </c>
      <c r="K35" s="187">
        <f>'Active Users'!G15</f>
        <v>0</v>
      </c>
      <c r="L35" s="187" t="str">
        <f>'Active Users'!H15</f>
        <v>10 schools in Montenegro</v>
      </c>
      <c r="M35" s="187">
        <f>'Active Users'!I15</f>
        <v>0</v>
      </c>
      <c r="N35" s="187">
        <f>'Active Users'!J15</f>
        <v>0</v>
      </c>
      <c r="O35" s="187">
        <f>'Active Users'!K15</f>
        <v>0</v>
      </c>
      <c r="P35" s="187" t="str">
        <f>'Active Users'!L15</f>
        <v>35 schools in Montenegro</v>
      </c>
      <c r="Q35" s="187">
        <f>'Active Users'!M15</f>
        <v>0</v>
      </c>
      <c r="R35" s="187">
        <f>'Active Users'!N15</f>
        <v>0</v>
      </c>
      <c r="S35" s="187">
        <f>'Active Users'!O15</f>
        <v>0</v>
      </c>
      <c r="T35" s="187" t="str">
        <f>'Active Users'!P15</f>
        <v>35 in Montenegro + 10 high schools in Serbia</v>
      </c>
      <c r="U35" s="187">
        <f>'Active Users'!Q15</f>
        <v>0</v>
      </c>
      <c r="V35" s="187">
        <f>'Active Users'!R15</f>
        <v>0</v>
      </c>
      <c r="W35" s="187">
        <f>'Active Users'!S15</f>
        <v>0</v>
      </c>
      <c r="X35" s="187" t="str">
        <f>'Active Users'!T15</f>
        <v>35 in Montenegro + 100 high schools in Serbia</v>
      </c>
      <c r="Y35" s="187">
        <f>'Active Users'!U15</f>
        <v>0</v>
      </c>
      <c r="Z35" s="187">
        <f>'Active Users'!V15</f>
        <v>0</v>
      </c>
      <c r="AA35" s="187">
        <f>'Active Users'!W15</f>
        <v>0</v>
      </c>
      <c r="AB35" s="187" t="str">
        <f>'Active Users'!X15</f>
        <v>35 in Montenegro + 200 high schools in Serbia</v>
      </c>
      <c r="AC35" s="187">
        <f>'Active Users'!Y15</f>
        <v>0</v>
      </c>
      <c r="AD35" s="187">
        <f>'Active Users'!Z15</f>
        <v>0</v>
      </c>
      <c r="AE35" s="187">
        <f>'Active Users'!AA15</f>
        <v>0</v>
      </c>
      <c r="AF35" s="187" t="str">
        <f>'Active Users'!AB15</f>
        <v>35 in Montenegro + 300 in Serbia</v>
      </c>
      <c r="AG35" s="187">
        <f>'Active Users'!AC15</f>
        <v>0</v>
      </c>
      <c r="AH35" s="187">
        <f>'Active Users'!AD15</f>
        <v>0</v>
      </c>
      <c r="AI35" s="187">
        <f>'Active Users'!AE15</f>
        <v>0</v>
      </c>
      <c r="AJ35" s="187" t="str">
        <f>'Active Users'!AF15</f>
        <v>35 in Montenegro + 400 in Serbia</v>
      </c>
      <c r="AK35" s="187">
        <f>'Active Users'!AG15</f>
        <v>0</v>
      </c>
      <c r="AL35" s="188"/>
      <c r="AM35" s="188"/>
      <c r="AN35" s="188"/>
      <c r="AO35" s="188"/>
      <c r="AP35" s="188"/>
    </row>
    <row r="36" spans="1:42" ht="13.2" x14ac:dyDescent="0.25">
      <c r="A36" s="175"/>
      <c r="B36" s="176"/>
      <c r="C36" s="177"/>
      <c r="D36" s="177"/>
      <c r="E36" s="177"/>
      <c r="F36" s="175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78"/>
      <c r="AL36" s="124"/>
      <c r="AM36" s="124"/>
      <c r="AN36" s="124"/>
      <c r="AO36" s="124"/>
      <c r="AP36" s="124"/>
    </row>
    <row r="37" spans="1:42" ht="13.2" x14ac:dyDescent="0.25">
      <c r="A37" s="71"/>
      <c r="B37" s="160" t="s">
        <v>74</v>
      </c>
      <c r="C37" s="126"/>
      <c r="D37" s="126"/>
      <c r="E37" s="126"/>
      <c r="F37" s="71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4"/>
      <c r="AF37" s="174"/>
      <c r="AG37" s="174"/>
      <c r="AH37" s="174"/>
      <c r="AI37" s="174"/>
      <c r="AJ37" s="174"/>
      <c r="AK37" s="174"/>
      <c r="AL37" s="124"/>
      <c r="AM37" s="124"/>
      <c r="AN37" s="124"/>
      <c r="AO37" s="124"/>
      <c r="AP37" s="124"/>
    </row>
    <row r="38" spans="1:42" ht="13.2" x14ac:dyDescent="0.25">
      <c r="A38" s="71"/>
      <c r="B38" s="162" t="s">
        <v>164</v>
      </c>
      <c r="C38" s="126" t="s">
        <v>165</v>
      </c>
      <c r="D38" s="126"/>
      <c r="E38" s="126"/>
      <c r="F38" s="71"/>
      <c r="G38" s="189">
        <f>'Active Users'!C17</f>
        <v>100</v>
      </c>
      <c r="H38" s="189">
        <f>'Active Users'!D17</f>
        <v>100</v>
      </c>
      <c r="I38" s="189">
        <f>'Active Users'!E17</f>
        <v>35400</v>
      </c>
      <c r="J38" s="189">
        <f>'Active Users'!F17</f>
        <v>35212.379858400003</v>
      </c>
      <c r="K38" s="189">
        <f>'Active Users'!G17</f>
        <v>35025.754104300962</v>
      </c>
      <c r="L38" s="189">
        <f>'Active Users'!H17</f>
        <v>34840.117467445147</v>
      </c>
      <c r="M38" s="189">
        <f>'Active Users'!I17</f>
        <v>34655.46470550722</v>
      </c>
      <c r="N38" s="189">
        <f>'Active Users'!J17</f>
        <v>34471.790603946174</v>
      </c>
      <c r="O38" s="189">
        <f>'Active Users'!K17</f>
        <v>34289.089975858093</v>
      </c>
      <c r="P38" s="189">
        <f>'Active Users'!L17</f>
        <v>34107.357661829687</v>
      </c>
      <c r="Q38" s="189">
        <f>'Active Users'!M17</f>
        <v>659463.29426489631</v>
      </c>
      <c r="R38" s="189">
        <f>'Active Users'!N17</f>
        <v>1311936.2723348783</v>
      </c>
      <c r="S38" s="189">
        <f>'Active Users'!O17</f>
        <v>2589983.004843758</v>
      </c>
      <c r="T38" s="189">
        <f>'Active Users'!P17</f>
        <v>2576256.084558154</v>
      </c>
      <c r="U38" s="189">
        <f>'Active Users'!Q17</f>
        <v>2882601.9170049713</v>
      </c>
      <c r="V38" s="189">
        <f>'Active Users'!R17</f>
        <v>2867324.1153144375</v>
      </c>
      <c r="W38" s="189">
        <f>'Active Users'!S17</f>
        <v>2852127.2860339745</v>
      </c>
      <c r="X38" s="189">
        <f>'Active Users'!T17</f>
        <v>2837011.0000094855</v>
      </c>
      <c r="Y38" s="189">
        <f>'Active Users'!U17</f>
        <v>2920274.8303613914</v>
      </c>
      <c r="Z38" s="189">
        <f>'Active Users'!V17</f>
        <v>2904797.3620793768</v>
      </c>
      <c r="AA38" s="189">
        <f>'Active Users'!W17</f>
        <v>2889401.9244411662</v>
      </c>
      <c r="AB38" s="189">
        <f>'Active Users'!X17</f>
        <v>2874088.0826840205</v>
      </c>
      <c r="AC38" s="189">
        <f>'Active Users'!Y17</f>
        <v>2858855.4043494426</v>
      </c>
      <c r="AD38" s="189">
        <f>'Active Users'!Z17</f>
        <v>2843703.4592709686</v>
      </c>
      <c r="AE38" s="189">
        <f>'Active Users'!AA17</f>
        <v>2828631.8195620188</v>
      </c>
      <c r="AF38" s="189">
        <f>'Active Users'!AB17</f>
        <v>2813640.0596038126</v>
      </c>
      <c r="AG38" s="189">
        <f>'Active Users'!AC17</f>
        <v>2890227.7560333521</v>
      </c>
      <c r="AH38" s="189">
        <f>'Active Users'!AD17</f>
        <v>2874909.537365464</v>
      </c>
      <c r="AI38" s="189">
        <f>'Active Users'!AE17</f>
        <v>2859672.5053177886</v>
      </c>
      <c r="AJ38" s="189">
        <f>'Active Users'!AF17</f>
        <v>2844516.2296009143</v>
      </c>
      <c r="AK38" s="189">
        <f>'Active Users'!AG17</f>
        <v>2829440.2822059644</v>
      </c>
      <c r="AL38" s="124"/>
      <c r="AM38" s="124"/>
      <c r="AN38" s="124"/>
      <c r="AO38" s="124"/>
      <c r="AP38" s="124"/>
    </row>
    <row r="39" spans="1:42" ht="13.2" x14ac:dyDescent="0.25">
      <c r="A39" s="164"/>
      <c r="B39" s="165" t="s">
        <v>166</v>
      </c>
      <c r="C39" s="166" t="s">
        <v>167</v>
      </c>
      <c r="D39" s="166"/>
      <c r="E39" s="166"/>
      <c r="F39" s="164"/>
      <c r="G39" s="166">
        <v>0</v>
      </c>
      <c r="H39" s="166">
        <v>0</v>
      </c>
      <c r="I39" s="166">
        <v>4.8</v>
      </c>
      <c r="J39" s="166">
        <v>4.8</v>
      </c>
      <c r="K39" s="166">
        <v>4.8</v>
      </c>
      <c r="L39" s="166">
        <v>4.8</v>
      </c>
      <c r="M39" s="167">
        <f>I39*($F$5-$F$17+1)</f>
        <v>5.0208000000000004</v>
      </c>
      <c r="N39" s="167">
        <f t="shared" ref="N39:P39" si="14">M39</f>
        <v>5.0208000000000004</v>
      </c>
      <c r="O39" s="167">
        <f t="shared" si="14"/>
        <v>5.0208000000000004</v>
      </c>
      <c r="P39" s="167">
        <f t="shared" si="14"/>
        <v>5.0208000000000004</v>
      </c>
      <c r="Q39" s="190">
        <f>4.4*($F$5-$F$17+1)</f>
        <v>4.6024000000000003</v>
      </c>
      <c r="R39" s="167">
        <f t="shared" ref="R39:T39" si="15">Q39</f>
        <v>4.6024000000000003</v>
      </c>
      <c r="S39" s="167">
        <f t="shared" si="15"/>
        <v>4.6024000000000003</v>
      </c>
      <c r="T39" s="167">
        <f t="shared" si="15"/>
        <v>4.6024000000000003</v>
      </c>
      <c r="U39" s="167">
        <f>Q39*($F$5-$F$17+1)-1</f>
        <v>3.8141104000000006</v>
      </c>
      <c r="V39" s="167">
        <f t="shared" ref="V39:X39" si="16">U39</f>
        <v>3.8141104000000006</v>
      </c>
      <c r="W39" s="167">
        <f t="shared" si="16"/>
        <v>3.8141104000000006</v>
      </c>
      <c r="X39" s="167">
        <f t="shared" si="16"/>
        <v>3.8141104000000006</v>
      </c>
      <c r="Y39" s="167">
        <f>U39*($F$5-$F$17+1)</f>
        <v>3.9895594784000008</v>
      </c>
      <c r="Z39" s="167">
        <f t="shared" ref="Z39:AB39" si="17">Y39</f>
        <v>3.9895594784000008</v>
      </c>
      <c r="AA39" s="167">
        <f t="shared" si="17"/>
        <v>3.9895594784000008</v>
      </c>
      <c r="AB39" s="167">
        <f t="shared" si="17"/>
        <v>3.9895594784000008</v>
      </c>
      <c r="AC39" s="167">
        <f>Y39*($F$5-$F$17+1)</f>
        <v>4.1730792144064006</v>
      </c>
      <c r="AD39" s="167">
        <f t="shared" ref="AD39:AF39" si="18">AC39</f>
        <v>4.1730792144064006</v>
      </c>
      <c r="AE39" s="167">
        <f t="shared" si="18"/>
        <v>4.1730792144064006</v>
      </c>
      <c r="AF39" s="167">
        <f t="shared" si="18"/>
        <v>4.1730792144064006</v>
      </c>
      <c r="AG39" s="167">
        <f>AC39*($F$5-$F$17+1)</f>
        <v>4.3650408582690954</v>
      </c>
      <c r="AH39" s="167">
        <f t="shared" ref="AH39:AJ39" si="19">AG39</f>
        <v>4.3650408582690954</v>
      </c>
      <c r="AI39" s="167">
        <f t="shared" si="19"/>
        <v>4.3650408582690954</v>
      </c>
      <c r="AJ39" s="167">
        <f t="shared" si="19"/>
        <v>4.3650408582690954</v>
      </c>
      <c r="AK39" s="167">
        <f>AG39*($F$5-$F$17+1)</f>
        <v>4.5658327377494743</v>
      </c>
      <c r="AL39" s="168"/>
      <c r="AM39" s="168"/>
      <c r="AN39" s="168"/>
      <c r="AO39" s="168"/>
      <c r="AP39" s="168"/>
    </row>
    <row r="40" spans="1:42" ht="13.2" x14ac:dyDescent="0.25">
      <c r="A40" s="164"/>
      <c r="B40" s="165" t="s">
        <v>168</v>
      </c>
      <c r="C40" s="166" t="s">
        <v>167</v>
      </c>
      <c r="D40" s="166"/>
      <c r="E40" s="166"/>
      <c r="F40" s="164"/>
      <c r="G40" s="167">
        <f t="shared" ref="G40:AK40" si="20">G38*G39</f>
        <v>0</v>
      </c>
      <c r="H40" s="167">
        <f t="shared" si="20"/>
        <v>0</v>
      </c>
      <c r="I40" s="167">
        <f t="shared" si="20"/>
        <v>169920</v>
      </c>
      <c r="J40" s="167">
        <f t="shared" si="20"/>
        <v>169019.42332032</v>
      </c>
      <c r="K40" s="167">
        <f t="shared" si="20"/>
        <v>168123.6197006446</v>
      </c>
      <c r="L40" s="167">
        <f t="shared" si="20"/>
        <v>167232.56384373669</v>
      </c>
      <c r="M40" s="167">
        <f t="shared" si="20"/>
        <v>173998.15719341068</v>
      </c>
      <c r="N40" s="167">
        <f t="shared" si="20"/>
        <v>173075.96626429298</v>
      </c>
      <c r="O40" s="167">
        <f t="shared" si="20"/>
        <v>172158.66295078833</v>
      </c>
      <c r="P40" s="167">
        <f t="shared" si="20"/>
        <v>171246.22134851449</v>
      </c>
      <c r="Q40" s="167">
        <f t="shared" si="20"/>
        <v>3035113.8655247591</v>
      </c>
      <c r="R40" s="167">
        <f t="shared" si="20"/>
        <v>6038055.4997940445</v>
      </c>
      <c r="S40" s="167">
        <f t="shared" si="20"/>
        <v>11920137.781492913</v>
      </c>
      <c r="T40" s="167">
        <f t="shared" si="20"/>
        <v>11856961.003570449</v>
      </c>
      <c r="U40" s="167">
        <f t="shared" si="20"/>
        <v>10994561.9507086</v>
      </c>
      <c r="V40" s="167">
        <f t="shared" si="20"/>
        <v>10936290.728391597</v>
      </c>
      <c r="W40" s="167">
        <f t="shared" si="20"/>
        <v>10878328.343785958</v>
      </c>
      <c r="X40" s="167">
        <f t="shared" si="20"/>
        <v>10820673.16005058</v>
      </c>
      <c r="Y40" s="167">
        <f t="shared" si="20"/>
        <v>11650610.129001243</v>
      </c>
      <c r="Z40" s="167">
        <f t="shared" si="20"/>
        <v>11588861.848715097</v>
      </c>
      <c r="AA40" s="167">
        <f t="shared" si="20"/>
        <v>11527440.834561458</v>
      </c>
      <c r="AB40" s="167">
        <f t="shared" si="20"/>
        <v>11466345.352028519</v>
      </c>
      <c r="AC40" s="167">
        <f t="shared" si="20"/>
        <v>11930230.064884065</v>
      </c>
      <c r="AD40" s="167">
        <f t="shared" si="20"/>
        <v>11866999.797819257</v>
      </c>
      <c r="AE40" s="167">
        <f t="shared" si="20"/>
        <v>11804104.651422817</v>
      </c>
      <c r="AF40" s="167">
        <f t="shared" si="20"/>
        <v>11741542.849553857</v>
      </c>
      <c r="AG40" s="167">
        <f t="shared" si="20"/>
        <v>12615962.244788986</v>
      </c>
      <c r="AH40" s="167">
        <f t="shared" si="20"/>
        <v>12549097.594427753</v>
      </c>
      <c r="AI40" s="167">
        <f t="shared" si="20"/>
        <v>12482587.326980894</v>
      </c>
      <c r="AJ40" s="167">
        <f t="shared" si="20"/>
        <v>12416429.564217547</v>
      </c>
      <c r="AK40" s="167">
        <f t="shared" si="20"/>
        <v>12918751.070003103</v>
      </c>
      <c r="AL40" s="168"/>
      <c r="AM40" s="168"/>
      <c r="AN40" s="168"/>
      <c r="AO40" s="168"/>
      <c r="AP40" s="168"/>
    </row>
    <row r="41" spans="1:42" ht="51" customHeight="1" x14ac:dyDescent="0.25">
      <c r="A41" s="191"/>
      <c r="B41" s="192" t="s">
        <v>169</v>
      </c>
      <c r="C41" s="192"/>
      <c r="D41" s="192"/>
      <c r="E41" s="192"/>
      <c r="F41" s="191"/>
      <c r="G41" s="193" t="str">
        <f>'Active Users'!C21</f>
        <v>Test group</v>
      </c>
      <c r="H41" s="193">
        <f>'Active Users'!D21</f>
        <v>0</v>
      </c>
      <c r="I41" s="193" t="str">
        <f>'Active Users'!E21</f>
        <v>The system is implemented all across Montenegro</v>
      </c>
      <c r="J41" s="193" t="str">
        <f>'Active Users'!F21</f>
        <v>Each quater it decreases on average 0.53%</v>
      </c>
      <c r="K41" s="193">
        <f>'Active Users'!G21</f>
        <v>0</v>
      </c>
      <c r="L41" s="193">
        <f>'Active Users'!H21</f>
        <v>0</v>
      </c>
      <c r="M41" s="193">
        <f>'Active Users'!I21</f>
        <v>0</v>
      </c>
      <c r="N41" s="193">
        <f>'Active Users'!J21</f>
        <v>0</v>
      </c>
      <c r="O41" s="193">
        <f>'Active Users'!K21</f>
        <v>0</v>
      </c>
      <c r="P41" s="193">
        <f>'Active Users'!L21</f>
        <v>0</v>
      </c>
      <c r="Q41" s="193" t="str">
        <f>'Active Users'!M21</f>
        <v>Program has shown its effectibveness, expand to Serbia, p.1</v>
      </c>
      <c r="R41" s="193">
        <f>'Active Users'!N21</f>
        <v>0</v>
      </c>
      <c r="S41" s="193" t="str">
        <f>'Active Users'!O21</f>
        <v>Program has shown its effectibveness, expand to Serbia, p.2</v>
      </c>
      <c r="T41" s="193">
        <f>'Active Users'!P21</f>
        <v>0</v>
      </c>
      <c r="U41" s="193" t="str">
        <f>'Active Users'!Q21</f>
        <v>Expand to Bosnia and Herzegovina</v>
      </c>
      <c r="V41" s="193">
        <f>'Active Users'!R21</f>
        <v>0</v>
      </c>
      <c r="W41" s="193">
        <f>'Active Users'!S21</f>
        <v>0</v>
      </c>
      <c r="X41" s="193">
        <f>'Active Users'!T21</f>
        <v>0</v>
      </c>
      <c r="Y41" s="193" t="str">
        <f>'Active Users'!U21</f>
        <v>Expand to Northern Macedonia</v>
      </c>
      <c r="Z41" s="193">
        <f>'Active Users'!V21</f>
        <v>0</v>
      </c>
      <c r="AA41" s="193">
        <f>'Active Users'!W21</f>
        <v>0</v>
      </c>
      <c r="AB41" s="193">
        <f>'Active Users'!X21</f>
        <v>0</v>
      </c>
      <c r="AC41" s="193">
        <f>'Active Users'!Y21</f>
        <v>0</v>
      </c>
      <c r="AD41" s="193">
        <f>'Active Users'!Z21</f>
        <v>0</v>
      </c>
      <c r="AE41" s="193">
        <f>'Active Users'!AA21</f>
        <v>0</v>
      </c>
      <c r="AF41" s="193">
        <f>'Active Users'!AB21</f>
        <v>0</v>
      </c>
      <c r="AG41" s="193" t="str">
        <f>'Active Users'!AC21</f>
        <v>Expand to Croatia</v>
      </c>
      <c r="AH41" s="193">
        <f>'Active Users'!AD21</f>
        <v>0</v>
      </c>
      <c r="AI41" s="193">
        <f>'Active Users'!AE21</f>
        <v>0</v>
      </c>
      <c r="AJ41" s="193">
        <f>'Active Users'!AF21</f>
        <v>0</v>
      </c>
      <c r="AK41" s="193">
        <f>'Active Users'!AG21</f>
        <v>0</v>
      </c>
      <c r="AL41" s="188"/>
      <c r="AM41" s="188"/>
      <c r="AN41" s="188"/>
      <c r="AO41" s="188"/>
      <c r="AP41" s="188"/>
    </row>
    <row r="42" spans="1:42" ht="13.2" x14ac:dyDescent="0.25">
      <c r="A42" s="175"/>
      <c r="B42" s="176"/>
      <c r="C42" s="177"/>
      <c r="D42" s="177"/>
      <c r="E42" s="177"/>
      <c r="F42" s="175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8"/>
      <c r="AI42" s="178"/>
      <c r="AJ42" s="178"/>
      <c r="AK42" s="178"/>
      <c r="AL42" s="124"/>
      <c r="AM42" s="124"/>
      <c r="AN42" s="124"/>
      <c r="AO42" s="124"/>
      <c r="AP42" s="124"/>
    </row>
    <row r="43" spans="1:42" ht="13.2" x14ac:dyDescent="0.25">
      <c r="A43" s="175"/>
      <c r="B43" s="176" t="s">
        <v>83</v>
      </c>
      <c r="C43" s="177"/>
      <c r="D43" s="177"/>
      <c r="E43" s="177"/>
      <c r="F43" s="175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78"/>
      <c r="AI43" s="178"/>
      <c r="AJ43" s="178"/>
      <c r="AK43" s="178"/>
      <c r="AL43" s="122"/>
      <c r="AM43" s="122"/>
      <c r="AN43" s="122"/>
      <c r="AO43" s="122"/>
      <c r="AP43" s="122"/>
    </row>
    <row r="44" spans="1:42" ht="13.2" x14ac:dyDescent="0.25">
      <c r="A44" s="175"/>
      <c r="B44" s="179" t="s">
        <v>164</v>
      </c>
      <c r="C44" s="177" t="s">
        <v>165</v>
      </c>
      <c r="D44" s="177"/>
      <c r="E44" s="177"/>
      <c r="F44" s="175"/>
      <c r="G44" s="180">
        <f>'Active Users'!C23</f>
        <v>60</v>
      </c>
      <c r="H44" s="180">
        <f>'Active Users'!D23</f>
        <v>60</v>
      </c>
      <c r="I44" s="180">
        <f>'Active Users'!E23</f>
        <v>1380</v>
      </c>
      <c r="J44" s="180">
        <f>'Active Users'!F23</f>
        <v>3018</v>
      </c>
      <c r="K44" s="180">
        <f>'Active Users'!G23</f>
        <v>3054</v>
      </c>
      <c r="L44" s="180">
        <f>'Active Users'!H23</f>
        <v>3091</v>
      </c>
      <c r="M44" s="180">
        <f>'Active Users'!I23</f>
        <v>3129</v>
      </c>
      <c r="N44" s="180">
        <f>'Active Users'!J23</f>
        <v>4625</v>
      </c>
      <c r="O44" s="180">
        <f>'Active Users'!K23</f>
        <v>6137</v>
      </c>
      <c r="P44" s="180">
        <f>'Active Users'!L23</f>
        <v>7828</v>
      </c>
      <c r="Q44" s="180">
        <f>'Active Users'!M23</f>
        <v>9539</v>
      </c>
      <c r="R44" s="180">
        <f>'Active Users'!N23</f>
        <v>10127</v>
      </c>
      <c r="S44" s="180">
        <f>'Active Users'!O23</f>
        <v>22470</v>
      </c>
      <c r="T44" s="180">
        <f>'Active Users'!P23</f>
        <v>34473</v>
      </c>
      <c r="U44" s="180">
        <f>'Active Users'!Q23</f>
        <v>34862</v>
      </c>
      <c r="V44" s="180">
        <f>'Active Users'!R23</f>
        <v>36705</v>
      </c>
      <c r="W44" s="180">
        <f>'Active Users'!S23</f>
        <v>38568</v>
      </c>
      <c r="X44" s="180">
        <f>'Active Users'!T23</f>
        <v>39003</v>
      </c>
      <c r="Y44" s="180">
        <f>'Active Users'!U23</f>
        <v>51043</v>
      </c>
      <c r="Z44" s="180">
        <f>'Active Users'!V23</f>
        <v>71917</v>
      </c>
      <c r="AA44" s="180">
        <f>'Active Users'!W23</f>
        <v>90125</v>
      </c>
      <c r="AB44" s="180">
        <f>'Active Users'!X23</f>
        <v>108537</v>
      </c>
      <c r="AC44" s="180">
        <f>'Active Users'!Y23</f>
        <v>147455</v>
      </c>
      <c r="AD44" s="180">
        <f>'Active Users'!Z23</f>
        <v>186810</v>
      </c>
      <c r="AE44" s="180">
        <f>'Active Users'!AA23</f>
        <v>203655</v>
      </c>
      <c r="AF44" s="180">
        <f>'Active Users'!AB23</f>
        <v>243008</v>
      </c>
      <c r="AG44" s="180">
        <f>'Active Users'!AC23</f>
        <v>287374</v>
      </c>
      <c r="AH44" s="180">
        <f>'Active Users'!AD23</f>
        <v>313037</v>
      </c>
      <c r="AI44" s="180">
        <f>'Active Users'!AE23</f>
        <v>338987</v>
      </c>
      <c r="AJ44" s="180">
        <f>'Active Users'!AF23</f>
        <v>362828</v>
      </c>
      <c r="AK44" s="180">
        <f>'Active Users'!AG23</f>
        <v>383336</v>
      </c>
      <c r="AL44" s="124"/>
      <c r="AM44" s="124"/>
      <c r="AN44" s="124"/>
      <c r="AO44" s="124"/>
      <c r="AP44" s="124"/>
    </row>
    <row r="45" spans="1:42" ht="13.2" x14ac:dyDescent="0.25">
      <c r="A45" s="181"/>
      <c r="B45" s="182" t="s">
        <v>166</v>
      </c>
      <c r="C45" s="183" t="s">
        <v>167</v>
      </c>
      <c r="D45" s="183"/>
      <c r="E45" s="183"/>
      <c r="F45" s="181"/>
      <c r="G45" s="183">
        <v>6</v>
      </c>
      <c r="H45" s="183">
        <f t="shared" ref="H45:J45" si="21">G45</f>
        <v>6</v>
      </c>
      <c r="I45" s="184">
        <f t="shared" si="21"/>
        <v>6</v>
      </c>
      <c r="J45" s="183">
        <f t="shared" si="21"/>
        <v>6</v>
      </c>
      <c r="K45" s="184">
        <f>($F$5-$F$17+1)*J45</f>
        <v>6.2759999999999998</v>
      </c>
      <c r="L45" s="184">
        <f t="shared" ref="L45:N45" si="22">K45</f>
        <v>6.2759999999999998</v>
      </c>
      <c r="M45" s="184">
        <f t="shared" si="22"/>
        <v>6.2759999999999998</v>
      </c>
      <c r="N45" s="184">
        <f t="shared" si="22"/>
        <v>6.2759999999999998</v>
      </c>
      <c r="O45" s="184">
        <f>($F$5-$F$17+1)*N45</f>
        <v>6.5646959999999996</v>
      </c>
      <c r="P45" s="184">
        <f t="shared" ref="P45:R45" si="23">O45</f>
        <v>6.5646959999999996</v>
      </c>
      <c r="Q45" s="184">
        <f t="shared" si="23"/>
        <v>6.5646959999999996</v>
      </c>
      <c r="R45" s="184">
        <f t="shared" si="23"/>
        <v>6.5646959999999996</v>
      </c>
      <c r="S45" s="184">
        <f>($F$5-$F$17+1)*R45</f>
        <v>6.8666720159999999</v>
      </c>
      <c r="T45" s="184">
        <f t="shared" ref="T45:V45" si="24">S45</f>
        <v>6.8666720159999999</v>
      </c>
      <c r="U45" s="184">
        <f t="shared" si="24"/>
        <v>6.8666720159999999</v>
      </c>
      <c r="V45" s="184">
        <f t="shared" si="24"/>
        <v>6.8666720159999999</v>
      </c>
      <c r="W45" s="184">
        <f>($F$5-$F$17+1)*V45</f>
        <v>7.1825389287360002</v>
      </c>
      <c r="X45" s="184">
        <f t="shared" ref="X45:Z45" si="25">W45</f>
        <v>7.1825389287360002</v>
      </c>
      <c r="Y45" s="184">
        <f t="shared" si="25"/>
        <v>7.1825389287360002</v>
      </c>
      <c r="Z45" s="184">
        <f t="shared" si="25"/>
        <v>7.1825389287360002</v>
      </c>
      <c r="AA45" s="184">
        <f>($F$5-$F$17+1)*Z45</f>
        <v>7.5129357194578565</v>
      </c>
      <c r="AB45" s="184">
        <f t="shared" ref="AB45:AD45" si="26">AA45</f>
        <v>7.5129357194578565</v>
      </c>
      <c r="AC45" s="184">
        <f t="shared" si="26"/>
        <v>7.5129357194578565</v>
      </c>
      <c r="AD45" s="184">
        <f t="shared" si="26"/>
        <v>7.5129357194578565</v>
      </c>
      <c r="AE45" s="184">
        <f>($F$5-$F$17+1)*AD45</f>
        <v>7.8585307625529186</v>
      </c>
      <c r="AF45" s="184">
        <f t="shared" ref="AF45:AH45" si="27">AE45</f>
        <v>7.8585307625529186</v>
      </c>
      <c r="AG45" s="184">
        <f t="shared" si="27"/>
        <v>7.8585307625529186</v>
      </c>
      <c r="AH45" s="184">
        <f t="shared" si="27"/>
        <v>7.8585307625529186</v>
      </c>
      <c r="AI45" s="184">
        <f>($F$5-$F$17+1)*AH45</f>
        <v>8.2200231776303525</v>
      </c>
      <c r="AJ45" s="184">
        <f t="shared" ref="AJ45:AK45" si="28">AI45</f>
        <v>8.2200231776303525</v>
      </c>
      <c r="AK45" s="184">
        <f t="shared" si="28"/>
        <v>8.2200231776303525</v>
      </c>
      <c r="AL45" s="168"/>
      <c r="AM45" s="168"/>
      <c r="AN45" s="168"/>
      <c r="AO45" s="168"/>
      <c r="AP45" s="168"/>
    </row>
    <row r="46" spans="1:42" ht="13.2" x14ac:dyDescent="0.25">
      <c r="A46" s="181"/>
      <c r="B46" s="182" t="s">
        <v>168</v>
      </c>
      <c r="C46" s="183" t="s">
        <v>167</v>
      </c>
      <c r="D46" s="183"/>
      <c r="E46" s="183"/>
      <c r="F46" s="181"/>
      <c r="G46" s="184">
        <f t="shared" ref="G46:AK46" si="29">G44*G45</f>
        <v>360</v>
      </c>
      <c r="H46" s="184">
        <f t="shared" si="29"/>
        <v>360</v>
      </c>
      <c r="I46" s="184">
        <f t="shared" si="29"/>
        <v>8280</v>
      </c>
      <c r="J46" s="184">
        <f t="shared" si="29"/>
        <v>18108</v>
      </c>
      <c r="K46" s="184">
        <f t="shared" si="29"/>
        <v>19166.903999999999</v>
      </c>
      <c r="L46" s="184">
        <f t="shared" si="29"/>
        <v>19399.115999999998</v>
      </c>
      <c r="M46" s="184">
        <f t="shared" si="29"/>
        <v>19637.603999999999</v>
      </c>
      <c r="N46" s="184">
        <f t="shared" si="29"/>
        <v>29026.5</v>
      </c>
      <c r="O46" s="184">
        <f t="shared" si="29"/>
        <v>40287.539352</v>
      </c>
      <c r="P46" s="184">
        <f t="shared" si="29"/>
        <v>51388.440287999998</v>
      </c>
      <c r="Q46" s="184">
        <f t="shared" si="29"/>
        <v>62620.635144</v>
      </c>
      <c r="R46" s="184">
        <f t="shared" si="29"/>
        <v>66480.676391999994</v>
      </c>
      <c r="S46" s="184">
        <f t="shared" si="29"/>
        <v>154294.12019952</v>
      </c>
      <c r="T46" s="184">
        <f t="shared" si="29"/>
        <v>236714.78440756799</v>
      </c>
      <c r="U46" s="184">
        <f t="shared" si="29"/>
        <v>239385.91982179199</v>
      </c>
      <c r="V46" s="184">
        <f t="shared" si="29"/>
        <v>252041.19634728</v>
      </c>
      <c r="W46" s="184">
        <f t="shared" si="29"/>
        <v>277016.16140349006</v>
      </c>
      <c r="X46" s="184">
        <f t="shared" si="29"/>
        <v>280140.5658374902</v>
      </c>
      <c r="Y46" s="184">
        <f t="shared" si="29"/>
        <v>366618.33453947166</v>
      </c>
      <c r="Z46" s="184">
        <f t="shared" si="29"/>
        <v>516546.65213790693</v>
      </c>
      <c r="AA46" s="184">
        <f t="shared" si="29"/>
        <v>677103.33171613934</v>
      </c>
      <c r="AB46" s="184">
        <f t="shared" si="29"/>
        <v>815431.50418279739</v>
      </c>
      <c r="AC46" s="184">
        <f t="shared" si="29"/>
        <v>1107819.9365126581</v>
      </c>
      <c r="AD46" s="184">
        <f t="shared" si="29"/>
        <v>1403491.5217519221</v>
      </c>
      <c r="AE46" s="184">
        <f t="shared" si="29"/>
        <v>1600429.0824477146</v>
      </c>
      <c r="AF46" s="184">
        <f t="shared" si="29"/>
        <v>1909685.8435464597</v>
      </c>
      <c r="AG46" s="184">
        <f t="shared" si="29"/>
        <v>2258337.4193578823</v>
      </c>
      <c r="AH46" s="184">
        <f t="shared" si="29"/>
        <v>2460010.8943172782</v>
      </c>
      <c r="AI46" s="184">
        <f t="shared" si="29"/>
        <v>2786480.9969153805</v>
      </c>
      <c r="AJ46" s="184">
        <f t="shared" si="29"/>
        <v>2982454.5694932654</v>
      </c>
      <c r="AK46" s="184">
        <f t="shared" si="29"/>
        <v>3151030.8048201087</v>
      </c>
      <c r="AL46" s="168"/>
      <c r="AM46" s="168"/>
      <c r="AN46" s="168"/>
      <c r="AO46" s="168"/>
      <c r="AP46" s="168"/>
    </row>
    <row r="47" spans="1:42" ht="118.8" x14ac:dyDescent="0.25">
      <c r="A47" s="194"/>
      <c r="B47" s="195" t="s">
        <v>169</v>
      </c>
      <c r="C47" s="196"/>
      <c r="D47" s="196"/>
      <c r="E47" s="196"/>
      <c r="F47" s="194"/>
      <c r="G47" s="197" t="s">
        <v>85</v>
      </c>
      <c r="H47" s="198"/>
      <c r="I47" s="197" t="s">
        <v>86</v>
      </c>
      <c r="J47" s="198"/>
      <c r="K47" s="198"/>
      <c r="L47" s="198"/>
      <c r="M47" s="199" t="s">
        <v>87</v>
      </c>
      <c r="N47" s="198"/>
      <c r="O47" s="197" t="s">
        <v>88</v>
      </c>
      <c r="P47" s="198"/>
      <c r="Q47" s="198"/>
      <c r="R47" s="200" t="s">
        <v>89</v>
      </c>
      <c r="S47" s="198"/>
      <c r="T47" s="198"/>
      <c r="U47" s="197" t="s">
        <v>90</v>
      </c>
      <c r="V47" s="198"/>
      <c r="W47" s="198"/>
      <c r="X47" s="197" t="s">
        <v>91</v>
      </c>
      <c r="Y47" s="198"/>
      <c r="Z47" s="198"/>
      <c r="AA47" s="198"/>
      <c r="AB47" s="197" t="s">
        <v>92</v>
      </c>
      <c r="AC47" s="198"/>
      <c r="AD47" s="198"/>
      <c r="AE47" s="200" t="s">
        <v>93</v>
      </c>
      <c r="AF47" s="198"/>
      <c r="AG47" s="198"/>
      <c r="AH47" s="198"/>
      <c r="AI47" s="198"/>
      <c r="AJ47" s="198"/>
      <c r="AK47" s="198"/>
      <c r="AL47" s="116"/>
      <c r="AM47" s="116"/>
      <c r="AN47" s="116"/>
      <c r="AO47" s="116"/>
      <c r="AP47" s="116"/>
    </row>
    <row r="48" spans="1:42" ht="13.2" x14ac:dyDescent="0.25">
      <c r="A48" s="175"/>
      <c r="B48" s="176"/>
      <c r="C48" s="177"/>
      <c r="D48" s="177"/>
      <c r="E48" s="177"/>
      <c r="F48" s="175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78"/>
      <c r="AE48" s="178"/>
      <c r="AF48" s="178"/>
      <c r="AG48" s="178"/>
      <c r="AH48" s="178"/>
      <c r="AI48" s="178"/>
      <c r="AJ48" s="178"/>
      <c r="AK48" s="178"/>
      <c r="AL48" s="124"/>
      <c r="AM48" s="124"/>
      <c r="AN48" s="124"/>
      <c r="AO48" s="124"/>
      <c r="AP48" s="124"/>
    </row>
    <row r="49" spans="1:42" ht="13.2" x14ac:dyDescent="0.25">
      <c r="A49" s="71"/>
      <c r="B49" s="160" t="s">
        <v>94</v>
      </c>
      <c r="C49" s="126"/>
      <c r="D49" s="126"/>
      <c r="E49" s="126"/>
      <c r="F49" s="71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71"/>
      <c r="AM49" s="71"/>
      <c r="AN49" s="71"/>
      <c r="AO49" s="71"/>
      <c r="AP49" s="71"/>
    </row>
    <row r="50" spans="1:42" ht="13.2" x14ac:dyDescent="0.25">
      <c r="A50" s="71"/>
      <c r="B50" s="162" t="s">
        <v>164</v>
      </c>
      <c r="C50" s="126" t="s">
        <v>165</v>
      </c>
      <c r="D50" s="126"/>
      <c r="E50" s="126"/>
      <c r="F50" s="71"/>
      <c r="G50" s="189">
        <f>'Active Users'!C30</f>
        <v>140</v>
      </c>
      <c r="H50" s="189">
        <f>'Active Users'!D30</f>
        <v>140</v>
      </c>
      <c r="I50" s="189">
        <f>'Active Users'!E30</f>
        <v>15000</v>
      </c>
      <c r="J50" s="189">
        <f>'Active Users'!F30</f>
        <v>26050</v>
      </c>
      <c r="K50" s="189">
        <f>'Active Users'!G30</f>
        <v>37131.5</v>
      </c>
      <c r="L50" s="189">
        <f>'Active Users'!H30</f>
        <v>38245.445</v>
      </c>
      <c r="M50" s="189">
        <f>'Active Users'!I30</f>
        <v>39392.808349999992</v>
      </c>
      <c r="N50" s="189">
        <f>'Active Users'!J30</f>
        <v>57074.592600499993</v>
      </c>
      <c r="O50" s="189">
        <f>'Active Users'!K30</f>
        <v>74236.830378514991</v>
      </c>
      <c r="P50" s="189">
        <f>'Active Users'!L30</f>
        <v>86463.935289870424</v>
      </c>
      <c r="Q50" s="189">
        <f>'Active Users'!M30</f>
        <v>114807.85334856654</v>
      </c>
      <c r="R50" s="189">
        <f>'Active Users'!N30</f>
        <v>145145.24451316978</v>
      </c>
      <c r="S50" s="189">
        <f>'Active Users'!O30</f>
        <v>240186.01251471613</v>
      </c>
      <c r="T50" s="189">
        <f>'Active Users'!P30</f>
        <v>391215.1977962972</v>
      </c>
      <c r="U50" s="189">
        <f>'Active Users'!Q30</f>
        <v>442492.53974671382</v>
      </c>
      <c r="V50" s="189">
        <f>'Active Users'!R30</f>
        <v>534023.62189101486</v>
      </c>
      <c r="W50" s="189">
        <f>'Active Users'!S30</f>
        <v>576714.15338356269</v>
      </c>
      <c r="X50" s="189">
        <f>'Active Users'!T30</f>
        <v>589690.22183469275</v>
      </c>
      <c r="Y50" s="189">
        <f>'Active Users'!U30</f>
        <v>772958.25182597339</v>
      </c>
      <c r="Z50" s="189">
        <f>'Active Users'!V30</f>
        <v>983724.81249205768</v>
      </c>
      <c r="AA50" s="189">
        <f>'Active Users'!W30</f>
        <v>1250358.6207731292</v>
      </c>
      <c r="AB50" s="189">
        <f>'Active Users'!X30</f>
        <v>1622991.6897405246</v>
      </c>
      <c r="AC50" s="189">
        <f>'Active Users'!Y30</f>
        <v>2161759.0027596862</v>
      </c>
      <c r="AD50" s="189">
        <f>'Active Users'!Z30</f>
        <v>2509398.5803217795</v>
      </c>
      <c r="AE50" s="189">
        <f>'Active Users'!AA30</f>
        <v>2882375.112693232</v>
      </c>
      <c r="AF50" s="189">
        <f>'Active Users'!AB30</f>
        <v>3997481.2389328573</v>
      </c>
      <c r="AG50" s="189">
        <f>'Active Users'!AC30</f>
        <v>4519353.5325611178</v>
      </c>
      <c r="AH50" s="189">
        <f>'Active Users'!AD30</f>
        <v>5087366.4214192899</v>
      </c>
      <c r="AI50" s="189">
        <f>'Active Users'!AE30</f>
        <v>5519027.452054902</v>
      </c>
      <c r="AJ50" s="189">
        <f>'Active Users'!AF30</f>
        <v>6013936.7540275045</v>
      </c>
      <c r="AK50" s="189">
        <f>'Active Users'!AG30</f>
        <v>6430190.0583218066</v>
      </c>
      <c r="AL50" s="71"/>
      <c r="AM50" s="71"/>
      <c r="AN50" s="71"/>
      <c r="AO50" s="71"/>
      <c r="AP50" s="71"/>
    </row>
    <row r="51" spans="1:42" ht="13.2" x14ac:dyDescent="0.25">
      <c r="A51" s="164"/>
      <c r="B51" s="165" t="s">
        <v>166</v>
      </c>
      <c r="C51" s="166" t="s">
        <v>167</v>
      </c>
      <c r="D51" s="166"/>
      <c r="E51" s="166"/>
      <c r="F51" s="164"/>
      <c r="G51" s="166">
        <v>1.5</v>
      </c>
      <c r="H51" s="167">
        <f t="shared" ref="H51:J51" si="30">G51</f>
        <v>1.5</v>
      </c>
      <c r="I51" s="167">
        <f t="shared" si="30"/>
        <v>1.5</v>
      </c>
      <c r="J51" s="167">
        <f t="shared" si="30"/>
        <v>1.5</v>
      </c>
      <c r="K51" s="167">
        <f>($F$5-$F$17+1)*J51</f>
        <v>1.569</v>
      </c>
      <c r="L51" s="167">
        <f t="shared" ref="L51:N51" si="31">K51</f>
        <v>1.569</v>
      </c>
      <c r="M51" s="167">
        <f t="shared" si="31"/>
        <v>1.569</v>
      </c>
      <c r="N51" s="167">
        <f t="shared" si="31"/>
        <v>1.569</v>
      </c>
      <c r="O51" s="167">
        <f>($F$5-$F$17+1)*N51</f>
        <v>1.6411739999999999</v>
      </c>
      <c r="P51" s="167">
        <f t="shared" ref="P51:R51" si="32">O51</f>
        <v>1.6411739999999999</v>
      </c>
      <c r="Q51" s="167">
        <f t="shared" si="32"/>
        <v>1.6411739999999999</v>
      </c>
      <c r="R51" s="167">
        <f t="shared" si="32"/>
        <v>1.6411739999999999</v>
      </c>
      <c r="S51" s="167">
        <f>($F$5-$F$17+1)*R51</f>
        <v>1.716668004</v>
      </c>
      <c r="T51" s="167">
        <f t="shared" ref="T51:V51" si="33">S51</f>
        <v>1.716668004</v>
      </c>
      <c r="U51" s="167">
        <f t="shared" si="33"/>
        <v>1.716668004</v>
      </c>
      <c r="V51" s="167">
        <f t="shared" si="33"/>
        <v>1.716668004</v>
      </c>
      <c r="W51" s="167">
        <f>($F$5-$F$17+1)*V51</f>
        <v>1.795634732184</v>
      </c>
      <c r="X51" s="167">
        <f t="shared" ref="X51:Z51" si="34">W51</f>
        <v>1.795634732184</v>
      </c>
      <c r="Y51" s="167">
        <f t="shared" si="34"/>
        <v>1.795634732184</v>
      </c>
      <c r="Z51" s="167">
        <f t="shared" si="34"/>
        <v>1.795634732184</v>
      </c>
      <c r="AA51" s="167">
        <f>($F$5-$F$17+1)*Z51</f>
        <v>1.8782339298644641</v>
      </c>
      <c r="AB51" s="167">
        <f t="shared" ref="AB51:AD51" si="35">AA51</f>
        <v>1.8782339298644641</v>
      </c>
      <c r="AC51" s="167">
        <f t="shared" si="35"/>
        <v>1.8782339298644641</v>
      </c>
      <c r="AD51" s="167">
        <f t="shared" si="35"/>
        <v>1.8782339298644641</v>
      </c>
      <c r="AE51" s="167">
        <f>($F$5-$F$17+1)*AD51</f>
        <v>1.9646326906382297</v>
      </c>
      <c r="AF51" s="167">
        <f t="shared" ref="AF51:AH51" si="36">AE51</f>
        <v>1.9646326906382297</v>
      </c>
      <c r="AG51" s="167">
        <f t="shared" si="36"/>
        <v>1.9646326906382297</v>
      </c>
      <c r="AH51" s="167">
        <f t="shared" si="36"/>
        <v>1.9646326906382297</v>
      </c>
      <c r="AI51" s="167">
        <f>($F$5-$F$17+1)*AH51</f>
        <v>2.0550057944075881</v>
      </c>
      <c r="AJ51" s="167">
        <f t="shared" ref="AJ51:AK51" si="37">AI51</f>
        <v>2.0550057944075881</v>
      </c>
      <c r="AK51" s="167">
        <f t="shared" si="37"/>
        <v>2.0550057944075881</v>
      </c>
      <c r="AL51" s="164"/>
      <c r="AM51" s="164"/>
      <c r="AN51" s="164"/>
      <c r="AO51" s="164"/>
      <c r="AP51" s="164"/>
    </row>
    <row r="52" spans="1:42" ht="13.2" x14ac:dyDescent="0.25">
      <c r="A52" s="164"/>
      <c r="B52" s="165" t="s">
        <v>168</v>
      </c>
      <c r="C52" s="166" t="s">
        <v>167</v>
      </c>
      <c r="D52" s="166"/>
      <c r="E52" s="166"/>
      <c r="F52" s="164"/>
      <c r="G52" s="167">
        <f t="shared" ref="G52:AK52" si="38">G50*G51</f>
        <v>210</v>
      </c>
      <c r="H52" s="167">
        <f t="shared" si="38"/>
        <v>210</v>
      </c>
      <c r="I52" s="167">
        <f t="shared" si="38"/>
        <v>22500</v>
      </c>
      <c r="J52" s="167">
        <f t="shared" si="38"/>
        <v>39075</v>
      </c>
      <c r="K52" s="167">
        <f t="shared" si="38"/>
        <v>58259.323499999999</v>
      </c>
      <c r="L52" s="167">
        <f t="shared" si="38"/>
        <v>60007.103204999999</v>
      </c>
      <c r="M52" s="167">
        <f t="shared" si="38"/>
        <v>61807.316301149986</v>
      </c>
      <c r="N52" s="167">
        <f t="shared" si="38"/>
        <v>89550.035790184484</v>
      </c>
      <c r="O52" s="167">
        <f t="shared" si="38"/>
        <v>121835.55585962895</v>
      </c>
      <c r="P52" s="167">
        <f t="shared" si="38"/>
        <v>141902.36253541781</v>
      </c>
      <c r="Q52" s="167">
        <f t="shared" si="38"/>
        <v>188419.66391148034</v>
      </c>
      <c r="R52" s="167">
        <f t="shared" si="38"/>
        <v>238208.60151865688</v>
      </c>
      <c r="S52" s="167">
        <f t="shared" si="38"/>
        <v>412319.64269235678</v>
      </c>
      <c r="T52" s="167">
        <f t="shared" si="38"/>
        <v>671586.61273543467</v>
      </c>
      <c r="U52" s="167">
        <f t="shared" si="38"/>
        <v>759612.78499188193</v>
      </c>
      <c r="V52" s="167">
        <f t="shared" si="38"/>
        <v>916741.26508049911</v>
      </c>
      <c r="W52" s="167">
        <f t="shared" si="38"/>
        <v>1035567.9643576159</v>
      </c>
      <c r="X52" s="167">
        <f t="shared" si="38"/>
        <v>1058868.243555662</v>
      </c>
      <c r="Y52" s="167">
        <f t="shared" si="38"/>
        <v>1387950.6835069447</v>
      </c>
      <c r="Z52" s="167">
        <f t="shared" si="38"/>
        <v>1766410.4402219316</v>
      </c>
      <c r="AA52" s="167">
        <f t="shared" si="38"/>
        <v>2348465.9860346257</v>
      </c>
      <c r="AB52" s="167">
        <f t="shared" si="38"/>
        <v>3048358.0595587129</v>
      </c>
      <c r="AC52" s="167">
        <f t="shared" si="38"/>
        <v>4060289.1071732105</v>
      </c>
      <c r="AD52" s="167">
        <f t="shared" si="38"/>
        <v>4713237.5571140833</v>
      </c>
      <c r="AE52" s="167">
        <f t="shared" si="38"/>
        <v>5662808.3730791751</v>
      </c>
      <c r="AF52" s="167">
        <f t="shared" si="38"/>
        <v>7853582.3222205034</v>
      </c>
      <c r="AG52" s="167">
        <f t="shared" si="38"/>
        <v>8878869.6906209365</v>
      </c>
      <c r="AH52" s="167">
        <f t="shared" si="38"/>
        <v>9994806.3807755616</v>
      </c>
      <c r="AI52" s="167">
        <f t="shared" si="38"/>
        <v>11341633.39346737</v>
      </c>
      <c r="AJ52" s="167">
        <f t="shared" si="38"/>
        <v>12358674.876727283</v>
      </c>
      <c r="AK52" s="167">
        <f t="shared" si="38"/>
        <v>13214077.82899338</v>
      </c>
      <c r="AL52" s="164"/>
      <c r="AM52" s="164"/>
      <c r="AN52" s="164"/>
      <c r="AO52" s="164"/>
      <c r="AP52" s="164"/>
    </row>
    <row r="53" spans="1:42" ht="118.8" x14ac:dyDescent="0.25">
      <c r="A53" s="145"/>
      <c r="B53" s="201" t="s">
        <v>169</v>
      </c>
      <c r="C53" s="202"/>
      <c r="D53" s="202"/>
      <c r="E53" s="202"/>
      <c r="F53" s="145"/>
      <c r="G53" s="36" t="s">
        <v>85</v>
      </c>
      <c r="H53" s="203"/>
      <c r="I53" s="36" t="s">
        <v>86</v>
      </c>
      <c r="J53" s="203"/>
      <c r="K53" s="203"/>
      <c r="L53" s="203"/>
      <c r="M53" s="204" t="s">
        <v>87</v>
      </c>
      <c r="N53" s="203"/>
      <c r="O53" s="36" t="s">
        <v>88</v>
      </c>
      <c r="P53" s="203"/>
      <c r="Q53" s="203"/>
      <c r="R53" s="205" t="s">
        <v>89</v>
      </c>
      <c r="S53" s="203"/>
      <c r="T53" s="203"/>
      <c r="U53" s="36" t="s">
        <v>90</v>
      </c>
      <c r="V53" s="203"/>
      <c r="W53" s="203"/>
      <c r="X53" s="36" t="s">
        <v>91</v>
      </c>
      <c r="Y53" s="203"/>
      <c r="Z53" s="203"/>
      <c r="AA53" s="203"/>
      <c r="AB53" s="36" t="s">
        <v>92</v>
      </c>
      <c r="AC53" s="203"/>
      <c r="AD53" s="203"/>
      <c r="AE53" s="205" t="s">
        <v>93</v>
      </c>
      <c r="AF53" s="203"/>
      <c r="AG53" s="203"/>
      <c r="AH53" s="203"/>
      <c r="AI53" s="203"/>
      <c r="AJ53" s="203"/>
      <c r="AK53" s="203"/>
      <c r="AL53" s="145"/>
      <c r="AM53" s="145"/>
      <c r="AN53" s="145"/>
      <c r="AO53" s="145"/>
      <c r="AP53" s="145"/>
    </row>
    <row r="54" spans="1:42" ht="13.2" x14ac:dyDescent="0.25">
      <c r="A54" s="71"/>
      <c r="B54" s="160"/>
      <c r="C54" s="126"/>
      <c r="D54" s="126"/>
      <c r="E54" s="126"/>
      <c r="F54" s="71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71"/>
      <c r="AM54" s="71"/>
      <c r="AN54" s="71"/>
      <c r="AO54" s="71"/>
      <c r="AP54" s="71"/>
    </row>
    <row r="55" spans="1:42" ht="13.2" x14ac:dyDescent="0.25">
      <c r="A55" s="71"/>
      <c r="B55" s="160"/>
      <c r="C55" s="126"/>
      <c r="D55" s="126"/>
      <c r="E55" s="126"/>
      <c r="F55" s="71"/>
      <c r="G55" s="73"/>
      <c r="H55" s="71"/>
      <c r="I55" s="71"/>
      <c r="J55" s="71"/>
      <c r="K55" s="71"/>
      <c r="L55" s="71"/>
      <c r="M55" s="156"/>
      <c r="N55" s="156"/>
      <c r="O55" s="156"/>
      <c r="P55" s="156"/>
      <c r="Q55" s="156"/>
      <c r="R55" s="156"/>
      <c r="S55" s="156"/>
      <c r="T55" s="156"/>
      <c r="U55" s="156"/>
      <c r="V55" s="156"/>
      <c r="W55" s="156"/>
      <c r="X55" s="156"/>
      <c r="Y55" s="156"/>
      <c r="Z55" s="156"/>
      <c r="AA55" s="156"/>
      <c r="AB55" s="156"/>
      <c r="AC55" s="156"/>
      <c r="AD55" s="156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</row>
    <row r="56" spans="1:42" ht="15" customHeight="1" x14ac:dyDescent="0.25">
      <c r="A56" s="71"/>
      <c r="B56" s="125"/>
      <c r="C56" s="206"/>
      <c r="D56" s="155"/>
      <c r="E56" s="73"/>
      <c r="F56" s="71"/>
      <c r="G56" s="73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</row>
    <row r="57" spans="1:42" ht="15" customHeight="1" x14ac:dyDescent="0.25">
      <c r="A57" s="73"/>
      <c r="B57" s="207" t="s">
        <v>170</v>
      </c>
      <c r="C57" s="208" t="s">
        <v>171</v>
      </c>
      <c r="D57" s="155"/>
      <c r="E57" s="73"/>
      <c r="F57" s="73"/>
      <c r="G57" s="209">
        <f>G40</f>
        <v>0</v>
      </c>
      <c r="H57" s="327">
        <f t="shared" ref="H57:AK57" si="39">H40</f>
        <v>0</v>
      </c>
      <c r="I57" s="327">
        <f t="shared" si="39"/>
        <v>169920</v>
      </c>
      <c r="J57" s="327">
        <f t="shared" si="39"/>
        <v>169019.42332032</v>
      </c>
      <c r="K57" s="327">
        <f t="shared" si="39"/>
        <v>168123.6197006446</v>
      </c>
      <c r="L57" s="327">
        <f t="shared" si="39"/>
        <v>167232.56384373669</v>
      </c>
      <c r="M57" s="327">
        <f t="shared" si="39"/>
        <v>173998.15719341068</v>
      </c>
      <c r="N57" s="327">
        <f t="shared" si="39"/>
        <v>173075.96626429298</v>
      </c>
      <c r="O57" s="327">
        <f t="shared" si="39"/>
        <v>172158.66295078833</v>
      </c>
      <c r="P57" s="327">
        <f t="shared" si="39"/>
        <v>171246.22134851449</v>
      </c>
      <c r="Q57" s="327">
        <f t="shared" si="39"/>
        <v>3035113.8655247591</v>
      </c>
      <c r="R57" s="327">
        <f t="shared" si="39"/>
        <v>6038055.4997940445</v>
      </c>
      <c r="S57" s="327">
        <f t="shared" si="39"/>
        <v>11920137.781492913</v>
      </c>
      <c r="T57" s="327">
        <f t="shared" si="39"/>
        <v>11856961.003570449</v>
      </c>
      <c r="U57" s="327">
        <f t="shared" si="39"/>
        <v>10994561.9507086</v>
      </c>
      <c r="V57" s="327">
        <f t="shared" si="39"/>
        <v>10936290.728391597</v>
      </c>
      <c r="W57" s="327">
        <f t="shared" si="39"/>
        <v>10878328.343785958</v>
      </c>
      <c r="X57" s="327">
        <f t="shared" si="39"/>
        <v>10820673.16005058</v>
      </c>
      <c r="Y57" s="327">
        <f t="shared" si="39"/>
        <v>11650610.129001243</v>
      </c>
      <c r="Z57" s="327">
        <f t="shared" si="39"/>
        <v>11588861.848715097</v>
      </c>
      <c r="AA57" s="327">
        <f t="shared" si="39"/>
        <v>11527440.834561458</v>
      </c>
      <c r="AB57" s="327">
        <f t="shared" si="39"/>
        <v>11466345.352028519</v>
      </c>
      <c r="AC57" s="327">
        <f t="shared" si="39"/>
        <v>11930230.064884065</v>
      </c>
      <c r="AD57" s="327">
        <f t="shared" si="39"/>
        <v>11866999.797819257</v>
      </c>
      <c r="AE57" s="327">
        <f t="shared" si="39"/>
        <v>11804104.651422817</v>
      </c>
      <c r="AF57" s="327">
        <f t="shared" si="39"/>
        <v>11741542.849553857</v>
      </c>
      <c r="AG57" s="327">
        <f t="shared" si="39"/>
        <v>12615962.244788986</v>
      </c>
      <c r="AH57" s="327">
        <f t="shared" si="39"/>
        <v>12549097.594427753</v>
      </c>
      <c r="AI57" s="327">
        <f t="shared" si="39"/>
        <v>12482587.326980894</v>
      </c>
      <c r="AJ57" s="327">
        <f t="shared" si="39"/>
        <v>12416429.564217547</v>
      </c>
      <c r="AK57" s="327">
        <f t="shared" si="39"/>
        <v>12918751.070003103</v>
      </c>
      <c r="AL57" s="71"/>
      <c r="AM57" s="71"/>
      <c r="AN57" s="71"/>
      <c r="AO57" s="71"/>
      <c r="AP57" s="71"/>
    </row>
    <row r="58" spans="1:42" ht="15" customHeight="1" x14ac:dyDescent="0.25">
      <c r="A58" s="71"/>
      <c r="B58" s="72"/>
      <c r="C58" s="206"/>
      <c r="D58" s="155"/>
      <c r="E58" s="73"/>
      <c r="F58" s="71"/>
      <c r="G58" s="126" t="s">
        <v>172</v>
      </c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</row>
    <row r="59" spans="1:42" ht="13.2" x14ac:dyDescent="0.25">
      <c r="A59" s="71"/>
      <c r="B59" s="77" t="s">
        <v>173</v>
      </c>
      <c r="C59" s="210"/>
      <c r="D59" s="158"/>
      <c r="E59" s="78"/>
      <c r="F59" s="76"/>
      <c r="G59" s="78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1"/>
      <c r="AM59" s="71"/>
      <c r="AN59" s="71"/>
      <c r="AO59" s="71"/>
      <c r="AP59" s="71"/>
    </row>
    <row r="60" spans="1:42" ht="13.2" x14ac:dyDescent="0.25">
      <c r="A60" s="211"/>
      <c r="B60" s="212"/>
      <c r="C60" s="147"/>
      <c r="D60" s="213"/>
      <c r="E60" s="211"/>
      <c r="F60" s="211"/>
      <c r="G60" s="147"/>
      <c r="H60" s="147"/>
      <c r="I60" s="147"/>
      <c r="J60" s="147"/>
      <c r="K60" s="147"/>
      <c r="L60" s="147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211"/>
      <c r="AA60" s="211"/>
      <c r="AB60" s="211"/>
      <c r="AC60" s="211"/>
      <c r="AD60" s="211"/>
      <c r="AE60" s="214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</row>
    <row r="61" spans="1:42" ht="13.2" x14ac:dyDescent="0.25">
      <c r="A61" s="211"/>
      <c r="B61" s="212" t="s">
        <v>174</v>
      </c>
      <c r="C61" s="147"/>
      <c r="D61" s="213"/>
      <c r="E61" s="211"/>
      <c r="F61" s="211"/>
      <c r="G61" s="147"/>
      <c r="H61" s="147"/>
      <c r="I61" s="147"/>
      <c r="J61" s="147"/>
      <c r="K61" s="147"/>
      <c r="L61" s="147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11"/>
      <c r="AA61" s="211"/>
      <c r="AB61" s="211"/>
      <c r="AC61" s="211"/>
      <c r="AD61" s="211"/>
      <c r="AE61" s="214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</row>
    <row r="62" spans="1:42" ht="13.2" x14ac:dyDescent="0.25">
      <c r="A62" s="211"/>
      <c r="B62" s="215" t="s">
        <v>164</v>
      </c>
      <c r="C62" s="126" t="s">
        <v>165</v>
      </c>
      <c r="D62" s="213"/>
      <c r="E62" s="211"/>
      <c r="F62" s="211"/>
      <c r="G62" s="216">
        <f>'Active Users'!C17</f>
        <v>100</v>
      </c>
      <c r="H62" s="296">
        <f>'Active Users'!D17</f>
        <v>100</v>
      </c>
      <c r="I62" s="296">
        <f>'Active Users'!E17</f>
        <v>35400</v>
      </c>
      <c r="J62" s="296">
        <f>'Active Users'!F17</f>
        <v>35212.379858400003</v>
      </c>
      <c r="K62" s="296">
        <f>'Active Users'!G17</f>
        <v>35025.754104300962</v>
      </c>
      <c r="L62" s="296">
        <f>'Active Users'!H17</f>
        <v>34840.117467445147</v>
      </c>
      <c r="M62" s="296">
        <f>'Active Users'!I17</f>
        <v>34655.46470550722</v>
      </c>
      <c r="N62" s="296">
        <f>'Active Users'!J17</f>
        <v>34471.790603946174</v>
      </c>
      <c r="O62" s="296">
        <f>'Active Users'!K17</f>
        <v>34289.089975858093</v>
      </c>
      <c r="P62" s="296">
        <f>'Active Users'!L17</f>
        <v>34107.357661829687</v>
      </c>
      <c r="Q62" s="296">
        <f>'Active Users'!M17</f>
        <v>659463.29426489631</v>
      </c>
      <c r="R62" s="296">
        <f>'Active Users'!N17</f>
        <v>1311936.2723348783</v>
      </c>
      <c r="S62" s="296">
        <f>'Active Users'!O17</f>
        <v>2589983.004843758</v>
      </c>
      <c r="T62" s="296">
        <f>'Active Users'!P17</f>
        <v>2576256.084558154</v>
      </c>
      <c r="U62" s="296">
        <f>'Active Users'!Q17</f>
        <v>2882601.9170049713</v>
      </c>
      <c r="V62" s="296">
        <f>'Active Users'!R17</f>
        <v>2867324.1153144375</v>
      </c>
      <c r="W62" s="296">
        <f>'Active Users'!S17</f>
        <v>2852127.2860339745</v>
      </c>
      <c r="X62" s="296">
        <f>'Active Users'!T17</f>
        <v>2837011.0000094855</v>
      </c>
      <c r="Y62" s="296">
        <f>'Active Users'!U17</f>
        <v>2920274.8303613914</v>
      </c>
      <c r="Z62" s="296">
        <f>'Active Users'!V17</f>
        <v>2904797.3620793768</v>
      </c>
      <c r="AA62" s="296">
        <f>'Active Users'!W17</f>
        <v>2889401.9244411662</v>
      </c>
      <c r="AB62" s="296">
        <f>'Active Users'!X17</f>
        <v>2874088.0826840205</v>
      </c>
      <c r="AC62" s="296">
        <f>'Active Users'!Y17</f>
        <v>2858855.4043494426</v>
      </c>
      <c r="AD62" s="296">
        <f>'Active Users'!Z17</f>
        <v>2843703.4592709686</v>
      </c>
      <c r="AE62" s="296">
        <f>'Active Users'!AA17</f>
        <v>2828631.8195620188</v>
      </c>
      <c r="AF62" s="296">
        <f>'Active Users'!AB17</f>
        <v>2813640.0596038126</v>
      </c>
      <c r="AG62" s="296">
        <f>'Active Users'!AC17</f>
        <v>2890227.7560333521</v>
      </c>
      <c r="AH62" s="296">
        <f>'Active Users'!AD17</f>
        <v>2874909.537365464</v>
      </c>
      <c r="AI62" s="296">
        <f>'Active Users'!AE17</f>
        <v>2859672.5053177886</v>
      </c>
      <c r="AJ62" s="296">
        <f>'Active Users'!AF17</f>
        <v>2844516.2296009143</v>
      </c>
      <c r="AK62" s="296">
        <f>'Active Users'!AG17</f>
        <v>2829440.2822059644</v>
      </c>
      <c r="AL62" s="119"/>
      <c r="AM62" s="119"/>
      <c r="AN62" s="119"/>
      <c r="AO62" s="119"/>
      <c r="AP62" s="119"/>
    </row>
    <row r="63" spans="1:42" ht="13.2" x14ac:dyDescent="0.25">
      <c r="A63" s="211"/>
      <c r="B63" s="215" t="s">
        <v>175</v>
      </c>
      <c r="C63" s="126" t="s">
        <v>165</v>
      </c>
      <c r="D63" s="213"/>
      <c r="E63" s="211"/>
      <c r="F63" s="211"/>
      <c r="G63" s="216">
        <v>100</v>
      </c>
      <c r="H63" s="216">
        <f>H62-G62</f>
        <v>0</v>
      </c>
      <c r="I63" s="296">
        <f t="shared" ref="I63:AK63" si="40">I62-H62</f>
        <v>35300</v>
      </c>
      <c r="J63" s="296">
        <f t="shared" si="40"/>
        <v>-187.62014159999671</v>
      </c>
      <c r="K63" s="296">
        <f t="shared" si="40"/>
        <v>-186.62575409904093</v>
      </c>
      <c r="L63" s="296">
        <f t="shared" si="40"/>
        <v>-185.6366368558156</v>
      </c>
      <c r="M63" s="296">
        <f t="shared" si="40"/>
        <v>-184.6527619379267</v>
      </c>
      <c r="N63" s="296">
        <f t="shared" si="40"/>
        <v>-183.67410156104597</v>
      </c>
      <c r="O63" s="296">
        <f t="shared" si="40"/>
        <v>-182.70062808808143</v>
      </c>
      <c r="P63" s="296">
        <f t="shared" si="40"/>
        <v>-181.73231402840611</v>
      </c>
      <c r="Q63" s="296">
        <f t="shared" si="40"/>
        <v>625355.93660306663</v>
      </c>
      <c r="R63" s="296">
        <f t="shared" si="40"/>
        <v>652472.97806998203</v>
      </c>
      <c r="S63" s="296">
        <f t="shared" si="40"/>
        <v>1278046.7325088796</v>
      </c>
      <c r="T63" s="296">
        <f t="shared" si="40"/>
        <v>-13726.920285603963</v>
      </c>
      <c r="U63" s="296">
        <f t="shared" si="40"/>
        <v>306345.83244681731</v>
      </c>
      <c r="V63" s="296">
        <f t="shared" si="40"/>
        <v>-15277.801690533757</v>
      </c>
      <c r="W63" s="296">
        <f t="shared" si="40"/>
        <v>-15196.829280463047</v>
      </c>
      <c r="X63" s="296">
        <f t="shared" si="40"/>
        <v>-15116.286024488974</v>
      </c>
      <c r="Y63" s="296">
        <f t="shared" si="40"/>
        <v>83263.830351905897</v>
      </c>
      <c r="Z63" s="296">
        <f t="shared" si="40"/>
        <v>-15477.468282014597</v>
      </c>
      <c r="AA63" s="296">
        <f t="shared" si="40"/>
        <v>-15395.437638210598</v>
      </c>
      <c r="AB63" s="296">
        <f t="shared" si="40"/>
        <v>-15313.84175714571</v>
      </c>
      <c r="AC63" s="296">
        <f t="shared" si="40"/>
        <v>-15232.67833457794</v>
      </c>
      <c r="AD63" s="296">
        <f t="shared" si="40"/>
        <v>-15151.945078474004</v>
      </c>
      <c r="AE63" s="296">
        <f t="shared" si="40"/>
        <v>-15071.639708949719</v>
      </c>
      <c r="AF63" s="296">
        <f t="shared" si="40"/>
        <v>-14991.75995820621</v>
      </c>
      <c r="AG63" s="296">
        <f t="shared" si="40"/>
        <v>76587.696429539472</v>
      </c>
      <c r="AH63" s="296">
        <f t="shared" si="40"/>
        <v>-15318.218667888083</v>
      </c>
      <c r="AI63" s="296">
        <f t="shared" si="40"/>
        <v>-15237.032047675457</v>
      </c>
      <c r="AJ63" s="296">
        <f t="shared" si="40"/>
        <v>-15156.275716874283</v>
      </c>
      <c r="AK63" s="296">
        <f t="shared" si="40"/>
        <v>-15075.94739494985</v>
      </c>
      <c r="AL63" s="119"/>
      <c r="AM63" s="119"/>
      <c r="AN63" s="119"/>
      <c r="AO63" s="119"/>
      <c r="AP63" s="119"/>
    </row>
    <row r="64" spans="1:42" ht="13.2" x14ac:dyDescent="0.25">
      <c r="A64" s="211"/>
      <c r="B64" s="212"/>
      <c r="C64" s="166"/>
      <c r="D64" s="213"/>
      <c r="E64" s="211"/>
      <c r="F64" s="211"/>
      <c r="G64" s="147"/>
      <c r="H64" s="147"/>
      <c r="I64" s="147"/>
      <c r="J64" s="147"/>
      <c r="K64" s="147"/>
      <c r="L64" s="147"/>
      <c r="M64" s="211"/>
      <c r="N64" s="211"/>
      <c r="O64" s="211"/>
      <c r="P64" s="211"/>
      <c r="Q64" s="211"/>
      <c r="R64" s="211"/>
      <c r="S64" s="211"/>
      <c r="T64" s="211"/>
      <c r="U64" s="211"/>
      <c r="V64" s="211"/>
      <c r="W64" s="211"/>
      <c r="X64" s="211"/>
      <c r="Y64" s="211"/>
      <c r="Z64" s="211"/>
      <c r="AA64" s="211"/>
      <c r="AB64" s="211"/>
      <c r="AC64" s="211"/>
      <c r="AD64" s="211"/>
      <c r="AE64" s="214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</row>
    <row r="65" spans="1:42" ht="13.2" x14ac:dyDescent="0.25">
      <c r="A65" s="211"/>
      <c r="B65" s="212" t="s">
        <v>176</v>
      </c>
      <c r="C65" s="147"/>
      <c r="D65" s="213"/>
      <c r="E65" s="211"/>
      <c r="F65" s="211"/>
      <c r="G65" s="147"/>
      <c r="H65" s="147"/>
      <c r="I65" s="147"/>
      <c r="J65" s="147"/>
      <c r="K65" s="147"/>
      <c r="L65" s="147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1"/>
      <c r="AA65" s="211"/>
      <c r="AB65" s="211"/>
      <c r="AC65" s="211"/>
      <c r="AD65" s="211"/>
      <c r="AE65" s="214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</row>
    <row r="66" spans="1:42" ht="13.2" x14ac:dyDescent="0.25">
      <c r="A66" s="211"/>
      <c r="B66" s="215" t="s">
        <v>177</v>
      </c>
      <c r="C66" s="166" t="s">
        <v>178</v>
      </c>
      <c r="D66" s="217"/>
      <c r="E66" s="211"/>
      <c r="F66" s="211"/>
      <c r="G66" s="216">
        <v>1</v>
      </c>
      <c r="H66" s="216">
        <f>G66+H73/H71</f>
        <v>2</v>
      </c>
      <c r="I66" s="216">
        <f>H66+I73/I71</f>
        <v>7</v>
      </c>
      <c r="J66" s="216">
        <f t="shared" ref="J66:P66" si="41">I66+J73/J71</f>
        <v>8</v>
      </c>
      <c r="K66" s="216">
        <f>J66+K73/K71</f>
        <v>9</v>
      </c>
      <c r="L66" s="216">
        <f t="shared" si="41"/>
        <v>10</v>
      </c>
      <c r="M66" s="216">
        <f t="shared" si="41"/>
        <v>11</v>
      </c>
      <c r="N66" s="216">
        <f t="shared" si="41"/>
        <v>12</v>
      </c>
      <c r="O66" s="216">
        <f t="shared" si="41"/>
        <v>13</v>
      </c>
      <c r="P66" s="216">
        <f t="shared" si="41"/>
        <v>14</v>
      </c>
      <c r="Q66" s="216">
        <f>P66+Q73/Q71-70</f>
        <v>8</v>
      </c>
      <c r="R66" s="216">
        <f>Q66+R73/R71+40</f>
        <v>114</v>
      </c>
      <c r="S66" s="216">
        <f>R66+S73/S71+30</f>
        <v>273</v>
      </c>
      <c r="T66" s="216">
        <f t="shared" ref="T66:AK66" si="42">S66+T73/T71</f>
        <v>273</v>
      </c>
      <c r="U66" s="216">
        <f t="shared" si="42"/>
        <v>305</v>
      </c>
      <c r="V66" s="216">
        <f t="shared" si="42"/>
        <v>304</v>
      </c>
      <c r="W66" s="216">
        <f t="shared" si="42"/>
        <v>303</v>
      </c>
      <c r="X66" s="216">
        <f t="shared" si="42"/>
        <v>302</v>
      </c>
      <c r="Y66" s="216">
        <f t="shared" si="42"/>
        <v>311</v>
      </c>
      <c r="Z66" s="216">
        <f t="shared" si="42"/>
        <v>310</v>
      </c>
      <c r="AA66" s="216">
        <f t="shared" si="42"/>
        <v>309</v>
      </c>
      <c r="AB66" s="216">
        <f t="shared" si="42"/>
        <v>308</v>
      </c>
      <c r="AC66" s="216">
        <f t="shared" si="42"/>
        <v>307</v>
      </c>
      <c r="AD66" s="216">
        <f t="shared" si="42"/>
        <v>306</v>
      </c>
      <c r="AE66" s="216">
        <f t="shared" si="42"/>
        <v>305</v>
      </c>
      <c r="AF66" s="216">
        <f t="shared" si="42"/>
        <v>305</v>
      </c>
      <c r="AG66" s="216">
        <f t="shared" si="42"/>
        <v>314</v>
      </c>
      <c r="AH66" s="216">
        <f t="shared" si="42"/>
        <v>313</v>
      </c>
      <c r="AI66" s="216">
        <f t="shared" si="42"/>
        <v>312</v>
      </c>
      <c r="AJ66" s="216">
        <f t="shared" si="42"/>
        <v>311</v>
      </c>
      <c r="AK66" s="216">
        <f t="shared" si="42"/>
        <v>310</v>
      </c>
      <c r="AL66" s="119"/>
      <c r="AM66" s="119"/>
      <c r="AN66" s="119"/>
      <c r="AO66" s="119"/>
      <c r="AP66" s="119"/>
    </row>
    <row r="67" spans="1:42" ht="13.2" x14ac:dyDescent="0.25">
      <c r="A67" s="211"/>
      <c r="B67" s="215" t="s">
        <v>179</v>
      </c>
      <c r="C67" s="166" t="s">
        <v>178</v>
      </c>
      <c r="D67" s="217"/>
      <c r="E67" s="211"/>
      <c r="F67" s="211"/>
      <c r="G67" s="216">
        <v>0</v>
      </c>
      <c r="H67" s="216">
        <v>0</v>
      </c>
      <c r="I67" s="216">
        <v>0</v>
      </c>
      <c r="J67" s="216">
        <v>0</v>
      </c>
      <c r="K67" s="216">
        <v>0</v>
      </c>
      <c r="L67" s="216">
        <v>0</v>
      </c>
      <c r="M67" s="216">
        <v>0</v>
      </c>
      <c r="N67" s="216">
        <v>0</v>
      </c>
      <c r="O67" s="216">
        <v>0</v>
      </c>
      <c r="P67" s="216">
        <v>0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216">
        <v>0</v>
      </c>
      <c r="W67" s="216">
        <f t="shared" ref="W67:AK67" si="43">G73/G71</f>
        <v>1</v>
      </c>
      <c r="X67" s="216">
        <f t="shared" si="43"/>
        <v>1</v>
      </c>
      <c r="Y67" s="216">
        <f t="shared" si="43"/>
        <v>5</v>
      </c>
      <c r="Z67" s="216">
        <f t="shared" si="43"/>
        <v>1</v>
      </c>
      <c r="AA67" s="216">
        <f t="shared" si="43"/>
        <v>1</v>
      </c>
      <c r="AB67" s="216">
        <f t="shared" si="43"/>
        <v>1</v>
      </c>
      <c r="AC67" s="216">
        <f t="shared" si="43"/>
        <v>1</v>
      </c>
      <c r="AD67" s="216">
        <f t="shared" si="43"/>
        <v>1</v>
      </c>
      <c r="AE67" s="216">
        <f t="shared" si="43"/>
        <v>1</v>
      </c>
      <c r="AF67" s="216">
        <f t="shared" si="43"/>
        <v>1</v>
      </c>
      <c r="AG67" s="216">
        <f t="shared" si="43"/>
        <v>64</v>
      </c>
      <c r="AH67" s="216">
        <f t="shared" si="43"/>
        <v>66</v>
      </c>
      <c r="AI67" s="216">
        <f t="shared" si="43"/>
        <v>129</v>
      </c>
      <c r="AJ67" s="216">
        <f t="shared" si="43"/>
        <v>0</v>
      </c>
      <c r="AK67" s="216">
        <f t="shared" si="43"/>
        <v>32</v>
      </c>
      <c r="AL67" s="119"/>
      <c r="AM67" s="119"/>
      <c r="AN67" s="119"/>
      <c r="AO67" s="119"/>
      <c r="AP67" s="119"/>
    </row>
    <row r="68" spans="1:42" ht="13.2" x14ac:dyDescent="0.25">
      <c r="A68" s="147" t="s">
        <v>180</v>
      </c>
      <c r="B68" s="215" t="s">
        <v>181</v>
      </c>
      <c r="C68" s="147" t="s">
        <v>182</v>
      </c>
      <c r="D68" s="217"/>
      <c r="E68" s="211"/>
      <c r="F68" s="211"/>
      <c r="G68" s="216">
        <f t="shared" ref="G68:AK68" si="44">G67*G71</f>
        <v>0</v>
      </c>
      <c r="H68" s="216">
        <f t="shared" si="44"/>
        <v>0</v>
      </c>
      <c r="I68" s="216">
        <f t="shared" si="44"/>
        <v>0</v>
      </c>
      <c r="J68" s="216">
        <f t="shared" si="44"/>
        <v>0</v>
      </c>
      <c r="K68" s="216">
        <f t="shared" si="44"/>
        <v>0</v>
      </c>
      <c r="L68" s="216">
        <f t="shared" si="44"/>
        <v>0</v>
      </c>
      <c r="M68" s="216">
        <f t="shared" si="44"/>
        <v>0</v>
      </c>
      <c r="N68" s="216">
        <f t="shared" si="44"/>
        <v>0</v>
      </c>
      <c r="O68" s="216">
        <f t="shared" si="44"/>
        <v>0</v>
      </c>
      <c r="P68" s="216">
        <f t="shared" si="44"/>
        <v>0</v>
      </c>
      <c r="Q68" s="216">
        <f t="shared" si="44"/>
        <v>0</v>
      </c>
      <c r="R68" s="216">
        <f t="shared" si="44"/>
        <v>0</v>
      </c>
      <c r="S68" s="216">
        <f t="shared" si="44"/>
        <v>0</v>
      </c>
      <c r="T68" s="216">
        <f t="shared" si="44"/>
        <v>0</v>
      </c>
      <c r="U68" s="216">
        <f t="shared" si="44"/>
        <v>0</v>
      </c>
      <c r="V68" s="216">
        <f t="shared" si="44"/>
        <v>0</v>
      </c>
      <c r="W68" s="216">
        <f t="shared" si="44"/>
        <v>43037.193217030333</v>
      </c>
      <c r="X68" s="216">
        <f t="shared" si="44"/>
        <v>43565.355741357591</v>
      </c>
      <c r="Y68" s="216">
        <f t="shared" si="44"/>
        <v>220500.00000000015</v>
      </c>
      <c r="Z68" s="216">
        <f t="shared" si="44"/>
        <v>44641.205538320668</v>
      </c>
      <c r="AA68" s="216">
        <f t="shared" si="44"/>
        <v>45189.05287788187</v>
      </c>
      <c r="AB68" s="216">
        <f t="shared" si="44"/>
        <v>45743.623528425494</v>
      </c>
      <c r="AC68" s="216">
        <f t="shared" si="44"/>
        <v>46305.000000000051</v>
      </c>
      <c r="AD68" s="216">
        <f t="shared" si="44"/>
        <v>46873.265815236722</v>
      </c>
      <c r="AE68" s="216">
        <f t="shared" si="44"/>
        <v>47448.50552177598</v>
      </c>
      <c r="AF68" s="216">
        <f t="shared" si="44"/>
        <v>48030.804704846785</v>
      </c>
      <c r="AG68" s="216">
        <f t="shared" si="44"/>
        <v>3111696.0000000047</v>
      </c>
      <c r="AH68" s="216">
        <f t="shared" si="44"/>
        <v>3248317.3209959059</v>
      </c>
      <c r="AI68" s="216">
        <f t="shared" si="44"/>
        <v>6426900.072924559</v>
      </c>
      <c r="AJ68" s="216">
        <f t="shared" si="44"/>
        <v>0</v>
      </c>
      <c r="AK68" s="216">
        <f t="shared" si="44"/>
        <v>1633640.4000000029</v>
      </c>
      <c r="AL68" s="119"/>
      <c r="AM68" s="119"/>
      <c r="AN68" s="119"/>
      <c r="AO68" s="119"/>
      <c r="AP68" s="119"/>
    </row>
    <row r="69" spans="1:42" ht="13.2" x14ac:dyDescent="0.25">
      <c r="A69" s="211"/>
      <c r="B69" s="215" t="s">
        <v>183</v>
      </c>
      <c r="C69" s="166" t="s">
        <v>184</v>
      </c>
      <c r="D69" s="217" t="s">
        <v>185</v>
      </c>
      <c r="E69" s="211"/>
      <c r="F69" s="211"/>
      <c r="G69" s="216">
        <v>1875</v>
      </c>
      <c r="H69" s="216">
        <f>G69*H7</f>
        <v>1898.0104395544488</v>
      </c>
      <c r="I69" s="216">
        <f t="shared" ref="I69:P69" si="45">H69*I7</f>
        <v>1921.3032686174249</v>
      </c>
      <c r="J69" s="216">
        <f t="shared" si="45"/>
        <v>1944.8819527391774</v>
      </c>
      <c r="K69" s="216">
        <f t="shared" si="45"/>
        <v>1968.7500000000005</v>
      </c>
      <c r="L69" s="216">
        <f t="shared" si="45"/>
        <v>1992.9109615321718</v>
      </c>
      <c r="M69" s="216">
        <f t="shared" si="45"/>
        <v>2017.3684320482969</v>
      </c>
      <c r="N69" s="216">
        <f t="shared" si="45"/>
        <v>2042.1260503761371</v>
      </c>
      <c r="O69" s="216">
        <f t="shared" si="45"/>
        <v>2067.1875000000014</v>
      </c>
      <c r="P69" s="216">
        <f t="shared" si="45"/>
        <v>2092.5565096087812</v>
      </c>
      <c r="Q69" s="216">
        <f>P69*Q7*1.33</f>
        <v>2817.2550153554475</v>
      </c>
      <c r="R69" s="216">
        <f t="shared" ref="R69:AK69" si="46">Q69*R7</f>
        <v>2851.8290293502764</v>
      </c>
      <c r="S69" s="216">
        <f t="shared" si="46"/>
        <v>2886.8273437500029</v>
      </c>
      <c r="T69" s="216">
        <f t="shared" si="46"/>
        <v>2922.2551656686637</v>
      </c>
      <c r="U69" s="216">
        <f t="shared" si="46"/>
        <v>2958.1177661232209</v>
      </c>
      <c r="V69" s="216">
        <f t="shared" si="46"/>
        <v>2994.4204808177915</v>
      </c>
      <c r="W69" s="216">
        <f t="shared" si="46"/>
        <v>3031.1687109375043</v>
      </c>
      <c r="X69" s="216">
        <f t="shared" si="46"/>
        <v>3068.3679239520984</v>
      </c>
      <c r="Y69" s="216">
        <f t="shared" si="46"/>
        <v>3106.0236544293834</v>
      </c>
      <c r="Z69" s="216">
        <f t="shared" si="46"/>
        <v>3144.1415048586823</v>
      </c>
      <c r="AA69" s="216">
        <f t="shared" si="46"/>
        <v>3182.7271464843807</v>
      </c>
      <c r="AB69" s="216">
        <f t="shared" si="46"/>
        <v>3221.7863201497044</v>
      </c>
      <c r="AC69" s="216">
        <f t="shared" si="46"/>
        <v>3261.3248371508535</v>
      </c>
      <c r="AD69" s="216">
        <f t="shared" si="46"/>
        <v>3301.3485801016172</v>
      </c>
      <c r="AE69" s="216">
        <f t="shared" si="46"/>
        <v>3341.8635038086004</v>
      </c>
      <c r="AF69" s="216">
        <f t="shared" si="46"/>
        <v>3382.8756361571905</v>
      </c>
      <c r="AG69" s="216">
        <f t="shared" si="46"/>
        <v>3424.3910790083974</v>
      </c>
      <c r="AH69" s="216">
        <f t="shared" si="46"/>
        <v>3466.4160091066992</v>
      </c>
      <c r="AI69" s="216">
        <f t="shared" si="46"/>
        <v>3508.9566789990317</v>
      </c>
      <c r="AJ69" s="216">
        <f t="shared" si="46"/>
        <v>3552.0194179650512</v>
      </c>
      <c r="AK69" s="216">
        <f t="shared" si="46"/>
        <v>3595.6106329588183</v>
      </c>
      <c r="AL69" s="119"/>
      <c r="AM69" s="119"/>
      <c r="AN69" s="119"/>
      <c r="AO69" s="119"/>
      <c r="AP69" s="119"/>
    </row>
    <row r="70" spans="1:42" ht="13.2" x14ac:dyDescent="0.25">
      <c r="A70" s="211"/>
      <c r="B70" s="23" t="s">
        <v>186</v>
      </c>
      <c r="C70" s="147" t="s">
        <v>182</v>
      </c>
      <c r="D70" s="213"/>
      <c r="E70" s="211"/>
      <c r="F70" s="211"/>
      <c r="G70" s="216">
        <v>0</v>
      </c>
      <c r="H70" s="216">
        <f t="shared" ref="H70:AK70" si="47">H69*G66</f>
        <v>1898.0104395544488</v>
      </c>
      <c r="I70" s="216">
        <f t="shared" si="47"/>
        <v>3842.6065372348498</v>
      </c>
      <c r="J70" s="216">
        <f t="shared" si="47"/>
        <v>13614.173669174243</v>
      </c>
      <c r="K70" s="216">
        <f t="shared" si="47"/>
        <v>15750.000000000004</v>
      </c>
      <c r="L70" s="216">
        <f t="shared" si="47"/>
        <v>17936.198653789546</v>
      </c>
      <c r="M70" s="216">
        <f t="shared" si="47"/>
        <v>20173.684320482967</v>
      </c>
      <c r="N70" s="216">
        <f t="shared" si="47"/>
        <v>22463.386554137509</v>
      </c>
      <c r="O70" s="216">
        <f t="shared" si="47"/>
        <v>24806.250000000015</v>
      </c>
      <c r="P70" s="216">
        <f t="shared" si="47"/>
        <v>27203.234624914156</v>
      </c>
      <c r="Q70" s="216">
        <f t="shared" si="47"/>
        <v>39441.570214976266</v>
      </c>
      <c r="R70" s="216">
        <f t="shared" si="47"/>
        <v>22814.632234802211</v>
      </c>
      <c r="S70" s="216">
        <f t="shared" si="47"/>
        <v>329098.3171875003</v>
      </c>
      <c r="T70" s="216">
        <f t="shared" si="47"/>
        <v>797775.66022754519</v>
      </c>
      <c r="U70" s="216">
        <f t="shared" si="47"/>
        <v>807566.15015163936</v>
      </c>
      <c r="V70" s="216">
        <f t="shared" si="47"/>
        <v>913298.24664942641</v>
      </c>
      <c r="W70" s="216">
        <f t="shared" si="47"/>
        <v>921475.28812500136</v>
      </c>
      <c r="X70" s="216">
        <f t="shared" si="47"/>
        <v>929715.48095748585</v>
      </c>
      <c r="Y70" s="216">
        <f t="shared" si="47"/>
        <v>938019.14363767381</v>
      </c>
      <c r="Z70" s="216">
        <f t="shared" si="47"/>
        <v>977828.00801105017</v>
      </c>
      <c r="AA70" s="216">
        <f t="shared" si="47"/>
        <v>986645.41541015799</v>
      </c>
      <c r="AB70" s="216">
        <f t="shared" si="47"/>
        <v>995531.97292625869</v>
      </c>
      <c r="AC70" s="216">
        <f t="shared" si="47"/>
        <v>1004488.0498424629</v>
      </c>
      <c r="AD70" s="216">
        <f t="shared" si="47"/>
        <v>1013514.0140911965</v>
      </c>
      <c r="AE70" s="216">
        <f t="shared" si="47"/>
        <v>1022610.2321654317</v>
      </c>
      <c r="AF70" s="216">
        <f t="shared" si="47"/>
        <v>1031777.0690279431</v>
      </c>
      <c r="AG70" s="216">
        <f t="shared" si="47"/>
        <v>1044439.2790975611</v>
      </c>
      <c r="AH70" s="216">
        <f t="shared" si="47"/>
        <v>1088454.6268595036</v>
      </c>
      <c r="AI70" s="216">
        <f t="shared" si="47"/>
        <v>1098303.4405266969</v>
      </c>
      <c r="AJ70" s="216">
        <f t="shared" si="47"/>
        <v>1108230.0584050959</v>
      </c>
      <c r="AK70" s="216">
        <f t="shared" si="47"/>
        <v>1118234.9068501925</v>
      </c>
      <c r="AL70" s="119"/>
      <c r="AM70" s="119"/>
      <c r="AN70" s="119"/>
      <c r="AO70" s="119"/>
      <c r="AP70" s="119"/>
    </row>
    <row r="71" spans="1:42" ht="13.2" x14ac:dyDescent="0.25">
      <c r="A71" s="211"/>
      <c r="B71" s="23" t="s">
        <v>187</v>
      </c>
      <c r="C71" s="147" t="s">
        <v>182</v>
      </c>
      <c r="D71" s="213"/>
      <c r="E71" s="211"/>
      <c r="F71" s="211"/>
      <c r="G71" s="216">
        <v>30000</v>
      </c>
      <c r="H71" s="216">
        <f t="shared" ref="H71:P71" si="48">G71*H7</f>
        <v>30368.167032871181</v>
      </c>
      <c r="I71" s="216">
        <f t="shared" si="48"/>
        <v>30740.852297878799</v>
      </c>
      <c r="J71" s="216">
        <f t="shared" si="48"/>
        <v>31118.111243826839</v>
      </c>
      <c r="K71" s="216">
        <f t="shared" si="48"/>
        <v>31500.000000000007</v>
      </c>
      <c r="L71" s="216">
        <f t="shared" si="48"/>
        <v>31886.575384514748</v>
      </c>
      <c r="M71" s="216">
        <f t="shared" si="48"/>
        <v>32277.89491277275</v>
      </c>
      <c r="N71" s="216">
        <f t="shared" si="48"/>
        <v>32674.016806018193</v>
      </c>
      <c r="O71" s="216">
        <f t="shared" si="48"/>
        <v>33075.000000000022</v>
      </c>
      <c r="P71" s="216">
        <f t="shared" si="48"/>
        <v>33480.904153740499</v>
      </c>
      <c r="Q71" s="216">
        <v>40000</v>
      </c>
      <c r="R71" s="216">
        <f t="shared" ref="R71:AK71" si="49">Q71*R7</f>
        <v>40490.889377161577</v>
      </c>
      <c r="S71" s="216">
        <f t="shared" si="49"/>
        <v>40987.803063838401</v>
      </c>
      <c r="T71" s="216">
        <f t="shared" si="49"/>
        <v>41490.814991769126</v>
      </c>
      <c r="U71" s="216">
        <f t="shared" si="49"/>
        <v>42000.000000000015</v>
      </c>
      <c r="V71" s="216">
        <f t="shared" si="49"/>
        <v>42515.433846019667</v>
      </c>
      <c r="W71" s="216">
        <f t="shared" si="49"/>
        <v>43037.193217030333</v>
      </c>
      <c r="X71" s="216">
        <f t="shared" si="49"/>
        <v>43565.355741357591</v>
      </c>
      <c r="Y71" s="216">
        <f t="shared" si="49"/>
        <v>44100.000000000029</v>
      </c>
      <c r="Z71" s="216">
        <f t="shared" si="49"/>
        <v>44641.205538320668</v>
      </c>
      <c r="AA71" s="216">
        <f t="shared" si="49"/>
        <v>45189.05287788187</v>
      </c>
      <c r="AB71" s="216">
        <f t="shared" si="49"/>
        <v>45743.623528425494</v>
      </c>
      <c r="AC71" s="216">
        <f t="shared" si="49"/>
        <v>46305.000000000051</v>
      </c>
      <c r="AD71" s="216">
        <f t="shared" si="49"/>
        <v>46873.265815236722</v>
      </c>
      <c r="AE71" s="216">
        <f t="shared" si="49"/>
        <v>47448.50552177598</v>
      </c>
      <c r="AF71" s="216">
        <f t="shared" si="49"/>
        <v>48030.804704846785</v>
      </c>
      <c r="AG71" s="216">
        <f t="shared" si="49"/>
        <v>48620.250000000073</v>
      </c>
      <c r="AH71" s="216">
        <f t="shared" si="49"/>
        <v>49216.929105998577</v>
      </c>
      <c r="AI71" s="216">
        <f t="shared" si="49"/>
        <v>49820.930797864799</v>
      </c>
      <c r="AJ71" s="216">
        <f t="shared" si="49"/>
        <v>50432.34494008914</v>
      </c>
      <c r="AK71" s="216">
        <f t="shared" si="49"/>
        <v>51051.262500000092</v>
      </c>
      <c r="AL71" s="119"/>
      <c r="AM71" s="119"/>
      <c r="AN71" s="119"/>
      <c r="AO71" s="119"/>
      <c r="AP71" s="119"/>
    </row>
    <row r="72" spans="1:42" ht="13.2" x14ac:dyDescent="0.25">
      <c r="A72" s="211"/>
      <c r="B72" s="23" t="s">
        <v>188</v>
      </c>
      <c r="C72" s="147" t="s">
        <v>182</v>
      </c>
      <c r="D72" s="217" t="s">
        <v>189</v>
      </c>
      <c r="E72" s="211"/>
      <c r="F72" s="211"/>
      <c r="G72" s="218">
        <f t="shared" ref="G72:AK72" si="50">G71/10000</f>
        <v>3</v>
      </c>
      <c r="H72" s="218">
        <f t="shared" si="50"/>
        <v>3.0368167032871183</v>
      </c>
      <c r="I72" s="218">
        <f t="shared" si="50"/>
        <v>3.07408522978788</v>
      </c>
      <c r="J72" s="218">
        <f t="shared" si="50"/>
        <v>3.111811124382684</v>
      </c>
      <c r="K72" s="218">
        <f t="shared" si="50"/>
        <v>3.1500000000000008</v>
      </c>
      <c r="L72" s="218">
        <f t="shared" si="50"/>
        <v>3.188657538451475</v>
      </c>
      <c r="M72" s="218">
        <f t="shared" si="50"/>
        <v>3.2277894912772749</v>
      </c>
      <c r="N72" s="218">
        <f t="shared" si="50"/>
        <v>3.2674016806018193</v>
      </c>
      <c r="O72" s="218">
        <f t="shared" si="50"/>
        <v>3.3075000000000023</v>
      </c>
      <c r="P72" s="218">
        <f t="shared" si="50"/>
        <v>3.3480904153740498</v>
      </c>
      <c r="Q72" s="218">
        <f t="shared" si="50"/>
        <v>4</v>
      </c>
      <c r="R72" s="218">
        <f t="shared" si="50"/>
        <v>4.0490889377161574</v>
      </c>
      <c r="S72" s="218">
        <f t="shared" si="50"/>
        <v>4.0987803063838397</v>
      </c>
      <c r="T72" s="218">
        <f t="shared" si="50"/>
        <v>4.1490814991769129</v>
      </c>
      <c r="U72" s="218">
        <f t="shared" si="50"/>
        <v>4.2000000000000011</v>
      </c>
      <c r="V72" s="218">
        <f t="shared" si="50"/>
        <v>4.251543384601967</v>
      </c>
      <c r="W72" s="218">
        <f t="shared" si="50"/>
        <v>4.3037193217030332</v>
      </c>
      <c r="X72" s="218">
        <f t="shared" si="50"/>
        <v>4.3565355741357594</v>
      </c>
      <c r="Y72" s="218">
        <f t="shared" si="50"/>
        <v>4.4100000000000028</v>
      </c>
      <c r="Z72" s="218">
        <f t="shared" si="50"/>
        <v>4.4641205538320667</v>
      </c>
      <c r="AA72" s="218">
        <f t="shared" si="50"/>
        <v>4.5189052877881872</v>
      </c>
      <c r="AB72" s="218">
        <f t="shared" si="50"/>
        <v>4.5743623528425497</v>
      </c>
      <c r="AC72" s="218">
        <f t="shared" si="50"/>
        <v>4.6305000000000049</v>
      </c>
      <c r="AD72" s="218">
        <f t="shared" si="50"/>
        <v>4.6873265815236724</v>
      </c>
      <c r="AE72" s="218">
        <f t="shared" si="50"/>
        <v>4.7448505521775983</v>
      </c>
      <c r="AF72" s="218">
        <f t="shared" si="50"/>
        <v>4.8030804704846783</v>
      </c>
      <c r="AG72" s="218">
        <f t="shared" si="50"/>
        <v>4.8620250000000071</v>
      </c>
      <c r="AH72" s="218">
        <f t="shared" si="50"/>
        <v>4.9216929105998579</v>
      </c>
      <c r="AI72" s="218">
        <f t="shared" si="50"/>
        <v>4.9820930797864795</v>
      </c>
      <c r="AJ72" s="218">
        <f t="shared" si="50"/>
        <v>5.0432344940089138</v>
      </c>
      <c r="AK72" s="218">
        <f t="shared" si="50"/>
        <v>5.1051262500000094</v>
      </c>
      <c r="AL72" s="119"/>
      <c r="AM72" s="119"/>
      <c r="AN72" s="119"/>
      <c r="AO72" s="119"/>
      <c r="AP72" s="119"/>
    </row>
    <row r="73" spans="1:42" ht="13.2" x14ac:dyDescent="0.25">
      <c r="A73" s="211"/>
      <c r="B73" s="215" t="s">
        <v>190</v>
      </c>
      <c r="C73" s="147" t="s">
        <v>182</v>
      </c>
      <c r="E73" s="211"/>
      <c r="F73" s="211"/>
      <c r="G73" s="216">
        <f>ROUND(1+G63/10000,0)*G71</f>
        <v>30000</v>
      </c>
      <c r="H73" s="296">
        <f t="shared" ref="H73:AK73" si="51">ROUND(1+H63/10000,0)*H71</f>
        <v>30368.167032871181</v>
      </c>
      <c r="I73" s="296">
        <f t="shared" si="51"/>
        <v>153704.261489394</v>
      </c>
      <c r="J73" s="296">
        <f t="shared" si="51"/>
        <v>31118.111243826839</v>
      </c>
      <c r="K73" s="296">
        <f t="shared" si="51"/>
        <v>31500.000000000007</v>
      </c>
      <c r="L73" s="296">
        <f t="shared" si="51"/>
        <v>31886.575384514748</v>
      </c>
      <c r="M73" s="296">
        <f t="shared" si="51"/>
        <v>32277.89491277275</v>
      </c>
      <c r="N73" s="296">
        <f t="shared" si="51"/>
        <v>32674.016806018193</v>
      </c>
      <c r="O73" s="296">
        <f t="shared" si="51"/>
        <v>33075.000000000022</v>
      </c>
      <c r="P73" s="296">
        <f t="shared" si="51"/>
        <v>33480.904153740499</v>
      </c>
      <c r="Q73" s="296">
        <f t="shared" si="51"/>
        <v>2560000</v>
      </c>
      <c r="R73" s="296">
        <f t="shared" si="51"/>
        <v>2672398.6988926642</v>
      </c>
      <c r="S73" s="296">
        <f t="shared" si="51"/>
        <v>5287426.595235154</v>
      </c>
      <c r="T73" s="296">
        <f t="shared" si="51"/>
        <v>0</v>
      </c>
      <c r="U73" s="296">
        <f t="shared" si="51"/>
        <v>1344000.0000000005</v>
      </c>
      <c r="V73" s="296">
        <f t="shared" si="51"/>
        <v>-42515.433846019667</v>
      </c>
      <c r="W73" s="296">
        <f t="shared" si="51"/>
        <v>-43037.193217030333</v>
      </c>
      <c r="X73" s="296">
        <f t="shared" si="51"/>
        <v>-43565.355741357591</v>
      </c>
      <c r="Y73" s="296">
        <f t="shared" si="51"/>
        <v>396900.00000000023</v>
      </c>
      <c r="Z73" s="296">
        <f t="shared" si="51"/>
        <v>-44641.205538320668</v>
      </c>
      <c r="AA73" s="296">
        <f t="shared" si="51"/>
        <v>-45189.05287788187</v>
      </c>
      <c r="AB73" s="296">
        <f t="shared" si="51"/>
        <v>-45743.623528425494</v>
      </c>
      <c r="AC73" s="296">
        <f t="shared" si="51"/>
        <v>-46305.000000000051</v>
      </c>
      <c r="AD73" s="296">
        <f t="shared" si="51"/>
        <v>-46873.265815236722</v>
      </c>
      <c r="AE73" s="296">
        <f t="shared" si="51"/>
        <v>-47448.50552177598</v>
      </c>
      <c r="AF73" s="296">
        <f t="shared" si="51"/>
        <v>0</v>
      </c>
      <c r="AG73" s="296">
        <f t="shared" si="51"/>
        <v>437582.25000000064</v>
      </c>
      <c r="AH73" s="296">
        <f t="shared" si="51"/>
        <v>-49216.929105998577</v>
      </c>
      <c r="AI73" s="296">
        <f t="shared" si="51"/>
        <v>-49820.930797864799</v>
      </c>
      <c r="AJ73" s="296">
        <f t="shared" si="51"/>
        <v>-50432.34494008914</v>
      </c>
      <c r="AK73" s="296">
        <f t="shared" si="51"/>
        <v>-51051.262500000092</v>
      </c>
      <c r="AL73" s="119"/>
      <c r="AM73" s="119"/>
      <c r="AN73" s="119"/>
      <c r="AO73" s="119"/>
      <c r="AP73" s="119"/>
    </row>
    <row r="74" spans="1:42" ht="13.2" x14ac:dyDescent="0.25">
      <c r="A74" s="211"/>
      <c r="B74" s="219" t="s">
        <v>191</v>
      </c>
      <c r="C74" s="147" t="s">
        <v>182</v>
      </c>
      <c r="D74" s="213"/>
      <c r="E74" s="211"/>
      <c r="F74" s="211"/>
      <c r="G74" s="220">
        <f t="shared" ref="G74:AK74" si="52">G73+G70+G68</f>
        <v>30000</v>
      </c>
      <c r="H74" s="220">
        <f t="shared" si="52"/>
        <v>32266.177472425628</v>
      </c>
      <c r="I74" s="220">
        <f t="shared" si="52"/>
        <v>157546.86802662886</v>
      </c>
      <c r="J74" s="220">
        <f t="shared" si="52"/>
        <v>44732.28491300108</v>
      </c>
      <c r="K74" s="220">
        <f t="shared" si="52"/>
        <v>47250.000000000015</v>
      </c>
      <c r="L74" s="220">
        <f t="shared" si="52"/>
        <v>49822.774038304298</v>
      </c>
      <c r="M74" s="220">
        <f t="shared" si="52"/>
        <v>52451.579233255718</v>
      </c>
      <c r="N74" s="220">
        <f t="shared" si="52"/>
        <v>55137.403360155702</v>
      </c>
      <c r="O74" s="220">
        <f t="shared" si="52"/>
        <v>57881.250000000036</v>
      </c>
      <c r="P74" s="220">
        <f t="shared" si="52"/>
        <v>60684.138778654655</v>
      </c>
      <c r="Q74" s="220">
        <f t="shared" si="52"/>
        <v>2599441.5702149761</v>
      </c>
      <c r="R74" s="220">
        <f t="shared" si="52"/>
        <v>2695213.3311274662</v>
      </c>
      <c r="S74" s="220">
        <f t="shared" si="52"/>
        <v>5616524.9124226542</v>
      </c>
      <c r="T74" s="220">
        <f t="shared" si="52"/>
        <v>797775.66022754519</v>
      </c>
      <c r="U74" s="220">
        <f t="shared" si="52"/>
        <v>2151566.1501516397</v>
      </c>
      <c r="V74" s="220">
        <f t="shared" si="52"/>
        <v>870782.81280340673</v>
      </c>
      <c r="W74" s="220">
        <f t="shared" si="52"/>
        <v>921475.28812500136</v>
      </c>
      <c r="X74" s="220">
        <f t="shared" si="52"/>
        <v>929715.48095748585</v>
      </c>
      <c r="Y74" s="220">
        <f t="shared" si="52"/>
        <v>1555419.1436376742</v>
      </c>
      <c r="Z74" s="220">
        <f t="shared" si="52"/>
        <v>977828.00801105017</v>
      </c>
      <c r="AA74" s="220">
        <f t="shared" si="52"/>
        <v>986645.41541015799</v>
      </c>
      <c r="AB74" s="220">
        <f t="shared" si="52"/>
        <v>995531.97292625869</v>
      </c>
      <c r="AC74" s="220">
        <f t="shared" si="52"/>
        <v>1004488.0498424629</v>
      </c>
      <c r="AD74" s="220">
        <f t="shared" si="52"/>
        <v>1013514.0140911965</v>
      </c>
      <c r="AE74" s="220">
        <f t="shared" si="52"/>
        <v>1022610.2321654316</v>
      </c>
      <c r="AF74" s="220">
        <f t="shared" si="52"/>
        <v>1079807.8737327899</v>
      </c>
      <c r="AG74" s="220">
        <f t="shared" si="52"/>
        <v>4593717.5290975664</v>
      </c>
      <c r="AH74" s="220">
        <f t="shared" si="52"/>
        <v>4287555.0187494112</v>
      </c>
      <c r="AI74" s="220">
        <f t="shared" si="52"/>
        <v>7475382.5826533912</v>
      </c>
      <c r="AJ74" s="220">
        <f t="shared" si="52"/>
        <v>1057797.7134650068</v>
      </c>
      <c r="AK74" s="220">
        <f t="shared" si="52"/>
        <v>2700824.0443501952</v>
      </c>
      <c r="AL74" s="221"/>
      <c r="AM74" s="221"/>
      <c r="AN74" s="221"/>
      <c r="AO74" s="221"/>
      <c r="AP74" s="221"/>
    </row>
    <row r="75" spans="1:42" ht="13.2" x14ac:dyDescent="0.25">
      <c r="B75" s="222"/>
      <c r="C75" s="208"/>
      <c r="D75" s="223"/>
      <c r="E75" s="214"/>
      <c r="F75" s="214"/>
      <c r="G75" s="224"/>
      <c r="H75" s="224"/>
      <c r="I75" s="224"/>
      <c r="J75" s="224"/>
      <c r="K75" s="224"/>
      <c r="L75" s="224"/>
      <c r="M75" s="224"/>
      <c r="N75" s="224"/>
      <c r="O75" s="224"/>
      <c r="P75" s="224"/>
      <c r="Q75" s="224"/>
      <c r="R75" s="224"/>
      <c r="S75" s="224"/>
      <c r="T75" s="224"/>
      <c r="U75" s="224"/>
      <c r="V75" s="224"/>
      <c r="W75" s="224"/>
      <c r="X75" s="224"/>
      <c r="Y75" s="224"/>
      <c r="Z75" s="224"/>
      <c r="AA75" s="224"/>
      <c r="AB75" s="224"/>
      <c r="AC75" s="224"/>
      <c r="AD75" s="224"/>
      <c r="AE75" s="224"/>
      <c r="AF75" s="224"/>
      <c r="AG75" s="214"/>
      <c r="AH75" s="214"/>
      <c r="AI75" s="214"/>
      <c r="AJ75" s="214"/>
      <c r="AK75" s="214"/>
      <c r="AL75" s="214"/>
      <c r="AM75" s="214"/>
      <c r="AN75" s="214"/>
      <c r="AO75" s="214"/>
      <c r="AP75" s="214"/>
    </row>
    <row r="76" spans="1:42" ht="13.2" x14ac:dyDescent="0.25">
      <c r="B76" s="225" t="s">
        <v>192</v>
      </c>
      <c r="C76" s="101"/>
      <c r="D76" s="226"/>
      <c r="E76" s="211"/>
      <c r="F76" s="214"/>
      <c r="G76" s="224"/>
      <c r="H76" s="224"/>
      <c r="I76" s="224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4"/>
      <c r="Z76" s="224"/>
      <c r="AA76" s="224"/>
      <c r="AB76" s="224"/>
      <c r="AC76" s="224"/>
      <c r="AD76" s="224"/>
      <c r="AE76" s="224"/>
      <c r="AF76" s="224"/>
      <c r="AG76" s="214"/>
      <c r="AH76" s="214"/>
      <c r="AI76" s="214"/>
      <c r="AJ76" s="214"/>
      <c r="AK76" s="214"/>
      <c r="AL76" s="214"/>
      <c r="AM76" s="214"/>
      <c r="AN76" s="214"/>
      <c r="AO76" s="214"/>
      <c r="AP76" s="214"/>
    </row>
    <row r="77" spans="1:42" ht="13.2" x14ac:dyDescent="0.25">
      <c r="B77" s="227" t="s">
        <v>193</v>
      </c>
      <c r="C77" s="98" t="s">
        <v>194</v>
      </c>
      <c r="D77" s="226"/>
      <c r="E77" s="147"/>
      <c r="F77" s="214"/>
      <c r="G77" s="228">
        <v>8</v>
      </c>
      <c r="H77" s="228">
        <v>8</v>
      </c>
      <c r="I77" s="228">
        <v>8</v>
      </c>
      <c r="J77" s="228">
        <v>8</v>
      </c>
      <c r="K77" s="228">
        <v>8</v>
      </c>
      <c r="L77" s="228">
        <v>8</v>
      </c>
      <c r="M77" s="228">
        <v>8</v>
      </c>
      <c r="N77" s="228">
        <v>8</v>
      </c>
      <c r="O77" s="228">
        <v>8</v>
      </c>
      <c r="P77" s="228">
        <v>8</v>
      </c>
      <c r="Q77" s="228">
        <v>8</v>
      </c>
      <c r="R77" s="228">
        <v>8</v>
      </c>
      <c r="S77" s="228">
        <v>8</v>
      </c>
      <c r="T77" s="228">
        <v>8</v>
      </c>
      <c r="U77" s="228">
        <v>8</v>
      </c>
      <c r="V77" s="228">
        <v>8</v>
      </c>
      <c r="W77" s="228">
        <v>8</v>
      </c>
      <c r="X77" s="228">
        <v>8</v>
      </c>
      <c r="Y77" s="228">
        <v>8</v>
      </c>
      <c r="Z77" s="228">
        <v>8</v>
      </c>
      <c r="AA77" s="228">
        <v>8</v>
      </c>
      <c r="AB77" s="228">
        <v>8</v>
      </c>
      <c r="AC77" s="228">
        <v>8</v>
      </c>
      <c r="AD77" s="228">
        <v>8</v>
      </c>
      <c r="AE77" s="228">
        <v>8</v>
      </c>
      <c r="AF77" s="228">
        <v>8</v>
      </c>
      <c r="AG77" s="228">
        <v>8</v>
      </c>
      <c r="AH77" s="228">
        <v>8</v>
      </c>
      <c r="AI77" s="228">
        <v>8</v>
      </c>
      <c r="AJ77" s="228">
        <v>8</v>
      </c>
      <c r="AK77" s="228">
        <v>8</v>
      </c>
      <c r="AL77" s="214"/>
      <c r="AM77" s="214"/>
      <c r="AN77" s="214"/>
      <c r="AO77" s="214"/>
      <c r="AP77" s="214"/>
    </row>
    <row r="78" spans="1:42" ht="13.2" x14ac:dyDescent="0.25">
      <c r="B78" s="215" t="s">
        <v>195</v>
      </c>
      <c r="C78" s="98" t="s">
        <v>196</v>
      </c>
      <c r="D78" s="226"/>
      <c r="E78" s="211"/>
      <c r="F78" s="214"/>
      <c r="G78" s="228">
        <v>24</v>
      </c>
      <c r="H78" s="228">
        <v>24</v>
      </c>
      <c r="I78" s="228">
        <v>24</v>
      </c>
      <c r="J78" s="228">
        <v>24</v>
      </c>
      <c r="K78" s="228">
        <v>24</v>
      </c>
      <c r="L78" s="228">
        <v>24</v>
      </c>
      <c r="M78" s="228">
        <v>24</v>
      </c>
      <c r="N78" s="228">
        <v>24</v>
      </c>
      <c r="O78" s="228">
        <v>24</v>
      </c>
      <c r="P78" s="228">
        <v>24</v>
      </c>
      <c r="Q78" s="228">
        <v>24</v>
      </c>
      <c r="R78" s="228">
        <v>24</v>
      </c>
      <c r="S78" s="228">
        <v>24</v>
      </c>
      <c r="T78" s="228">
        <v>24</v>
      </c>
      <c r="U78" s="228">
        <v>24</v>
      </c>
      <c r="V78" s="228">
        <v>24</v>
      </c>
      <c r="W78" s="228">
        <v>24</v>
      </c>
      <c r="X78" s="228">
        <v>24</v>
      </c>
      <c r="Y78" s="228">
        <v>24</v>
      </c>
      <c r="Z78" s="228">
        <v>24</v>
      </c>
      <c r="AA78" s="228">
        <v>24</v>
      </c>
      <c r="AB78" s="228">
        <v>24</v>
      </c>
      <c r="AC78" s="228">
        <v>24</v>
      </c>
      <c r="AD78" s="228">
        <v>24</v>
      </c>
      <c r="AE78" s="228">
        <v>24</v>
      </c>
      <c r="AF78" s="228">
        <v>24</v>
      </c>
      <c r="AG78" s="228">
        <v>24</v>
      </c>
      <c r="AH78" s="228">
        <v>24</v>
      </c>
      <c r="AI78" s="228">
        <v>24</v>
      </c>
      <c r="AJ78" s="228">
        <v>24</v>
      </c>
      <c r="AK78" s="228">
        <v>24</v>
      </c>
      <c r="AL78" s="214"/>
      <c r="AM78" s="214"/>
      <c r="AN78" s="214"/>
      <c r="AO78" s="214"/>
      <c r="AP78" s="214"/>
    </row>
    <row r="79" spans="1:42" ht="13.2" x14ac:dyDescent="0.25">
      <c r="B79" s="215" t="s">
        <v>197</v>
      </c>
      <c r="C79" s="147" t="s">
        <v>198</v>
      </c>
      <c r="D79" s="226"/>
      <c r="E79" s="147"/>
      <c r="F79" s="214"/>
      <c r="G79" s="229">
        <v>0.12</v>
      </c>
      <c r="H79" s="132">
        <f t="shared" ref="H79:AK79" si="53">G79*H7</f>
        <v>0.12147266813148472</v>
      </c>
      <c r="I79" s="132">
        <f t="shared" si="53"/>
        <v>0.1229634091915152</v>
      </c>
      <c r="J79" s="132">
        <f t="shared" si="53"/>
        <v>0.12447244497530736</v>
      </c>
      <c r="K79" s="132">
        <f t="shared" si="53"/>
        <v>0.12600000000000003</v>
      </c>
      <c r="L79" s="132">
        <f t="shared" si="53"/>
        <v>0.12754630153805899</v>
      </c>
      <c r="M79" s="132">
        <f t="shared" si="53"/>
        <v>0.12911157965109099</v>
      </c>
      <c r="N79" s="132">
        <f t="shared" si="53"/>
        <v>0.13069606722407276</v>
      </c>
      <c r="O79" s="132">
        <f t="shared" si="53"/>
        <v>0.13230000000000006</v>
      </c>
      <c r="P79" s="132">
        <f t="shared" si="53"/>
        <v>0.13392361661496197</v>
      </c>
      <c r="Q79" s="132">
        <f t="shared" si="53"/>
        <v>0.13556715863364557</v>
      </c>
      <c r="R79" s="132">
        <f t="shared" si="53"/>
        <v>0.13723087058527644</v>
      </c>
      <c r="S79" s="132">
        <f t="shared" si="53"/>
        <v>0.13891500000000012</v>
      </c>
      <c r="T79" s="132">
        <f t="shared" si="53"/>
        <v>0.14061979744571013</v>
      </c>
      <c r="U79" s="132">
        <f t="shared" si="53"/>
        <v>0.1423455165653279</v>
      </c>
      <c r="V79" s="132">
        <f t="shared" si="53"/>
        <v>0.1440924141145403</v>
      </c>
      <c r="W79" s="132">
        <f t="shared" si="53"/>
        <v>0.14586075000000015</v>
      </c>
      <c r="X79" s="132">
        <f t="shared" si="53"/>
        <v>0.14765078731799566</v>
      </c>
      <c r="Y79" s="132">
        <f t="shared" si="53"/>
        <v>0.14946279239359433</v>
      </c>
      <c r="Z79" s="132">
        <f t="shared" si="53"/>
        <v>0.15129703482026735</v>
      </c>
      <c r="AA79" s="132">
        <f t="shared" si="53"/>
        <v>0.15315378750000019</v>
      </c>
      <c r="AB79" s="132">
        <f t="shared" si="53"/>
        <v>0.15503332668389547</v>
      </c>
      <c r="AC79" s="132">
        <f t="shared" si="53"/>
        <v>0.15693593201327408</v>
      </c>
      <c r="AD79" s="132">
        <f t="shared" si="53"/>
        <v>0.15886188656128075</v>
      </c>
      <c r="AE79" s="132">
        <f t="shared" si="53"/>
        <v>0.16081147687500025</v>
      </c>
      <c r="AF79" s="132">
        <f t="shared" si="53"/>
        <v>0.1627849930180903</v>
      </c>
      <c r="AG79" s="132">
        <f t="shared" si="53"/>
        <v>0.16478272861393783</v>
      </c>
      <c r="AH79" s="132">
        <f t="shared" si="53"/>
        <v>0.16680498088934484</v>
      </c>
      <c r="AI79" s="132">
        <f t="shared" si="53"/>
        <v>0.16885205071875031</v>
      </c>
      <c r="AJ79" s="132">
        <f t="shared" si="53"/>
        <v>0.17092424266899486</v>
      </c>
      <c r="AK79" s="132">
        <f t="shared" si="53"/>
        <v>0.17302186504463479</v>
      </c>
      <c r="AL79" s="214"/>
      <c r="AM79" s="214"/>
      <c r="AN79" s="214"/>
      <c r="AO79" s="214"/>
      <c r="AP79" s="214"/>
    </row>
    <row r="80" spans="1:42" ht="13.2" x14ac:dyDescent="0.25">
      <c r="B80" s="230" t="s">
        <v>199</v>
      </c>
      <c r="C80" s="88" t="s">
        <v>200</v>
      </c>
      <c r="D80" s="231"/>
      <c r="E80" s="119"/>
      <c r="F80" s="214"/>
      <c r="G80" s="224">
        <f>G77*G78*G79</f>
        <v>23.04</v>
      </c>
      <c r="H80" s="224">
        <f t="shared" ref="H80:AK80" si="54">H77*H78*H79</f>
        <v>23.322752281245066</v>
      </c>
      <c r="I80" s="224">
        <f t="shared" si="54"/>
        <v>23.608974564770918</v>
      </c>
      <c r="J80" s="224">
        <f t="shared" si="54"/>
        <v>23.898709435259015</v>
      </c>
      <c r="K80" s="224">
        <f t="shared" si="54"/>
        <v>24.192000000000007</v>
      </c>
      <c r="L80" s="224">
        <f t="shared" si="54"/>
        <v>24.488889895307324</v>
      </c>
      <c r="M80" s="224">
        <f t="shared" si="54"/>
        <v>24.78942329300947</v>
      </c>
      <c r="N80" s="224">
        <f t="shared" si="54"/>
        <v>25.093644907021968</v>
      </c>
      <c r="O80" s="224">
        <f t="shared" si="54"/>
        <v>25.401600000000009</v>
      </c>
      <c r="P80" s="224">
        <f t="shared" si="54"/>
        <v>25.713334390072696</v>
      </c>
      <c r="Q80" s="224">
        <f t="shared" si="54"/>
        <v>26.028894457659952</v>
      </c>
      <c r="R80" s="224">
        <f t="shared" si="54"/>
        <v>26.348327152373077</v>
      </c>
      <c r="S80" s="224">
        <f t="shared" si="54"/>
        <v>26.671680000000023</v>
      </c>
      <c r="T80" s="224">
        <f t="shared" si="54"/>
        <v>26.999001109576344</v>
      </c>
      <c r="U80" s="224">
        <f t="shared" si="54"/>
        <v>27.330339180542957</v>
      </c>
      <c r="V80" s="224">
        <f t="shared" si="54"/>
        <v>27.665743509991735</v>
      </c>
      <c r="W80" s="224">
        <f t="shared" si="54"/>
        <v>28.005264000000029</v>
      </c>
      <c r="X80" s="224">
        <f t="shared" si="54"/>
        <v>28.348951165055169</v>
      </c>
      <c r="Y80" s="224">
        <f t="shared" si="54"/>
        <v>28.696856139570112</v>
      </c>
      <c r="Z80" s="224">
        <f t="shared" si="54"/>
        <v>29.049030685491331</v>
      </c>
      <c r="AA80" s="224">
        <f t="shared" si="54"/>
        <v>29.405527200000037</v>
      </c>
      <c r="AB80" s="224">
        <f t="shared" si="54"/>
        <v>29.76639872330793</v>
      </c>
      <c r="AC80" s="224">
        <f t="shared" si="54"/>
        <v>30.131698946548624</v>
      </c>
      <c r="AD80" s="224">
        <f t="shared" si="54"/>
        <v>30.501482219765904</v>
      </c>
      <c r="AE80" s="224">
        <f t="shared" si="54"/>
        <v>30.875803560000048</v>
      </c>
      <c r="AF80" s="224">
        <f t="shared" si="54"/>
        <v>31.254718659473337</v>
      </c>
      <c r="AG80" s="224">
        <f t="shared" si="54"/>
        <v>31.638283893876064</v>
      </c>
      <c r="AH80" s="224">
        <f t="shared" si="54"/>
        <v>32.026556330754211</v>
      </c>
      <c r="AI80" s="224">
        <f t="shared" si="54"/>
        <v>32.41959373800006</v>
      </c>
      <c r="AJ80" s="224">
        <f t="shared" si="54"/>
        <v>32.817454592447014</v>
      </c>
      <c r="AK80" s="224">
        <f t="shared" si="54"/>
        <v>33.22019808856988</v>
      </c>
      <c r="AL80" s="214"/>
      <c r="AM80" s="214"/>
      <c r="AN80" s="214"/>
      <c r="AO80" s="214"/>
      <c r="AP80" s="214"/>
    </row>
    <row r="81" spans="1:42" ht="13.2" x14ac:dyDescent="0.25">
      <c r="A81" s="20"/>
      <c r="B81" s="232" t="s">
        <v>201</v>
      </c>
      <c r="C81" s="233" t="s">
        <v>182</v>
      </c>
      <c r="D81" s="234"/>
      <c r="E81" s="221"/>
      <c r="F81" s="155"/>
      <c r="G81" s="235">
        <f>G80*G66*90</f>
        <v>2073.6</v>
      </c>
      <c r="H81" s="235">
        <f t="shared" ref="H81:AK81" si="55">H80*H66*90</f>
        <v>4198.0954106241115</v>
      </c>
      <c r="I81" s="235">
        <f t="shared" si="55"/>
        <v>14873.653975805679</v>
      </c>
      <c r="J81" s="235">
        <f t="shared" si="55"/>
        <v>17207.070793386491</v>
      </c>
      <c r="K81" s="235">
        <f t="shared" si="55"/>
        <v>19595.520000000004</v>
      </c>
      <c r="L81" s="235">
        <f t="shared" si="55"/>
        <v>22040.000905776593</v>
      </c>
      <c r="M81" s="235">
        <f t="shared" si="55"/>
        <v>24541.529060079374</v>
      </c>
      <c r="N81" s="235">
        <f t="shared" si="55"/>
        <v>27101.136499583725</v>
      </c>
      <c r="O81" s="235">
        <f t="shared" si="55"/>
        <v>29719.87200000001</v>
      </c>
      <c r="P81" s="235">
        <f t="shared" si="55"/>
        <v>32398.801331491595</v>
      </c>
      <c r="Q81" s="235">
        <f t="shared" si="55"/>
        <v>18740.804009515166</v>
      </c>
      <c r="R81" s="235">
        <f t="shared" si="55"/>
        <v>270333.83658334782</v>
      </c>
      <c r="S81" s="235">
        <f t="shared" si="55"/>
        <v>655323.17760000052</v>
      </c>
      <c r="T81" s="235">
        <f t="shared" si="55"/>
        <v>663365.45726229076</v>
      </c>
      <c r="U81" s="235">
        <f t="shared" si="55"/>
        <v>750217.81050590414</v>
      </c>
      <c r="V81" s="235">
        <f t="shared" si="55"/>
        <v>756934.74243337393</v>
      </c>
      <c r="W81" s="235">
        <f t="shared" si="55"/>
        <v>763703.54928000085</v>
      </c>
      <c r="X81" s="235">
        <f t="shared" si="55"/>
        <v>770524.49266619945</v>
      </c>
      <c r="Y81" s="235">
        <f t="shared" si="55"/>
        <v>803225.00334656739</v>
      </c>
      <c r="Z81" s="235">
        <f t="shared" si="55"/>
        <v>810467.95612520818</v>
      </c>
      <c r="AA81" s="235">
        <f t="shared" si="55"/>
        <v>817767.71143200097</v>
      </c>
      <c r="AB81" s="235">
        <f t="shared" si="55"/>
        <v>825124.57261009584</v>
      </c>
      <c r="AC81" s="235">
        <f t="shared" si="55"/>
        <v>832538.8418931386</v>
      </c>
      <c r="AD81" s="235">
        <f t="shared" si="55"/>
        <v>840010.820332353</v>
      </c>
      <c r="AE81" s="235">
        <f t="shared" si="55"/>
        <v>847540.80772200122</v>
      </c>
      <c r="AF81" s="235">
        <f t="shared" si="55"/>
        <v>857942.02720254322</v>
      </c>
      <c r="AG81" s="235">
        <f t="shared" si="55"/>
        <v>894097.90284093749</v>
      </c>
      <c r="AH81" s="235">
        <f t="shared" si="55"/>
        <v>902188.0918373462</v>
      </c>
      <c r="AI81" s="235">
        <f t="shared" si="55"/>
        <v>910342.19216304168</v>
      </c>
      <c r="AJ81" s="235">
        <f t="shared" si="55"/>
        <v>918560.55404259195</v>
      </c>
      <c r="AK81" s="235">
        <f t="shared" si="55"/>
        <v>926843.52667109959</v>
      </c>
      <c r="AL81" s="155"/>
      <c r="AM81" s="155"/>
      <c r="AN81" s="155"/>
      <c r="AO81" s="155"/>
      <c r="AP81" s="155"/>
    </row>
    <row r="82" spans="1:42" ht="13.2" x14ac:dyDescent="0.25">
      <c r="B82" s="230"/>
      <c r="C82" s="88"/>
      <c r="D82" s="231"/>
      <c r="E82" s="119"/>
      <c r="F82" s="214"/>
      <c r="G82" s="224"/>
      <c r="H82" s="224"/>
      <c r="I82" s="224"/>
      <c r="J82" s="224"/>
      <c r="K82" s="224"/>
      <c r="L82" s="224"/>
      <c r="M82" s="224"/>
      <c r="N82" s="224"/>
      <c r="O82" s="224"/>
      <c r="P82" s="224"/>
      <c r="Q82" s="224"/>
      <c r="R82" s="224"/>
      <c r="S82" s="224"/>
      <c r="T82" s="224"/>
      <c r="U82" s="224"/>
      <c r="V82" s="224"/>
      <c r="W82" s="224"/>
      <c r="X82" s="224"/>
      <c r="Y82" s="224"/>
      <c r="Z82" s="224"/>
      <c r="AA82" s="224"/>
      <c r="AB82" s="224"/>
      <c r="AC82" s="224"/>
      <c r="AD82" s="224"/>
      <c r="AE82" s="224"/>
      <c r="AF82" s="224"/>
      <c r="AG82" s="214"/>
      <c r="AH82" s="214"/>
      <c r="AI82" s="214"/>
      <c r="AJ82" s="214"/>
      <c r="AK82" s="214"/>
      <c r="AL82" s="214"/>
      <c r="AM82" s="214"/>
      <c r="AN82" s="214"/>
      <c r="AO82" s="214"/>
      <c r="AP82" s="214"/>
    </row>
    <row r="83" spans="1:42" ht="13.2" x14ac:dyDescent="0.25">
      <c r="B83" s="236" t="s">
        <v>202</v>
      </c>
      <c r="C83" s="88"/>
      <c r="E83" s="119"/>
      <c r="F83" s="214"/>
      <c r="G83" s="224"/>
      <c r="H83" s="224"/>
      <c r="I83" s="224"/>
      <c r="J83" s="224"/>
      <c r="K83" s="224"/>
      <c r="L83" s="224"/>
      <c r="M83" s="224"/>
      <c r="N83" s="224"/>
      <c r="O83" s="224"/>
      <c r="P83" s="224"/>
      <c r="Q83" s="224"/>
      <c r="R83" s="224"/>
      <c r="S83" s="224"/>
      <c r="T83" s="224"/>
      <c r="U83" s="224"/>
      <c r="V83" s="224"/>
      <c r="W83" s="224"/>
      <c r="X83" s="224"/>
      <c r="Y83" s="224"/>
      <c r="Z83" s="224"/>
      <c r="AA83" s="224"/>
      <c r="AB83" s="224"/>
      <c r="AC83" s="224"/>
      <c r="AD83" s="224"/>
      <c r="AE83" s="224"/>
      <c r="AF83" s="224"/>
      <c r="AG83" s="214"/>
      <c r="AH83" s="214"/>
      <c r="AI83" s="214"/>
      <c r="AJ83" s="214"/>
      <c r="AK83" s="214"/>
      <c r="AL83" s="214"/>
      <c r="AM83" s="214"/>
      <c r="AN83" s="214"/>
      <c r="AO83" s="214"/>
      <c r="AP83" s="214"/>
    </row>
    <row r="84" spans="1:42" ht="13.2" x14ac:dyDescent="0.25">
      <c r="B84" s="230" t="s">
        <v>203</v>
      </c>
      <c r="C84" s="147" t="s">
        <v>182</v>
      </c>
      <c r="D84" s="237" t="s">
        <v>204</v>
      </c>
      <c r="E84" s="119"/>
      <c r="F84" s="214"/>
      <c r="G84" s="238">
        <v>200000</v>
      </c>
      <c r="H84" s="239">
        <f t="shared" ref="H84:N84" si="56">G84-H85</f>
        <v>191667</v>
      </c>
      <c r="I84" s="239">
        <f t="shared" si="56"/>
        <v>183334</v>
      </c>
      <c r="J84" s="239">
        <f t="shared" si="56"/>
        <v>175001</v>
      </c>
      <c r="K84" s="239">
        <f t="shared" si="56"/>
        <v>166668</v>
      </c>
      <c r="L84" s="239">
        <f t="shared" si="56"/>
        <v>158335</v>
      </c>
      <c r="M84" s="239">
        <f t="shared" si="56"/>
        <v>150002</v>
      </c>
      <c r="N84" s="239">
        <f t="shared" si="56"/>
        <v>141669</v>
      </c>
      <c r="O84" s="239">
        <f>N84-O85+500000</f>
        <v>633336</v>
      </c>
      <c r="P84" s="239">
        <f t="shared" ref="P84:AJ84" si="57">O84-P85</f>
        <v>604170</v>
      </c>
      <c r="Q84" s="239">
        <f t="shared" si="57"/>
        <v>575004</v>
      </c>
      <c r="R84" s="239">
        <f t="shared" si="57"/>
        <v>545838</v>
      </c>
      <c r="S84" s="239">
        <f t="shared" si="57"/>
        <v>516672</v>
      </c>
      <c r="T84" s="239">
        <f t="shared" si="57"/>
        <v>487506</v>
      </c>
      <c r="U84" s="239">
        <f t="shared" si="57"/>
        <v>458340</v>
      </c>
      <c r="V84" s="239">
        <f t="shared" si="57"/>
        <v>429174</v>
      </c>
      <c r="W84" s="239">
        <f t="shared" si="57"/>
        <v>400008</v>
      </c>
      <c r="X84" s="239">
        <f t="shared" si="57"/>
        <v>370842</v>
      </c>
      <c r="Y84" s="239">
        <f t="shared" si="57"/>
        <v>341676</v>
      </c>
      <c r="Z84" s="239">
        <f t="shared" si="57"/>
        <v>312510</v>
      </c>
      <c r="AA84" s="239">
        <f t="shared" si="57"/>
        <v>283344</v>
      </c>
      <c r="AB84" s="239">
        <f t="shared" si="57"/>
        <v>254178</v>
      </c>
      <c r="AC84" s="239">
        <f t="shared" si="57"/>
        <v>225012</v>
      </c>
      <c r="AD84" s="239">
        <f t="shared" si="57"/>
        <v>195846</v>
      </c>
      <c r="AE84" s="239">
        <f t="shared" si="57"/>
        <v>166680</v>
      </c>
      <c r="AF84" s="239">
        <f t="shared" si="57"/>
        <v>137514</v>
      </c>
      <c r="AG84" s="239">
        <f t="shared" si="57"/>
        <v>108348</v>
      </c>
      <c r="AH84" s="239">
        <f t="shared" si="57"/>
        <v>79182</v>
      </c>
      <c r="AI84" s="239">
        <f t="shared" si="57"/>
        <v>50016</v>
      </c>
      <c r="AJ84" s="239">
        <f t="shared" si="57"/>
        <v>20850</v>
      </c>
      <c r="AK84" s="238">
        <v>0</v>
      </c>
      <c r="AL84" s="214"/>
      <c r="AM84" s="214"/>
      <c r="AN84" s="214"/>
      <c r="AO84" s="214"/>
      <c r="AP84" s="214"/>
    </row>
    <row r="85" spans="1:42" ht="13.2" x14ac:dyDescent="0.25">
      <c r="B85" s="230" t="s">
        <v>205</v>
      </c>
      <c r="C85" s="147" t="s">
        <v>182</v>
      </c>
      <c r="E85" s="119"/>
      <c r="F85" s="214"/>
      <c r="G85" s="238">
        <v>0</v>
      </c>
      <c r="H85" s="238">
        <v>8333</v>
      </c>
      <c r="I85" s="238">
        <v>8333</v>
      </c>
      <c r="J85" s="238">
        <v>8333</v>
      </c>
      <c r="K85" s="238">
        <v>8333</v>
      </c>
      <c r="L85" s="238">
        <v>8333</v>
      </c>
      <c r="M85" s="238">
        <v>8333</v>
      </c>
      <c r="N85" s="238">
        <v>8333</v>
      </c>
      <c r="O85" s="238">
        <v>8333</v>
      </c>
      <c r="P85" s="238">
        <v>29166</v>
      </c>
      <c r="Q85" s="238">
        <v>29166</v>
      </c>
      <c r="R85" s="238">
        <v>29166</v>
      </c>
      <c r="S85" s="238">
        <v>29166</v>
      </c>
      <c r="T85" s="238">
        <v>29166</v>
      </c>
      <c r="U85" s="238">
        <v>29166</v>
      </c>
      <c r="V85" s="238">
        <v>29166</v>
      </c>
      <c r="W85" s="238">
        <v>29166</v>
      </c>
      <c r="X85" s="238">
        <v>29166</v>
      </c>
      <c r="Y85" s="238">
        <v>29166</v>
      </c>
      <c r="Z85" s="238">
        <v>29166</v>
      </c>
      <c r="AA85" s="238">
        <v>29166</v>
      </c>
      <c r="AB85" s="238">
        <v>29166</v>
      </c>
      <c r="AC85" s="238">
        <v>29166</v>
      </c>
      <c r="AD85" s="238">
        <v>29166</v>
      </c>
      <c r="AE85" s="238">
        <v>29166</v>
      </c>
      <c r="AF85" s="238">
        <v>29166</v>
      </c>
      <c r="AG85" s="238">
        <v>29166</v>
      </c>
      <c r="AH85" s="238">
        <v>29166</v>
      </c>
      <c r="AI85" s="238">
        <v>29166</v>
      </c>
      <c r="AJ85" s="238">
        <v>29166</v>
      </c>
      <c r="AK85" s="238">
        <f>AJ84</f>
        <v>20850</v>
      </c>
      <c r="AL85" s="214"/>
      <c r="AM85" s="214"/>
      <c r="AN85" s="214"/>
      <c r="AO85" s="214"/>
      <c r="AP85" s="214"/>
    </row>
    <row r="86" spans="1:42" ht="13.2" x14ac:dyDescent="0.25">
      <c r="B86" s="230" t="s">
        <v>206</v>
      </c>
      <c r="C86" s="147" t="s">
        <v>182</v>
      </c>
      <c r="D86" s="240">
        <v>0.06</v>
      </c>
      <c r="E86" s="119"/>
      <c r="F86" s="214"/>
      <c r="G86" s="238">
        <f t="shared" ref="G86:AK86" si="58">0.0156*G84</f>
        <v>3120</v>
      </c>
      <c r="H86" s="238">
        <f t="shared" si="58"/>
        <v>2990.0052000000001</v>
      </c>
      <c r="I86" s="238">
        <f t="shared" si="58"/>
        <v>2860.0103999999997</v>
      </c>
      <c r="J86" s="238">
        <f t="shared" si="58"/>
        <v>2730.0155999999997</v>
      </c>
      <c r="K86" s="238">
        <f t="shared" si="58"/>
        <v>2600.0207999999998</v>
      </c>
      <c r="L86" s="238">
        <f t="shared" si="58"/>
        <v>2470.0259999999998</v>
      </c>
      <c r="M86" s="238">
        <f t="shared" si="58"/>
        <v>2340.0311999999999</v>
      </c>
      <c r="N86" s="238">
        <f t="shared" si="58"/>
        <v>2210.0364</v>
      </c>
      <c r="O86" s="238">
        <f t="shared" si="58"/>
        <v>9880.0415999999987</v>
      </c>
      <c r="P86" s="238">
        <f t="shared" si="58"/>
        <v>9425.0519999999997</v>
      </c>
      <c r="Q86" s="238">
        <f t="shared" si="58"/>
        <v>8970.0623999999989</v>
      </c>
      <c r="R86" s="238">
        <f t="shared" si="58"/>
        <v>8515.0727999999999</v>
      </c>
      <c r="S86" s="238">
        <f t="shared" si="58"/>
        <v>8060.0832</v>
      </c>
      <c r="T86" s="238">
        <f t="shared" si="58"/>
        <v>7605.0935999999992</v>
      </c>
      <c r="U86" s="238">
        <f t="shared" si="58"/>
        <v>7150.1039999999994</v>
      </c>
      <c r="V86" s="238">
        <f t="shared" si="58"/>
        <v>6695.1143999999995</v>
      </c>
      <c r="W86" s="238">
        <f t="shared" si="58"/>
        <v>6240.1247999999996</v>
      </c>
      <c r="X86" s="238">
        <f t="shared" si="58"/>
        <v>5785.1351999999997</v>
      </c>
      <c r="Y86" s="238">
        <f t="shared" si="58"/>
        <v>5330.1455999999998</v>
      </c>
      <c r="Z86" s="238">
        <f t="shared" si="58"/>
        <v>4875.1559999999999</v>
      </c>
      <c r="AA86" s="238">
        <f t="shared" si="58"/>
        <v>4420.1664000000001</v>
      </c>
      <c r="AB86" s="238">
        <f t="shared" si="58"/>
        <v>3965.1767999999997</v>
      </c>
      <c r="AC86" s="238">
        <f t="shared" si="58"/>
        <v>3510.1871999999998</v>
      </c>
      <c r="AD86" s="238">
        <f t="shared" si="58"/>
        <v>3055.1976</v>
      </c>
      <c r="AE86" s="238">
        <f t="shared" si="58"/>
        <v>2600.2080000000001</v>
      </c>
      <c r="AF86" s="238">
        <f t="shared" si="58"/>
        <v>2145.2183999999997</v>
      </c>
      <c r="AG86" s="238">
        <f t="shared" si="58"/>
        <v>1690.2287999999999</v>
      </c>
      <c r="AH86" s="238">
        <f t="shared" si="58"/>
        <v>1235.2392</v>
      </c>
      <c r="AI86" s="238">
        <f t="shared" si="58"/>
        <v>780.24959999999999</v>
      </c>
      <c r="AJ86" s="238">
        <f t="shared" si="58"/>
        <v>325.26</v>
      </c>
      <c r="AK86" s="238">
        <f t="shared" si="58"/>
        <v>0</v>
      </c>
      <c r="AL86" s="214"/>
      <c r="AM86" s="214"/>
      <c r="AN86" s="214"/>
      <c r="AO86" s="214"/>
      <c r="AP86" s="214"/>
    </row>
    <row r="87" spans="1:42" ht="13.2" x14ac:dyDescent="0.25">
      <c r="B87" s="232" t="s">
        <v>207</v>
      </c>
      <c r="C87" s="88"/>
      <c r="D87" s="241"/>
      <c r="E87" s="119"/>
      <c r="F87" s="214"/>
      <c r="G87" s="242">
        <f t="shared" ref="G87:AK87" si="59">G86+G85</f>
        <v>3120</v>
      </c>
      <c r="H87" s="242">
        <f t="shared" si="59"/>
        <v>11323.0052</v>
      </c>
      <c r="I87" s="242">
        <f t="shared" si="59"/>
        <v>11193.010399999999</v>
      </c>
      <c r="J87" s="242">
        <f t="shared" si="59"/>
        <v>11063.015599999999</v>
      </c>
      <c r="K87" s="242">
        <f t="shared" si="59"/>
        <v>10933.0208</v>
      </c>
      <c r="L87" s="242">
        <f t="shared" si="59"/>
        <v>10803.026</v>
      </c>
      <c r="M87" s="242">
        <f t="shared" si="59"/>
        <v>10673.031199999999</v>
      </c>
      <c r="N87" s="242">
        <f t="shared" si="59"/>
        <v>10543.036400000001</v>
      </c>
      <c r="O87" s="242">
        <f t="shared" si="59"/>
        <v>18213.041599999997</v>
      </c>
      <c r="P87" s="242">
        <f t="shared" si="59"/>
        <v>38591.051999999996</v>
      </c>
      <c r="Q87" s="242">
        <f t="shared" si="59"/>
        <v>38136.062399999995</v>
      </c>
      <c r="R87" s="242">
        <f t="shared" si="59"/>
        <v>37681.072800000002</v>
      </c>
      <c r="S87" s="242">
        <f t="shared" si="59"/>
        <v>37226.083200000001</v>
      </c>
      <c r="T87" s="242">
        <f t="shared" si="59"/>
        <v>36771.0936</v>
      </c>
      <c r="U87" s="242">
        <f t="shared" si="59"/>
        <v>36316.103999999999</v>
      </c>
      <c r="V87" s="242">
        <f t="shared" si="59"/>
        <v>35861.114399999999</v>
      </c>
      <c r="W87" s="242">
        <f t="shared" si="59"/>
        <v>35406.124799999998</v>
      </c>
      <c r="X87" s="242">
        <f t="shared" si="59"/>
        <v>34951.135199999997</v>
      </c>
      <c r="Y87" s="242">
        <f t="shared" si="59"/>
        <v>34496.145600000003</v>
      </c>
      <c r="Z87" s="242">
        <f t="shared" si="59"/>
        <v>34041.156000000003</v>
      </c>
      <c r="AA87" s="242">
        <f t="shared" si="59"/>
        <v>33586.166400000002</v>
      </c>
      <c r="AB87" s="242">
        <f t="shared" si="59"/>
        <v>33131.176800000001</v>
      </c>
      <c r="AC87" s="242">
        <f t="shared" si="59"/>
        <v>32676.1872</v>
      </c>
      <c r="AD87" s="242">
        <f t="shared" si="59"/>
        <v>32221.1976</v>
      </c>
      <c r="AE87" s="242">
        <f t="shared" si="59"/>
        <v>31766.207999999999</v>
      </c>
      <c r="AF87" s="242">
        <f t="shared" si="59"/>
        <v>31311.218399999998</v>
      </c>
      <c r="AG87" s="242">
        <f t="shared" si="59"/>
        <v>30856.228800000001</v>
      </c>
      <c r="AH87" s="242">
        <f t="shared" si="59"/>
        <v>30401.2392</v>
      </c>
      <c r="AI87" s="242">
        <f t="shared" si="59"/>
        <v>29946.249599999999</v>
      </c>
      <c r="AJ87" s="242">
        <f t="shared" si="59"/>
        <v>29491.26</v>
      </c>
      <c r="AK87" s="242">
        <f t="shared" si="59"/>
        <v>20850</v>
      </c>
      <c r="AL87" s="214"/>
      <c r="AM87" s="214"/>
      <c r="AN87" s="214"/>
      <c r="AO87" s="214"/>
      <c r="AP87" s="214"/>
    </row>
    <row r="88" spans="1:42" ht="13.2" x14ac:dyDescent="0.25">
      <c r="B88" s="230"/>
      <c r="C88" s="88"/>
      <c r="D88" s="231"/>
      <c r="E88" s="119"/>
      <c r="F88" s="214"/>
      <c r="G88" s="224"/>
      <c r="H88" s="224"/>
      <c r="I88" s="224"/>
      <c r="J88" s="224"/>
      <c r="K88" s="224"/>
      <c r="L88" s="224"/>
      <c r="M88" s="224"/>
      <c r="N88" s="224"/>
      <c r="O88" s="224"/>
      <c r="P88" s="224"/>
      <c r="Q88" s="224"/>
      <c r="R88" s="224"/>
      <c r="S88" s="224"/>
      <c r="T88" s="224"/>
      <c r="U88" s="224"/>
      <c r="V88" s="224"/>
      <c r="W88" s="224"/>
      <c r="X88" s="224"/>
      <c r="Y88" s="224"/>
      <c r="Z88" s="224"/>
      <c r="AA88" s="224"/>
      <c r="AB88" s="224"/>
      <c r="AC88" s="224"/>
      <c r="AD88" s="224"/>
      <c r="AE88" s="224"/>
      <c r="AF88" s="224"/>
      <c r="AG88" s="214"/>
      <c r="AH88" s="214"/>
      <c r="AI88" s="214"/>
      <c r="AJ88" s="214"/>
      <c r="AK88" s="214"/>
      <c r="AL88" s="214"/>
      <c r="AM88" s="214"/>
      <c r="AN88" s="214"/>
      <c r="AO88" s="214"/>
      <c r="AP88" s="214"/>
    </row>
    <row r="89" spans="1:42" ht="13.2" x14ac:dyDescent="0.25">
      <c r="B89" s="243" t="s">
        <v>208</v>
      </c>
      <c r="C89" s="208"/>
      <c r="D89" s="223"/>
      <c r="E89" s="214"/>
      <c r="F89" s="214"/>
      <c r="G89" s="224"/>
      <c r="H89" s="224"/>
      <c r="I89" s="224"/>
      <c r="J89" s="224"/>
      <c r="K89" s="224"/>
      <c r="L89" s="224"/>
      <c r="M89" s="224"/>
      <c r="N89" s="224"/>
      <c r="O89" s="224"/>
      <c r="P89" s="224"/>
      <c r="Q89" s="224"/>
      <c r="R89" s="224"/>
      <c r="S89" s="224"/>
      <c r="T89" s="224"/>
      <c r="U89" s="224"/>
      <c r="V89" s="224"/>
      <c r="W89" s="224"/>
      <c r="X89" s="224"/>
      <c r="Y89" s="224"/>
      <c r="Z89" s="224"/>
      <c r="AA89" s="224"/>
      <c r="AB89" s="224"/>
      <c r="AC89" s="224"/>
      <c r="AD89" s="224"/>
      <c r="AE89" s="224"/>
      <c r="AF89" s="224"/>
      <c r="AG89" s="214"/>
      <c r="AH89" s="214"/>
      <c r="AI89" s="214"/>
      <c r="AJ89" s="214"/>
      <c r="AK89" s="214"/>
      <c r="AL89" s="214"/>
      <c r="AM89" s="214"/>
      <c r="AN89" s="214"/>
      <c r="AO89" s="214"/>
      <c r="AP89" s="214"/>
    </row>
    <row r="90" spans="1:42" ht="13.2" x14ac:dyDescent="0.25">
      <c r="B90" s="244" t="s">
        <v>209</v>
      </c>
      <c r="C90" s="177" t="s">
        <v>165</v>
      </c>
      <c r="D90" s="177" t="s">
        <v>210</v>
      </c>
      <c r="E90" s="177"/>
      <c r="F90" s="245"/>
      <c r="G90" s="246">
        <f>1+ROUND((G66)*0.05,0)</f>
        <v>1</v>
      </c>
      <c r="H90" s="246">
        <f t="shared" ref="H90:AK90" si="60">1+ROUND((H66)*0.05,0)</f>
        <v>1</v>
      </c>
      <c r="I90" s="246">
        <f t="shared" si="60"/>
        <v>1</v>
      </c>
      <c r="J90" s="246">
        <f t="shared" si="60"/>
        <v>1</v>
      </c>
      <c r="K90" s="246">
        <f t="shared" si="60"/>
        <v>1</v>
      </c>
      <c r="L90" s="246">
        <f t="shared" si="60"/>
        <v>2</v>
      </c>
      <c r="M90" s="246">
        <f>1+ROUND((M66)*0.05,0)</f>
        <v>2</v>
      </c>
      <c r="N90" s="246">
        <f t="shared" si="60"/>
        <v>2</v>
      </c>
      <c r="O90" s="246">
        <f t="shared" si="60"/>
        <v>2</v>
      </c>
      <c r="P90" s="246">
        <f t="shared" si="60"/>
        <v>2</v>
      </c>
      <c r="Q90" s="246">
        <f t="shared" si="60"/>
        <v>1</v>
      </c>
      <c r="R90" s="246">
        <f t="shared" si="60"/>
        <v>7</v>
      </c>
      <c r="S90" s="246">
        <f t="shared" si="60"/>
        <v>15</v>
      </c>
      <c r="T90" s="246">
        <f t="shared" si="60"/>
        <v>15</v>
      </c>
      <c r="U90" s="246">
        <f t="shared" si="60"/>
        <v>16</v>
      </c>
      <c r="V90" s="246">
        <f t="shared" si="60"/>
        <v>16</v>
      </c>
      <c r="W90" s="246">
        <f t="shared" si="60"/>
        <v>16</v>
      </c>
      <c r="X90" s="246">
        <f t="shared" si="60"/>
        <v>16</v>
      </c>
      <c r="Y90" s="246">
        <f t="shared" si="60"/>
        <v>17</v>
      </c>
      <c r="Z90" s="246">
        <f t="shared" si="60"/>
        <v>17</v>
      </c>
      <c r="AA90" s="246">
        <f t="shared" si="60"/>
        <v>16</v>
      </c>
      <c r="AB90" s="246">
        <f t="shared" si="60"/>
        <v>16</v>
      </c>
      <c r="AC90" s="246">
        <f t="shared" si="60"/>
        <v>16</v>
      </c>
      <c r="AD90" s="246">
        <f t="shared" si="60"/>
        <v>16</v>
      </c>
      <c r="AE90" s="246">
        <f t="shared" si="60"/>
        <v>16</v>
      </c>
      <c r="AF90" s="246">
        <f t="shared" si="60"/>
        <v>16</v>
      </c>
      <c r="AG90" s="246">
        <f t="shared" si="60"/>
        <v>17</v>
      </c>
      <c r="AH90" s="246">
        <f t="shared" si="60"/>
        <v>17</v>
      </c>
      <c r="AI90" s="246">
        <f t="shared" si="60"/>
        <v>17</v>
      </c>
      <c r="AJ90" s="246">
        <f t="shared" si="60"/>
        <v>17</v>
      </c>
      <c r="AK90" s="246">
        <f t="shared" si="60"/>
        <v>17</v>
      </c>
      <c r="AL90" s="122"/>
      <c r="AM90" s="122"/>
      <c r="AN90" s="122"/>
      <c r="AO90" s="122"/>
      <c r="AP90" s="122"/>
    </row>
    <row r="91" spans="1:42" ht="26.4" x14ac:dyDescent="0.25">
      <c r="A91" s="29"/>
      <c r="B91" s="247" t="s">
        <v>211</v>
      </c>
      <c r="C91" s="248" t="s">
        <v>167</v>
      </c>
      <c r="D91" s="249" t="s">
        <v>212</v>
      </c>
      <c r="E91" s="250"/>
      <c r="F91" s="251"/>
      <c r="G91" s="252">
        <v>2850</v>
      </c>
      <c r="H91" s="252">
        <f t="shared" ref="H91:J91" si="61">G91</f>
        <v>2850</v>
      </c>
      <c r="I91" s="252">
        <f t="shared" si="61"/>
        <v>2850</v>
      </c>
      <c r="J91" s="252">
        <f t="shared" si="61"/>
        <v>2850</v>
      </c>
      <c r="K91" s="252">
        <f>J91*(1+$F$18)+200</f>
        <v>3249.5</v>
      </c>
      <c r="L91" s="252">
        <f t="shared" ref="L91:N91" si="62">K91</f>
        <v>3249.5</v>
      </c>
      <c r="M91" s="252">
        <f t="shared" si="62"/>
        <v>3249.5</v>
      </c>
      <c r="N91" s="252">
        <f t="shared" si="62"/>
        <v>3249.5</v>
      </c>
      <c r="O91" s="252">
        <f>N91*(1+$F$18)+400</f>
        <v>3876.9650000000001</v>
      </c>
      <c r="P91" s="252">
        <f t="shared" ref="P91:R91" si="63">O91</f>
        <v>3876.9650000000001</v>
      </c>
      <c r="Q91" s="252">
        <f t="shared" si="63"/>
        <v>3876.9650000000001</v>
      </c>
      <c r="R91" s="252">
        <f t="shared" si="63"/>
        <v>3876.9650000000001</v>
      </c>
      <c r="S91" s="252">
        <f>R91*(1+$F$18)+500</f>
        <v>4648.3525500000005</v>
      </c>
      <c r="T91" s="252">
        <f t="shared" ref="T91:V91" si="64">S91</f>
        <v>4648.3525500000005</v>
      </c>
      <c r="U91" s="252">
        <f t="shared" si="64"/>
        <v>4648.3525500000005</v>
      </c>
      <c r="V91" s="252">
        <f t="shared" si="64"/>
        <v>4648.3525500000005</v>
      </c>
      <c r="W91" s="252">
        <f>V91*(1+$F$18)+700</f>
        <v>5673.737228500001</v>
      </c>
      <c r="X91" s="252">
        <f t="shared" ref="X91:Z91" si="65">W91</f>
        <v>5673.737228500001</v>
      </c>
      <c r="Y91" s="252">
        <f t="shared" si="65"/>
        <v>5673.737228500001</v>
      </c>
      <c r="Z91" s="252">
        <f t="shared" si="65"/>
        <v>5673.737228500001</v>
      </c>
      <c r="AA91" s="252">
        <f>Z91*(1+$F$18)+600</f>
        <v>6670.8988344950012</v>
      </c>
      <c r="AB91" s="252">
        <f t="shared" ref="AB91:AD91" si="66">AA91</f>
        <v>6670.8988344950012</v>
      </c>
      <c r="AC91" s="252">
        <f t="shared" si="66"/>
        <v>6670.8988344950012</v>
      </c>
      <c r="AD91" s="252">
        <f t="shared" si="66"/>
        <v>6670.8988344950012</v>
      </c>
      <c r="AE91" s="252">
        <f>AD91*(1+$F$18)+500</f>
        <v>7637.8617529096518</v>
      </c>
      <c r="AF91" s="252">
        <f t="shared" ref="AF91:AH91" si="67">AE91</f>
        <v>7637.8617529096518</v>
      </c>
      <c r="AG91" s="252">
        <f t="shared" si="67"/>
        <v>7637.8617529096518</v>
      </c>
      <c r="AH91" s="252">
        <f t="shared" si="67"/>
        <v>7637.8617529096518</v>
      </c>
      <c r="AI91" s="252">
        <f>AH91*(1+$F$18)</f>
        <v>8172.5120756133283</v>
      </c>
      <c r="AJ91" s="252">
        <f t="shared" ref="AJ91:AK91" si="68">AI91</f>
        <v>8172.5120756133283</v>
      </c>
      <c r="AK91" s="252">
        <f t="shared" si="68"/>
        <v>8172.5120756133283</v>
      </c>
      <c r="AL91" s="253"/>
      <c r="AM91" s="253"/>
      <c r="AN91" s="253"/>
      <c r="AO91" s="253"/>
      <c r="AP91" s="253"/>
    </row>
    <row r="92" spans="1:42" ht="13.2" x14ac:dyDescent="0.25">
      <c r="B92" s="222" t="s">
        <v>213</v>
      </c>
      <c r="C92" s="208" t="s">
        <v>165</v>
      </c>
      <c r="D92" s="126" t="s">
        <v>214</v>
      </c>
      <c r="E92" s="254"/>
      <c r="F92" s="122"/>
      <c r="G92" s="228">
        <f t="shared" ref="G92:L92" si="69">ROUND(G90*0.7,0)</f>
        <v>1</v>
      </c>
      <c r="H92" s="228">
        <f t="shared" si="69"/>
        <v>1</v>
      </c>
      <c r="I92" s="228">
        <f t="shared" si="69"/>
        <v>1</v>
      </c>
      <c r="J92" s="228">
        <f t="shared" si="69"/>
        <v>1</v>
      </c>
      <c r="K92" s="228">
        <f t="shared" si="69"/>
        <v>1</v>
      </c>
      <c r="L92" s="228">
        <f t="shared" si="69"/>
        <v>1</v>
      </c>
      <c r="M92" s="228">
        <f>1+ROUND((M66)*0.05,0)</f>
        <v>2</v>
      </c>
      <c r="N92" s="228">
        <f t="shared" ref="N92:AK92" si="70">1+ROUND((N66)*0.05,0)</f>
        <v>2</v>
      </c>
      <c r="O92" s="228">
        <f t="shared" si="70"/>
        <v>2</v>
      </c>
      <c r="P92" s="228">
        <f t="shared" si="70"/>
        <v>2</v>
      </c>
      <c r="Q92" s="228">
        <f t="shared" si="70"/>
        <v>1</v>
      </c>
      <c r="R92" s="228">
        <f t="shared" si="70"/>
        <v>7</v>
      </c>
      <c r="S92" s="228">
        <f t="shared" si="70"/>
        <v>15</v>
      </c>
      <c r="T92" s="228">
        <f t="shared" si="70"/>
        <v>15</v>
      </c>
      <c r="U92" s="228">
        <f t="shared" si="70"/>
        <v>16</v>
      </c>
      <c r="V92" s="228">
        <f t="shared" si="70"/>
        <v>16</v>
      </c>
      <c r="W92" s="228">
        <f t="shared" si="70"/>
        <v>16</v>
      </c>
      <c r="X92" s="228">
        <f t="shared" si="70"/>
        <v>16</v>
      </c>
      <c r="Y92" s="228">
        <f t="shared" si="70"/>
        <v>17</v>
      </c>
      <c r="Z92" s="228">
        <f t="shared" si="70"/>
        <v>17</v>
      </c>
      <c r="AA92" s="228">
        <f t="shared" si="70"/>
        <v>16</v>
      </c>
      <c r="AB92" s="228">
        <f t="shared" si="70"/>
        <v>16</v>
      </c>
      <c r="AC92" s="228">
        <f t="shared" si="70"/>
        <v>16</v>
      </c>
      <c r="AD92" s="228">
        <f t="shared" si="70"/>
        <v>16</v>
      </c>
      <c r="AE92" s="228">
        <f t="shared" si="70"/>
        <v>16</v>
      </c>
      <c r="AF92" s="228">
        <f t="shared" si="70"/>
        <v>16</v>
      </c>
      <c r="AG92" s="228">
        <f t="shared" si="70"/>
        <v>17</v>
      </c>
      <c r="AH92" s="228">
        <f t="shared" si="70"/>
        <v>17</v>
      </c>
      <c r="AI92" s="228">
        <f t="shared" si="70"/>
        <v>17</v>
      </c>
      <c r="AJ92" s="228">
        <f t="shared" si="70"/>
        <v>17</v>
      </c>
      <c r="AK92" s="228">
        <f t="shared" si="70"/>
        <v>17</v>
      </c>
      <c r="AL92" s="122"/>
      <c r="AM92" s="122"/>
      <c r="AN92" s="122"/>
      <c r="AO92" s="122"/>
      <c r="AP92" s="122"/>
    </row>
    <row r="93" spans="1:42" ht="52.8" x14ac:dyDescent="0.25">
      <c r="A93" s="29"/>
      <c r="B93" s="255" t="s">
        <v>211</v>
      </c>
      <c r="C93" s="256" t="s">
        <v>167</v>
      </c>
      <c r="D93" s="171" t="s">
        <v>215</v>
      </c>
      <c r="E93" s="257"/>
      <c r="F93" s="253"/>
      <c r="G93" s="258">
        <f t="shared" ref="G93:R93" si="71">G91*0.4</f>
        <v>1140</v>
      </c>
      <c r="H93" s="258">
        <f t="shared" si="71"/>
        <v>1140</v>
      </c>
      <c r="I93" s="258">
        <f t="shared" si="71"/>
        <v>1140</v>
      </c>
      <c r="J93" s="258">
        <f t="shared" si="71"/>
        <v>1140</v>
      </c>
      <c r="K93" s="258">
        <f t="shared" si="71"/>
        <v>1299.8000000000002</v>
      </c>
      <c r="L93" s="258">
        <f t="shared" si="71"/>
        <v>1299.8000000000002</v>
      </c>
      <c r="M93" s="258">
        <f t="shared" si="71"/>
        <v>1299.8000000000002</v>
      </c>
      <c r="N93" s="258">
        <f t="shared" si="71"/>
        <v>1299.8000000000002</v>
      </c>
      <c r="O93" s="258">
        <f t="shared" si="71"/>
        <v>1550.7860000000001</v>
      </c>
      <c r="P93" s="258">
        <f t="shared" si="71"/>
        <v>1550.7860000000001</v>
      </c>
      <c r="Q93" s="258">
        <f t="shared" si="71"/>
        <v>1550.7860000000001</v>
      </c>
      <c r="R93" s="258">
        <f t="shared" si="71"/>
        <v>1550.7860000000001</v>
      </c>
      <c r="S93" s="258">
        <f t="shared" ref="S93:V93" si="72">S91*0.4-500</f>
        <v>1359.3410200000003</v>
      </c>
      <c r="T93" s="258">
        <f t="shared" si="72"/>
        <v>1359.3410200000003</v>
      </c>
      <c r="U93" s="258">
        <f t="shared" si="72"/>
        <v>1359.3410200000003</v>
      </c>
      <c r="V93" s="258">
        <f t="shared" si="72"/>
        <v>1359.3410200000003</v>
      </c>
      <c r="W93" s="258">
        <f t="shared" ref="W93:AK93" si="73">W91*0.3</f>
        <v>1702.1211685500002</v>
      </c>
      <c r="X93" s="258">
        <f t="shared" si="73"/>
        <v>1702.1211685500002</v>
      </c>
      <c r="Y93" s="258">
        <f t="shared" si="73"/>
        <v>1702.1211685500002</v>
      </c>
      <c r="Z93" s="258">
        <f t="shared" si="73"/>
        <v>1702.1211685500002</v>
      </c>
      <c r="AA93" s="258">
        <f t="shared" si="73"/>
        <v>2001.2696503485004</v>
      </c>
      <c r="AB93" s="258">
        <f t="shared" si="73"/>
        <v>2001.2696503485004</v>
      </c>
      <c r="AC93" s="258">
        <f t="shared" si="73"/>
        <v>2001.2696503485004</v>
      </c>
      <c r="AD93" s="258">
        <f t="shared" si="73"/>
        <v>2001.2696503485004</v>
      </c>
      <c r="AE93" s="258">
        <f t="shared" si="73"/>
        <v>2291.3585258728954</v>
      </c>
      <c r="AF93" s="258">
        <f t="shared" si="73"/>
        <v>2291.3585258728954</v>
      </c>
      <c r="AG93" s="258">
        <f t="shared" si="73"/>
        <v>2291.3585258728954</v>
      </c>
      <c r="AH93" s="258">
        <f t="shared" si="73"/>
        <v>2291.3585258728954</v>
      </c>
      <c r="AI93" s="258">
        <f t="shared" si="73"/>
        <v>2451.7536226839984</v>
      </c>
      <c r="AJ93" s="258">
        <f t="shared" si="73"/>
        <v>2451.7536226839984</v>
      </c>
      <c r="AK93" s="258">
        <f t="shared" si="73"/>
        <v>2451.7536226839984</v>
      </c>
      <c r="AL93" s="253"/>
      <c r="AM93" s="253"/>
      <c r="AN93" s="253"/>
      <c r="AO93" s="253"/>
      <c r="AP93" s="253"/>
    </row>
    <row r="94" spans="1:42" ht="52.8" x14ac:dyDescent="0.25">
      <c r="A94" s="29"/>
      <c r="B94" s="179" t="s">
        <v>216</v>
      </c>
      <c r="C94" s="248" t="s">
        <v>165</v>
      </c>
      <c r="D94" s="249" t="s">
        <v>217</v>
      </c>
      <c r="E94" s="250"/>
      <c r="F94" s="251"/>
      <c r="G94" s="252">
        <v>0</v>
      </c>
      <c r="H94" s="252">
        <f t="shared" ref="H94:L94" si="74">$G94</f>
        <v>0</v>
      </c>
      <c r="I94" s="252">
        <f t="shared" si="74"/>
        <v>0</v>
      </c>
      <c r="J94" s="252">
        <f t="shared" si="74"/>
        <v>0</v>
      </c>
      <c r="K94" s="252">
        <f t="shared" si="74"/>
        <v>0</v>
      </c>
      <c r="L94" s="252">
        <f t="shared" si="74"/>
        <v>0</v>
      </c>
      <c r="M94" s="252">
        <f>1+ROUND((M66)*0.03,0)</f>
        <v>1</v>
      </c>
      <c r="N94" s="252">
        <f t="shared" ref="N94:AK94" si="75">1+ROUND((N66)*0.03,0)</f>
        <v>1</v>
      </c>
      <c r="O94" s="252">
        <f t="shared" si="75"/>
        <v>1</v>
      </c>
      <c r="P94" s="252">
        <f t="shared" si="75"/>
        <v>1</v>
      </c>
      <c r="Q94" s="252">
        <f t="shared" si="75"/>
        <v>1</v>
      </c>
      <c r="R94" s="252">
        <f t="shared" si="75"/>
        <v>4</v>
      </c>
      <c r="S94" s="252">
        <f t="shared" si="75"/>
        <v>9</v>
      </c>
      <c r="T94" s="252">
        <f t="shared" si="75"/>
        <v>9</v>
      </c>
      <c r="U94" s="252">
        <f t="shared" si="75"/>
        <v>10</v>
      </c>
      <c r="V94" s="252">
        <f t="shared" si="75"/>
        <v>10</v>
      </c>
      <c r="W94" s="252">
        <f t="shared" si="75"/>
        <v>10</v>
      </c>
      <c r="X94" s="252">
        <f t="shared" si="75"/>
        <v>10</v>
      </c>
      <c r="Y94" s="252">
        <f t="shared" si="75"/>
        <v>10</v>
      </c>
      <c r="Z94" s="252">
        <f t="shared" si="75"/>
        <v>10</v>
      </c>
      <c r="AA94" s="252">
        <f t="shared" si="75"/>
        <v>10</v>
      </c>
      <c r="AB94" s="252">
        <f t="shared" si="75"/>
        <v>10</v>
      </c>
      <c r="AC94" s="252">
        <f t="shared" si="75"/>
        <v>10</v>
      </c>
      <c r="AD94" s="252">
        <f t="shared" si="75"/>
        <v>10</v>
      </c>
      <c r="AE94" s="252">
        <f t="shared" si="75"/>
        <v>10</v>
      </c>
      <c r="AF94" s="252">
        <f t="shared" si="75"/>
        <v>10</v>
      </c>
      <c r="AG94" s="252">
        <f t="shared" si="75"/>
        <v>10</v>
      </c>
      <c r="AH94" s="252">
        <f t="shared" si="75"/>
        <v>10</v>
      </c>
      <c r="AI94" s="252">
        <f t="shared" si="75"/>
        <v>10</v>
      </c>
      <c r="AJ94" s="252">
        <f t="shared" si="75"/>
        <v>10</v>
      </c>
      <c r="AK94" s="252">
        <f t="shared" si="75"/>
        <v>10</v>
      </c>
      <c r="AL94" s="253"/>
      <c r="AM94" s="253"/>
      <c r="AN94" s="253"/>
      <c r="AO94" s="253"/>
      <c r="AP94" s="253"/>
    </row>
    <row r="95" spans="1:42" ht="52.8" x14ac:dyDescent="0.25">
      <c r="A95" s="259"/>
      <c r="B95" s="247" t="s">
        <v>218</v>
      </c>
      <c r="C95" s="248" t="s">
        <v>167</v>
      </c>
      <c r="D95" s="249" t="s">
        <v>219</v>
      </c>
      <c r="E95" s="260"/>
      <c r="F95" s="261"/>
      <c r="G95" s="252">
        <v>0</v>
      </c>
      <c r="H95" s="252">
        <f t="shared" ref="H95:L95" si="76">$G95</f>
        <v>0</v>
      </c>
      <c r="I95" s="252">
        <f t="shared" si="76"/>
        <v>0</v>
      </c>
      <c r="J95" s="252">
        <f t="shared" si="76"/>
        <v>0</v>
      </c>
      <c r="K95" s="252">
        <f t="shared" si="76"/>
        <v>0</v>
      </c>
      <c r="L95" s="252">
        <f t="shared" si="76"/>
        <v>0</v>
      </c>
      <c r="M95" s="262">
        <f>M91*0.4</f>
        <v>1299.8000000000002</v>
      </c>
      <c r="N95" s="262">
        <f t="shared" ref="N95:AK95" si="77">N91*0.4</f>
        <v>1299.8000000000002</v>
      </c>
      <c r="O95" s="262">
        <f t="shared" si="77"/>
        <v>1550.7860000000001</v>
      </c>
      <c r="P95" s="262">
        <f t="shared" si="77"/>
        <v>1550.7860000000001</v>
      </c>
      <c r="Q95" s="262">
        <f t="shared" si="77"/>
        <v>1550.7860000000001</v>
      </c>
      <c r="R95" s="262">
        <f t="shared" si="77"/>
        <v>1550.7860000000001</v>
      </c>
      <c r="S95" s="262">
        <f t="shared" si="77"/>
        <v>1859.3410200000003</v>
      </c>
      <c r="T95" s="262">
        <f t="shared" si="77"/>
        <v>1859.3410200000003</v>
      </c>
      <c r="U95" s="262">
        <f t="shared" si="77"/>
        <v>1859.3410200000003</v>
      </c>
      <c r="V95" s="262">
        <f t="shared" si="77"/>
        <v>1859.3410200000003</v>
      </c>
      <c r="W95" s="262">
        <f t="shared" si="77"/>
        <v>2269.4948914000006</v>
      </c>
      <c r="X95" s="262">
        <f t="shared" si="77"/>
        <v>2269.4948914000006</v>
      </c>
      <c r="Y95" s="262">
        <f t="shared" si="77"/>
        <v>2269.4948914000006</v>
      </c>
      <c r="Z95" s="262">
        <f t="shared" si="77"/>
        <v>2269.4948914000006</v>
      </c>
      <c r="AA95" s="262">
        <f t="shared" si="77"/>
        <v>2668.3595337980005</v>
      </c>
      <c r="AB95" s="262">
        <f t="shared" si="77"/>
        <v>2668.3595337980005</v>
      </c>
      <c r="AC95" s="262">
        <f t="shared" si="77"/>
        <v>2668.3595337980005</v>
      </c>
      <c r="AD95" s="262">
        <f t="shared" si="77"/>
        <v>2668.3595337980005</v>
      </c>
      <c r="AE95" s="262">
        <f t="shared" si="77"/>
        <v>3055.1447011638611</v>
      </c>
      <c r="AF95" s="262">
        <f t="shared" si="77"/>
        <v>3055.1447011638611</v>
      </c>
      <c r="AG95" s="262">
        <f t="shared" si="77"/>
        <v>3055.1447011638611</v>
      </c>
      <c r="AH95" s="262">
        <f t="shared" si="77"/>
        <v>3055.1447011638611</v>
      </c>
      <c r="AI95" s="262">
        <f t="shared" si="77"/>
        <v>3269.0048302453315</v>
      </c>
      <c r="AJ95" s="262">
        <f t="shared" si="77"/>
        <v>3269.0048302453315</v>
      </c>
      <c r="AK95" s="262">
        <f t="shared" si="77"/>
        <v>3269.0048302453315</v>
      </c>
      <c r="AL95" s="253"/>
      <c r="AM95" s="253"/>
      <c r="AN95" s="253"/>
      <c r="AO95" s="253"/>
      <c r="AP95" s="253"/>
    </row>
    <row r="96" spans="1:42" ht="66" x14ac:dyDescent="0.25">
      <c r="A96" s="259"/>
      <c r="B96" s="263" t="s">
        <v>220</v>
      </c>
      <c r="C96" s="256" t="s">
        <v>165</v>
      </c>
      <c r="D96" s="264" t="s">
        <v>221</v>
      </c>
      <c r="E96" s="265"/>
      <c r="F96" s="259"/>
      <c r="G96" s="258">
        <f>1+ROUND((G66)*0.02,0)</f>
        <v>1</v>
      </c>
      <c r="H96" s="258">
        <f t="shared" ref="H96:AK96" si="78">1+ROUND((H66)*0.02,0)</f>
        <v>1</v>
      </c>
      <c r="I96" s="258">
        <f t="shared" si="78"/>
        <v>1</v>
      </c>
      <c r="J96" s="258">
        <f t="shared" si="78"/>
        <v>1</v>
      </c>
      <c r="K96" s="258">
        <f t="shared" si="78"/>
        <v>1</v>
      </c>
      <c r="L96" s="258">
        <f t="shared" si="78"/>
        <v>1</v>
      </c>
      <c r="M96" s="258">
        <f t="shared" si="78"/>
        <v>1</v>
      </c>
      <c r="N96" s="258">
        <f t="shared" si="78"/>
        <v>1</v>
      </c>
      <c r="O96" s="258">
        <f t="shared" si="78"/>
        <v>1</v>
      </c>
      <c r="P96" s="258">
        <f t="shared" si="78"/>
        <v>1</v>
      </c>
      <c r="Q96" s="258">
        <f t="shared" si="78"/>
        <v>1</v>
      </c>
      <c r="R96" s="258">
        <f t="shared" si="78"/>
        <v>3</v>
      </c>
      <c r="S96" s="258">
        <f t="shared" si="78"/>
        <v>6</v>
      </c>
      <c r="T96" s="258">
        <f t="shared" si="78"/>
        <v>6</v>
      </c>
      <c r="U96" s="258">
        <f t="shared" si="78"/>
        <v>7</v>
      </c>
      <c r="V96" s="258">
        <f t="shared" si="78"/>
        <v>7</v>
      </c>
      <c r="W96" s="258">
        <f t="shared" si="78"/>
        <v>7</v>
      </c>
      <c r="X96" s="258">
        <f t="shared" si="78"/>
        <v>7</v>
      </c>
      <c r="Y96" s="258">
        <f t="shared" si="78"/>
        <v>7</v>
      </c>
      <c r="Z96" s="258">
        <f t="shared" si="78"/>
        <v>7</v>
      </c>
      <c r="AA96" s="258">
        <f t="shared" si="78"/>
        <v>7</v>
      </c>
      <c r="AB96" s="258">
        <f t="shared" si="78"/>
        <v>7</v>
      </c>
      <c r="AC96" s="258">
        <f t="shared" si="78"/>
        <v>7</v>
      </c>
      <c r="AD96" s="258">
        <f t="shared" si="78"/>
        <v>7</v>
      </c>
      <c r="AE96" s="258">
        <f t="shared" si="78"/>
        <v>7</v>
      </c>
      <c r="AF96" s="258">
        <f t="shared" si="78"/>
        <v>7</v>
      </c>
      <c r="AG96" s="258">
        <f t="shared" si="78"/>
        <v>7</v>
      </c>
      <c r="AH96" s="258">
        <f t="shared" si="78"/>
        <v>7</v>
      </c>
      <c r="AI96" s="258">
        <f t="shared" si="78"/>
        <v>7</v>
      </c>
      <c r="AJ96" s="258">
        <f t="shared" si="78"/>
        <v>7</v>
      </c>
      <c r="AK96" s="258">
        <f t="shared" si="78"/>
        <v>7</v>
      </c>
      <c r="AL96" s="253"/>
      <c r="AM96" s="253"/>
      <c r="AN96" s="253"/>
      <c r="AO96" s="253"/>
      <c r="AP96" s="253"/>
    </row>
    <row r="97" spans="1:42" ht="52.8" x14ac:dyDescent="0.25">
      <c r="A97" s="259"/>
      <c r="B97" s="255" t="s">
        <v>211</v>
      </c>
      <c r="C97" s="256" t="s">
        <v>167</v>
      </c>
      <c r="D97" s="171" t="s">
        <v>222</v>
      </c>
      <c r="E97" s="265"/>
      <c r="F97" s="259"/>
      <c r="G97" s="258">
        <f>0.5*G91</f>
        <v>1425</v>
      </c>
      <c r="H97" s="258">
        <f t="shared" ref="H97:AK97" si="79">0.5*H91</f>
        <v>1425</v>
      </c>
      <c r="I97" s="258">
        <f t="shared" si="79"/>
        <v>1425</v>
      </c>
      <c r="J97" s="258">
        <f t="shared" si="79"/>
        <v>1425</v>
      </c>
      <c r="K97" s="258">
        <f t="shared" si="79"/>
        <v>1624.75</v>
      </c>
      <c r="L97" s="258">
        <f t="shared" si="79"/>
        <v>1624.75</v>
      </c>
      <c r="M97" s="258">
        <f t="shared" si="79"/>
        <v>1624.75</v>
      </c>
      <c r="N97" s="258">
        <f t="shared" si="79"/>
        <v>1624.75</v>
      </c>
      <c r="O97" s="258">
        <f t="shared" si="79"/>
        <v>1938.4825000000001</v>
      </c>
      <c r="P97" s="258">
        <f t="shared" si="79"/>
        <v>1938.4825000000001</v>
      </c>
      <c r="Q97" s="258">
        <f t="shared" si="79"/>
        <v>1938.4825000000001</v>
      </c>
      <c r="R97" s="258">
        <f t="shared" si="79"/>
        <v>1938.4825000000001</v>
      </c>
      <c r="S97" s="258">
        <f t="shared" si="79"/>
        <v>2324.1762750000003</v>
      </c>
      <c r="T97" s="258">
        <f t="shared" si="79"/>
        <v>2324.1762750000003</v>
      </c>
      <c r="U97" s="258">
        <f t="shared" si="79"/>
        <v>2324.1762750000003</v>
      </c>
      <c r="V97" s="258">
        <f t="shared" si="79"/>
        <v>2324.1762750000003</v>
      </c>
      <c r="W97" s="258">
        <f t="shared" si="79"/>
        <v>2836.8686142500005</v>
      </c>
      <c r="X97" s="258">
        <f t="shared" si="79"/>
        <v>2836.8686142500005</v>
      </c>
      <c r="Y97" s="258">
        <f t="shared" si="79"/>
        <v>2836.8686142500005</v>
      </c>
      <c r="Z97" s="258">
        <f t="shared" si="79"/>
        <v>2836.8686142500005</v>
      </c>
      <c r="AA97" s="258">
        <f t="shared" si="79"/>
        <v>3335.4494172475006</v>
      </c>
      <c r="AB97" s="258">
        <f t="shared" si="79"/>
        <v>3335.4494172475006</v>
      </c>
      <c r="AC97" s="258">
        <f t="shared" si="79"/>
        <v>3335.4494172475006</v>
      </c>
      <c r="AD97" s="258">
        <f t="shared" si="79"/>
        <v>3335.4494172475006</v>
      </c>
      <c r="AE97" s="258">
        <f t="shared" si="79"/>
        <v>3818.9308764548259</v>
      </c>
      <c r="AF97" s="258">
        <f t="shared" si="79"/>
        <v>3818.9308764548259</v>
      </c>
      <c r="AG97" s="258">
        <f t="shared" si="79"/>
        <v>3818.9308764548259</v>
      </c>
      <c r="AH97" s="258">
        <f t="shared" si="79"/>
        <v>3818.9308764548259</v>
      </c>
      <c r="AI97" s="258">
        <f t="shared" si="79"/>
        <v>4086.2560378066642</v>
      </c>
      <c r="AJ97" s="258">
        <f t="shared" si="79"/>
        <v>4086.2560378066642</v>
      </c>
      <c r="AK97" s="258">
        <f t="shared" si="79"/>
        <v>4086.2560378066642</v>
      </c>
      <c r="AL97" s="253"/>
      <c r="AM97" s="253"/>
      <c r="AN97" s="253"/>
      <c r="AO97" s="253"/>
      <c r="AP97" s="253"/>
    </row>
    <row r="98" spans="1:42" ht="13.2" x14ac:dyDescent="0.25">
      <c r="A98" s="259"/>
      <c r="B98" s="266" t="s">
        <v>223</v>
      </c>
      <c r="C98" s="248" t="s">
        <v>165</v>
      </c>
      <c r="D98" s="249"/>
      <c r="E98" s="260"/>
      <c r="F98" s="261"/>
      <c r="G98" s="252">
        <v>0</v>
      </c>
      <c r="H98" s="252">
        <v>0</v>
      </c>
      <c r="I98" s="252">
        <v>0</v>
      </c>
      <c r="J98" s="252">
        <v>0</v>
      </c>
      <c r="K98" s="252">
        <v>0</v>
      </c>
      <c r="L98" s="252">
        <v>1</v>
      </c>
      <c r="M98" s="252">
        <v>1</v>
      </c>
      <c r="N98" s="252">
        <v>1</v>
      </c>
      <c r="O98" s="252">
        <v>1</v>
      </c>
      <c r="P98" s="252">
        <v>1</v>
      </c>
      <c r="Q98" s="252">
        <v>1</v>
      </c>
      <c r="R98" s="252">
        <v>1</v>
      </c>
      <c r="S98" s="252">
        <v>1</v>
      </c>
      <c r="T98" s="252">
        <v>1</v>
      </c>
      <c r="U98" s="252">
        <v>1</v>
      </c>
      <c r="V98" s="252">
        <v>1</v>
      </c>
      <c r="W98" s="252">
        <v>1</v>
      </c>
      <c r="X98" s="252">
        <v>1</v>
      </c>
      <c r="Y98" s="252">
        <v>1</v>
      </c>
      <c r="Z98" s="252">
        <v>1</v>
      </c>
      <c r="AA98" s="252">
        <v>1</v>
      </c>
      <c r="AB98" s="252">
        <v>1</v>
      </c>
      <c r="AC98" s="252">
        <v>1</v>
      </c>
      <c r="AD98" s="252">
        <v>1</v>
      </c>
      <c r="AE98" s="252">
        <v>1</v>
      </c>
      <c r="AF98" s="252">
        <v>1</v>
      </c>
      <c r="AG98" s="252">
        <v>1</v>
      </c>
      <c r="AH98" s="252">
        <v>1</v>
      </c>
      <c r="AI98" s="252">
        <v>1</v>
      </c>
      <c r="AJ98" s="252">
        <v>1</v>
      </c>
      <c r="AK98" s="252">
        <v>1</v>
      </c>
      <c r="AL98" s="253"/>
      <c r="AM98" s="253"/>
      <c r="AN98" s="253"/>
      <c r="AO98" s="253"/>
      <c r="AP98" s="253"/>
    </row>
    <row r="99" spans="1:42" ht="13.2" x14ac:dyDescent="0.25">
      <c r="A99" s="259"/>
      <c r="B99" s="247" t="s">
        <v>211</v>
      </c>
      <c r="C99" s="248" t="s">
        <v>167</v>
      </c>
      <c r="D99" s="249"/>
      <c r="E99" s="260"/>
      <c r="F99" s="261"/>
      <c r="G99" s="252">
        <v>0</v>
      </c>
      <c r="H99" s="252">
        <v>0</v>
      </c>
      <c r="I99" s="252">
        <v>0</v>
      </c>
      <c r="J99" s="252">
        <v>0</v>
      </c>
      <c r="K99" s="252">
        <v>0</v>
      </c>
      <c r="L99" s="252">
        <v>9000</v>
      </c>
      <c r="M99" s="252">
        <f>L99*1</f>
        <v>9000</v>
      </c>
      <c r="N99" s="252">
        <f>M99*(1+$F$18)+900</f>
        <v>10530</v>
      </c>
      <c r="O99" s="252">
        <f t="shared" ref="O99:Q99" si="80">N99</f>
        <v>10530</v>
      </c>
      <c r="P99" s="252">
        <f t="shared" si="80"/>
        <v>10530</v>
      </c>
      <c r="Q99" s="252">
        <f t="shared" si="80"/>
        <v>10530</v>
      </c>
      <c r="R99" s="252">
        <f>Q99*(1+$F$18)+1000</f>
        <v>12267.1</v>
      </c>
      <c r="S99" s="252">
        <f t="shared" ref="S99:U99" si="81">R99</f>
        <v>12267.1</v>
      </c>
      <c r="T99" s="252">
        <f t="shared" si="81"/>
        <v>12267.1</v>
      </c>
      <c r="U99" s="252">
        <f t="shared" si="81"/>
        <v>12267.1</v>
      </c>
      <c r="V99" s="252">
        <f>U99*(1+$F$18)+2000</f>
        <v>15125.797</v>
      </c>
      <c r="W99" s="252">
        <f t="shared" ref="W99:Y99" si="82">V99</f>
        <v>15125.797</v>
      </c>
      <c r="X99" s="252">
        <f t="shared" si="82"/>
        <v>15125.797</v>
      </c>
      <c r="Y99" s="252">
        <f t="shared" si="82"/>
        <v>15125.797</v>
      </c>
      <c r="Z99" s="252">
        <f>Y99*(1+$F$18)+1000</f>
        <v>17184.602790000001</v>
      </c>
      <c r="AA99" s="252">
        <f t="shared" ref="AA99:AC99" si="83">Z99</f>
        <v>17184.602790000001</v>
      </c>
      <c r="AB99" s="252">
        <f t="shared" si="83"/>
        <v>17184.602790000001</v>
      </c>
      <c r="AC99" s="252">
        <f t="shared" si="83"/>
        <v>17184.602790000001</v>
      </c>
      <c r="AD99" s="252">
        <f>AC99*(1+$F$18)+2000</f>
        <v>20387.524985300002</v>
      </c>
      <c r="AE99" s="252">
        <f t="shared" ref="AE99:AG99" si="84">AD99</f>
        <v>20387.524985300002</v>
      </c>
      <c r="AF99" s="252">
        <f t="shared" si="84"/>
        <v>20387.524985300002</v>
      </c>
      <c r="AG99" s="252">
        <f t="shared" si="84"/>
        <v>20387.524985300002</v>
      </c>
      <c r="AH99" s="252">
        <f>AG99*(1+$F$18)+2000</f>
        <v>23814.651734271003</v>
      </c>
      <c r="AI99" s="252">
        <f t="shared" ref="AI99:AK99" si="85">AH99</f>
        <v>23814.651734271003</v>
      </c>
      <c r="AJ99" s="252">
        <f t="shared" si="85"/>
        <v>23814.651734271003</v>
      </c>
      <c r="AK99" s="252">
        <f t="shared" si="85"/>
        <v>23814.651734271003</v>
      </c>
      <c r="AL99" s="253"/>
      <c r="AM99" s="253"/>
      <c r="AN99" s="253"/>
      <c r="AO99" s="253"/>
      <c r="AP99" s="253"/>
    </row>
    <row r="100" spans="1:42" ht="26.4" x14ac:dyDescent="0.25">
      <c r="A100" s="259"/>
      <c r="B100" s="263" t="s">
        <v>224</v>
      </c>
      <c r="C100" s="256" t="s">
        <v>165</v>
      </c>
      <c r="D100" s="171" t="s">
        <v>225</v>
      </c>
      <c r="E100" s="265"/>
      <c r="F100" s="259"/>
      <c r="G100" s="258">
        <f t="shared" ref="G100:AK100" si="86">G96</f>
        <v>1</v>
      </c>
      <c r="H100" s="258">
        <f t="shared" si="86"/>
        <v>1</v>
      </c>
      <c r="I100" s="258">
        <f t="shared" si="86"/>
        <v>1</v>
      </c>
      <c r="J100" s="258">
        <f t="shared" si="86"/>
        <v>1</v>
      </c>
      <c r="K100" s="258">
        <f t="shared" si="86"/>
        <v>1</v>
      </c>
      <c r="L100" s="258">
        <f t="shared" si="86"/>
        <v>1</v>
      </c>
      <c r="M100" s="258">
        <f t="shared" si="86"/>
        <v>1</v>
      </c>
      <c r="N100" s="258">
        <f t="shared" si="86"/>
        <v>1</v>
      </c>
      <c r="O100" s="258">
        <f t="shared" si="86"/>
        <v>1</v>
      </c>
      <c r="P100" s="258">
        <f t="shared" si="86"/>
        <v>1</v>
      </c>
      <c r="Q100" s="258">
        <f t="shared" si="86"/>
        <v>1</v>
      </c>
      <c r="R100" s="258">
        <f t="shared" si="86"/>
        <v>3</v>
      </c>
      <c r="S100" s="258">
        <f t="shared" si="86"/>
        <v>6</v>
      </c>
      <c r="T100" s="258">
        <f t="shared" si="86"/>
        <v>6</v>
      </c>
      <c r="U100" s="258">
        <f t="shared" si="86"/>
        <v>7</v>
      </c>
      <c r="V100" s="258">
        <f t="shared" si="86"/>
        <v>7</v>
      </c>
      <c r="W100" s="258">
        <f t="shared" si="86"/>
        <v>7</v>
      </c>
      <c r="X100" s="258">
        <f t="shared" si="86"/>
        <v>7</v>
      </c>
      <c r="Y100" s="258">
        <f t="shared" si="86"/>
        <v>7</v>
      </c>
      <c r="Z100" s="258">
        <f t="shared" si="86"/>
        <v>7</v>
      </c>
      <c r="AA100" s="258">
        <f t="shared" si="86"/>
        <v>7</v>
      </c>
      <c r="AB100" s="258">
        <f t="shared" si="86"/>
        <v>7</v>
      </c>
      <c r="AC100" s="258">
        <f t="shared" si="86"/>
        <v>7</v>
      </c>
      <c r="AD100" s="258">
        <f t="shared" si="86"/>
        <v>7</v>
      </c>
      <c r="AE100" s="258">
        <f t="shared" si="86"/>
        <v>7</v>
      </c>
      <c r="AF100" s="258">
        <f t="shared" si="86"/>
        <v>7</v>
      </c>
      <c r="AG100" s="258">
        <f t="shared" si="86"/>
        <v>7</v>
      </c>
      <c r="AH100" s="258">
        <f t="shared" si="86"/>
        <v>7</v>
      </c>
      <c r="AI100" s="258">
        <f t="shared" si="86"/>
        <v>7</v>
      </c>
      <c r="AJ100" s="258">
        <f t="shared" si="86"/>
        <v>7</v>
      </c>
      <c r="AK100" s="258">
        <f t="shared" si="86"/>
        <v>7</v>
      </c>
      <c r="AL100" s="253"/>
      <c r="AM100" s="253"/>
      <c r="AN100" s="253"/>
      <c r="AO100" s="253"/>
      <c r="AP100" s="253"/>
    </row>
    <row r="101" spans="1:42" ht="26.4" x14ac:dyDescent="0.25">
      <c r="A101" s="259"/>
      <c r="B101" s="255" t="s">
        <v>211</v>
      </c>
      <c r="C101" s="256" t="s">
        <v>167</v>
      </c>
      <c r="D101" s="171" t="s">
        <v>225</v>
      </c>
      <c r="E101" s="265"/>
      <c r="F101" s="259"/>
      <c r="G101" s="258">
        <f>G97*1.05</f>
        <v>1496.25</v>
      </c>
      <c r="H101" s="258">
        <f t="shared" ref="H101:AK101" si="87">H97*1.05</f>
        <v>1496.25</v>
      </c>
      <c r="I101" s="258">
        <f t="shared" si="87"/>
        <v>1496.25</v>
      </c>
      <c r="J101" s="258">
        <f t="shared" si="87"/>
        <v>1496.25</v>
      </c>
      <c r="K101" s="258">
        <f t="shared" si="87"/>
        <v>1705.9875000000002</v>
      </c>
      <c r="L101" s="258">
        <f t="shared" si="87"/>
        <v>1705.9875000000002</v>
      </c>
      <c r="M101" s="258">
        <f t="shared" si="87"/>
        <v>1705.9875000000002</v>
      </c>
      <c r="N101" s="258">
        <f t="shared" si="87"/>
        <v>1705.9875000000002</v>
      </c>
      <c r="O101" s="258">
        <f t="shared" si="87"/>
        <v>2035.4066250000001</v>
      </c>
      <c r="P101" s="258">
        <f t="shared" si="87"/>
        <v>2035.4066250000001</v>
      </c>
      <c r="Q101" s="258">
        <f t="shared" si="87"/>
        <v>2035.4066250000001</v>
      </c>
      <c r="R101" s="258">
        <f t="shared" si="87"/>
        <v>2035.4066250000001</v>
      </c>
      <c r="S101" s="258">
        <f t="shared" si="87"/>
        <v>2440.3850887500003</v>
      </c>
      <c r="T101" s="258">
        <f t="shared" si="87"/>
        <v>2440.3850887500003</v>
      </c>
      <c r="U101" s="258">
        <f t="shared" si="87"/>
        <v>2440.3850887500003</v>
      </c>
      <c r="V101" s="258">
        <f t="shared" si="87"/>
        <v>2440.3850887500003</v>
      </c>
      <c r="W101" s="258">
        <f t="shared" si="87"/>
        <v>2978.7120449625008</v>
      </c>
      <c r="X101" s="258">
        <f t="shared" si="87"/>
        <v>2978.7120449625008</v>
      </c>
      <c r="Y101" s="258">
        <f t="shared" si="87"/>
        <v>2978.7120449625008</v>
      </c>
      <c r="Z101" s="258">
        <f t="shared" si="87"/>
        <v>2978.7120449625008</v>
      </c>
      <c r="AA101" s="258">
        <f t="shared" si="87"/>
        <v>3502.2218881098756</v>
      </c>
      <c r="AB101" s="258">
        <f t="shared" si="87"/>
        <v>3502.2218881098756</v>
      </c>
      <c r="AC101" s="258">
        <f t="shared" si="87"/>
        <v>3502.2218881098756</v>
      </c>
      <c r="AD101" s="258">
        <f t="shared" si="87"/>
        <v>3502.2218881098756</v>
      </c>
      <c r="AE101" s="258">
        <f t="shared" si="87"/>
        <v>4009.8774202775676</v>
      </c>
      <c r="AF101" s="258">
        <f t="shared" si="87"/>
        <v>4009.8774202775676</v>
      </c>
      <c r="AG101" s="258">
        <f t="shared" si="87"/>
        <v>4009.8774202775676</v>
      </c>
      <c r="AH101" s="258">
        <f t="shared" si="87"/>
        <v>4009.8774202775676</v>
      </c>
      <c r="AI101" s="258">
        <f t="shared" si="87"/>
        <v>4290.5688396969972</v>
      </c>
      <c r="AJ101" s="258">
        <f t="shared" si="87"/>
        <v>4290.5688396969972</v>
      </c>
      <c r="AK101" s="258">
        <f t="shared" si="87"/>
        <v>4290.5688396969972</v>
      </c>
      <c r="AL101" s="253"/>
      <c r="AM101" s="253"/>
      <c r="AN101" s="253"/>
      <c r="AO101" s="253"/>
      <c r="AP101" s="253"/>
    </row>
    <row r="102" spans="1:42" ht="13.2" x14ac:dyDescent="0.25">
      <c r="A102" s="259"/>
      <c r="B102" s="266" t="s">
        <v>226</v>
      </c>
      <c r="C102" s="248" t="s">
        <v>165</v>
      </c>
      <c r="D102" s="249"/>
      <c r="E102" s="260"/>
      <c r="F102" s="261"/>
      <c r="G102" s="252">
        <v>1</v>
      </c>
      <c r="H102" s="252">
        <v>1</v>
      </c>
      <c r="I102" s="252">
        <v>1</v>
      </c>
      <c r="J102" s="252">
        <v>1</v>
      </c>
      <c r="K102" s="252">
        <v>1</v>
      </c>
      <c r="L102" s="252">
        <v>1</v>
      </c>
      <c r="M102" s="252">
        <v>1</v>
      </c>
      <c r="N102" s="252">
        <v>1</v>
      </c>
      <c r="O102" s="252">
        <v>1</v>
      </c>
      <c r="P102" s="252">
        <v>1</v>
      </c>
      <c r="Q102" s="252">
        <v>2</v>
      </c>
      <c r="R102" s="252">
        <v>2</v>
      </c>
      <c r="S102" s="252">
        <v>2</v>
      </c>
      <c r="T102" s="252">
        <v>2</v>
      </c>
      <c r="U102" s="252">
        <v>2</v>
      </c>
      <c r="V102" s="252">
        <v>2</v>
      </c>
      <c r="W102" s="252">
        <v>2</v>
      </c>
      <c r="X102" s="252">
        <v>2</v>
      </c>
      <c r="Y102" s="252">
        <v>3</v>
      </c>
      <c r="Z102" s="252">
        <v>3</v>
      </c>
      <c r="AA102" s="252">
        <v>3</v>
      </c>
      <c r="AB102" s="252">
        <v>3</v>
      </c>
      <c r="AC102" s="252">
        <v>3</v>
      </c>
      <c r="AD102" s="252">
        <v>3</v>
      </c>
      <c r="AE102" s="252">
        <v>6</v>
      </c>
      <c r="AF102" s="252">
        <v>6</v>
      </c>
      <c r="AG102" s="252">
        <v>6</v>
      </c>
      <c r="AH102" s="252">
        <v>6</v>
      </c>
      <c r="AI102" s="252">
        <v>6</v>
      </c>
      <c r="AJ102" s="252">
        <v>6</v>
      </c>
      <c r="AK102" s="252">
        <v>6</v>
      </c>
      <c r="AL102" s="253"/>
      <c r="AM102" s="253"/>
      <c r="AN102" s="253"/>
      <c r="AO102" s="253"/>
      <c r="AP102" s="253"/>
    </row>
    <row r="103" spans="1:42" ht="13.2" x14ac:dyDescent="0.25">
      <c r="A103" s="259"/>
      <c r="B103" s="247" t="s">
        <v>211</v>
      </c>
      <c r="C103" s="248" t="s">
        <v>167</v>
      </c>
      <c r="D103" s="249"/>
      <c r="E103" s="260"/>
      <c r="F103" s="261"/>
      <c r="G103" s="252">
        <v>3000</v>
      </c>
      <c r="H103" s="252">
        <v>3000</v>
      </c>
      <c r="I103" s="252">
        <v>3000</v>
      </c>
      <c r="J103" s="252">
        <v>3000</v>
      </c>
      <c r="K103" s="252">
        <f>J103*(1+$F$18)</f>
        <v>3210</v>
      </c>
      <c r="L103" s="252">
        <f t="shared" ref="L103:N103" si="88">K103</f>
        <v>3210</v>
      </c>
      <c r="M103" s="252">
        <f t="shared" si="88"/>
        <v>3210</v>
      </c>
      <c r="N103" s="252">
        <f t="shared" si="88"/>
        <v>3210</v>
      </c>
      <c r="O103" s="252">
        <f>N103*(1+$F$18)+900</f>
        <v>4334.7000000000007</v>
      </c>
      <c r="P103" s="252">
        <f>O103</f>
        <v>4334.7000000000007</v>
      </c>
      <c r="Q103" s="252">
        <f>P103+600</f>
        <v>4934.7000000000007</v>
      </c>
      <c r="R103" s="252">
        <f>Q103</f>
        <v>4934.7000000000007</v>
      </c>
      <c r="S103" s="252">
        <f>R103*(1+$F$18)+600</f>
        <v>5880.1290000000008</v>
      </c>
      <c r="T103" s="252">
        <f t="shared" ref="T103:V103" si="89">S103</f>
        <v>5880.1290000000008</v>
      </c>
      <c r="U103" s="252">
        <f t="shared" si="89"/>
        <v>5880.1290000000008</v>
      </c>
      <c r="V103" s="252">
        <f t="shared" si="89"/>
        <v>5880.1290000000008</v>
      </c>
      <c r="W103" s="252">
        <f>V103*(1+$F$18)+1200</f>
        <v>7491.7380300000013</v>
      </c>
      <c r="X103" s="252">
        <f t="shared" ref="X103:Z103" si="90">W103</f>
        <v>7491.7380300000013</v>
      </c>
      <c r="Y103" s="252">
        <f t="shared" si="90"/>
        <v>7491.7380300000013</v>
      </c>
      <c r="Z103" s="252">
        <f t="shared" si="90"/>
        <v>7491.7380300000013</v>
      </c>
      <c r="AA103" s="252">
        <f>Z103*(1+$F$18)</f>
        <v>8016.1596921000018</v>
      </c>
      <c r="AB103" s="252">
        <f t="shared" ref="AB103:AD103" si="91">AA103</f>
        <v>8016.1596921000018</v>
      </c>
      <c r="AC103" s="252">
        <f t="shared" si="91"/>
        <v>8016.1596921000018</v>
      </c>
      <c r="AD103" s="252">
        <f t="shared" si="91"/>
        <v>8016.1596921000018</v>
      </c>
      <c r="AE103" s="252">
        <f>AD103*(1+$F$18)+900</f>
        <v>9477.2908705470018</v>
      </c>
      <c r="AF103" s="252">
        <f t="shared" ref="AF103:AH103" si="92">AE103</f>
        <v>9477.2908705470018</v>
      </c>
      <c r="AG103" s="252">
        <f t="shared" si="92"/>
        <v>9477.2908705470018</v>
      </c>
      <c r="AH103" s="252">
        <f t="shared" si="92"/>
        <v>9477.2908705470018</v>
      </c>
      <c r="AI103" s="252">
        <f>AH103*(1+$F$18)+900</f>
        <v>11040.701231485293</v>
      </c>
      <c r="AJ103" s="252">
        <f t="shared" ref="AJ103:AK103" si="93">AI103</f>
        <v>11040.701231485293</v>
      </c>
      <c r="AK103" s="252">
        <f t="shared" si="93"/>
        <v>11040.701231485293</v>
      </c>
      <c r="AL103" s="253"/>
      <c r="AM103" s="253"/>
      <c r="AN103" s="253"/>
      <c r="AO103" s="253"/>
      <c r="AP103" s="253"/>
    </row>
    <row r="104" spans="1:42" ht="13.2" x14ac:dyDescent="0.25">
      <c r="A104" s="259"/>
      <c r="B104" s="263" t="s">
        <v>227</v>
      </c>
      <c r="C104" s="256" t="s">
        <v>165</v>
      </c>
      <c r="D104" s="264"/>
      <c r="E104" s="265"/>
      <c r="F104" s="259"/>
      <c r="G104" s="258">
        <v>0</v>
      </c>
      <c r="H104" s="258">
        <v>0</v>
      </c>
      <c r="I104" s="258">
        <v>0</v>
      </c>
      <c r="J104" s="258">
        <v>0</v>
      </c>
      <c r="K104" s="258">
        <v>0</v>
      </c>
      <c r="L104" s="258">
        <v>0</v>
      </c>
      <c r="M104" s="258">
        <v>1</v>
      </c>
      <c r="N104" s="258">
        <v>1</v>
      </c>
      <c r="O104" s="258">
        <v>1</v>
      </c>
      <c r="P104" s="258">
        <v>1</v>
      </c>
      <c r="Q104" s="258">
        <v>1</v>
      </c>
      <c r="R104" s="258">
        <v>2</v>
      </c>
      <c r="S104" s="258">
        <v>2</v>
      </c>
      <c r="T104" s="258">
        <v>2</v>
      </c>
      <c r="U104" s="258">
        <v>2</v>
      </c>
      <c r="V104" s="258">
        <v>2</v>
      </c>
      <c r="W104" s="258">
        <v>3</v>
      </c>
      <c r="X104" s="258">
        <v>3</v>
      </c>
      <c r="Y104" s="258">
        <v>3</v>
      </c>
      <c r="Z104" s="258">
        <v>3</v>
      </c>
      <c r="AA104" s="258">
        <v>3</v>
      </c>
      <c r="AB104" s="258">
        <v>4</v>
      </c>
      <c r="AC104" s="258">
        <v>4</v>
      </c>
      <c r="AD104" s="258">
        <v>4</v>
      </c>
      <c r="AE104" s="258">
        <v>4</v>
      </c>
      <c r="AF104" s="258">
        <v>8</v>
      </c>
      <c r="AG104" s="258">
        <v>8</v>
      </c>
      <c r="AH104" s="258">
        <v>8</v>
      </c>
      <c r="AI104" s="258">
        <v>8</v>
      </c>
      <c r="AJ104" s="258">
        <v>9</v>
      </c>
      <c r="AK104" s="258">
        <v>9</v>
      </c>
      <c r="AL104" s="253"/>
      <c r="AM104" s="253"/>
      <c r="AN104" s="253"/>
      <c r="AO104" s="253"/>
      <c r="AP104" s="253"/>
    </row>
    <row r="105" spans="1:42" ht="13.2" x14ac:dyDescent="0.25">
      <c r="A105" s="259"/>
      <c r="B105" s="255" t="s">
        <v>211</v>
      </c>
      <c r="C105" s="256" t="s">
        <v>167</v>
      </c>
      <c r="D105" s="264"/>
      <c r="E105" s="265"/>
      <c r="F105" s="259"/>
      <c r="G105" s="258">
        <f>G101*1.5</f>
        <v>2244.375</v>
      </c>
      <c r="H105" s="258">
        <f t="shared" ref="H105:V105" si="94">H101*0.97</f>
        <v>1451.3625</v>
      </c>
      <c r="I105" s="258">
        <f t="shared" si="94"/>
        <v>1451.3625</v>
      </c>
      <c r="J105" s="258">
        <f t="shared" si="94"/>
        <v>1451.3625</v>
      </c>
      <c r="K105" s="258">
        <f t="shared" si="94"/>
        <v>1654.8078750000002</v>
      </c>
      <c r="L105" s="258">
        <f t="shared" si="94"/>
        <v>1654.8078750000002</v>
      </c>
      <c r="M105" s="258">
        <f t="shared" si="94"/>
        <v>1654.8078750000002</v>
      </c>
      <c r="N105" s="258">
        <f t="shared" si="94"/>
        <v>1654.8078750000002</v>
      </c>
      <c r="O105" s="258">
        <f t="shared" si="94"/>
        <v>1974.34442625</v>
      </c>
      <c r="P105" s="258">
        <f t="shared" si="94"/>
        <v>1974.34442625</v>
      </c>
      <c r="Q105" s="258">
        <f t="shared" si="94"/>
        <v>1974.34442625</v>
      </c>
      <c r="R105" s="258">
        <f t="shared" si="94"/>
        <v>1974.34442625</v>
      </c>
      <c r="S105" s="258">
        <f t="shared" si="94"/>
        <v>2367.1735360875</v>
      </c>
      <c r="T105" s="258">
        <f t="shared" si="94"/>
        <v>2367.1735360875</v>
      </c>
      <c r="U105" s="258">
        <f t="shared" si="94"/>
        <v>2367.1735360875</v>
      </c>
      <c r="V105" s="258">
        <f t="shared" si="94"/>
        <v>2367.1735360875</v>
      </c>
      <c r="W105" s="258">
        <f t="shared" ref="W105:AK105" si="95">W101*0.97+600</f>
        <v>3489.3506836136257</v>
      </c>
      <c r="X105" s="258">
        <f t="shared" si="95"/>
        <v>3489.3506836136257</v>
      </c>
      <c r="Y105" s="258">
        <f t="shared" si="95"/>
        <v>3489.3506836136257</v>
      </c>
      <c r="Z105" s="258">
        <f t="shared" si="95"/>
        <v>3489.3506836136257</v>
      </c>
      <c r="AA105" s="258">
        <f t="shared" si="95"/>
        <v>3997.1552314665792</v>
      </c>
      <c r="AB105" s="258">
        <f t="shared" si="95"/>
        <v>3997.1552314665792</v>
      </c>
      <c r="AC105" s="258">
        <f t="shared" si="95"/>
        <v>3997.1552314665792</v>
      </c>
      <c r="AD105" s="258">
        <f t="shared" si="95"/>
        <v>3997.1552314665792</v>
      </c>
      <c r="AE105" s="258">
        <f t="shared" si="95"/>
        <v>4489.581097669241</v>
      </c>
      <c r="AF105" s="258">
        <f t="shared" si="95"/>
        <v>4489.581097669241</v>
      </c>
      <c r="AG105" s="258">
        <f t="shared" si="95"/>
        <v>4489.581097669241</v>
      </c>
      <c r="AH105" s="258">
        <f t="shared" si="95"/>
        <v>4489.581097669241</v>
      </c>
      <c r="AI105" s="258">
        <f t="shared" si="95"/>
        <v>4761.8517745060872</v>
      </c>
      <c r="AJ105" s="258">
        <f t="shared" si="95"/>
        <v>4761.8517745060872</v>
      </c>
      <c r="AK105" s="258">
        <f t="shared" si="95"/>
        <v>4761.8517745060872</v>
      </c>
      <c r="AL105" s="253"/>
      <c r="AM105" s="253"/>
      <c r="AN105" s="253"/>
      <c r="AO105" s="253"/>
      <c r="AP105" s="253"/>
    </row>
    <row r="106" spans="1:42" ht="13.2" x14ac:dyDescent="0.25">
      <c r="A106" s="259"/>
      <c r="B106" s="266" t="s">
        <v>228</v>
      </c>
      <c r="C106" s="248" t="s">
        <v>167</v>
      </c>
      <c r="D106" s="249"/>
      <c r="E106" s="260"/>
      <c r="F106" s="261"/>
      <c r="G106" s="252">
        <v>1500</v>
      </c>
      <c r="H106" s="252">
        <f t="shared" ref="H106:J106" si="96">G106</f>
        <v>1500</v>
      </c>
      <c r="I106" s="252">
        <f t="shared" si="96"/>
        <v>1500</v>
      </c>
      <c r="J106" s="252">
        <f t="shared" si="96"/>
        <v>1500</v>
      </c>
      <c r="K106" s="252">
        <f>J106*(1+$F$18)+1500</f>
        <v>3105</v>
      </c>
      <c r="L106" s="252">
        <f t="shared" ref="L106:N106" si="97">K106</f>
        <v>3105</v>
      </c>
      <c r="M106" s="252">
        <f t="shared" si="97"/>
        <v>3105</v>
      </c>
      <c r="N106" s="252">
        <f t="shared" si="97"/>
        <v>3105</v>
      </c>
      <c r="O106" s="252">
        <f>N106*(1+$F$18)+1500</f>
        <v>4822.3500000000004</v>
      </c>
      <c r="P106" s="252">
        <f t="shared" ref="P106:R106" si="98">O106</f>
        <v>4822.3500000000004</v>
      </c>
      <c r="Q106" s="252">
        <f t="shared" si="98"/>
        <v>4822.3500000000004</v>
      </c>
      <c r="R106" s="252">
        <f t="shared" si="98"/>
        <v>4822.3500000000004</v>
      </c>
      <c r="S106" s="252">
        <f>R106*(1+$F$18)+1500</f>
        <v>6659.9145000000008</v>
      </c>
      <c r="T106" s="252">
        <f t="shared" ref="T106:V106" si="99">S106</f>
        <v>6659.9145000000008</v>
      </c>
      <c r="U106" s="252">
        <f t="shared" si="99"/>
        <v>6659.9145000000008</v>
      </c>
      <c r="V106" s="252">
        <f t="shared" si="99"/>
        <v>6659.9145000000008</v>
      </c>
      <c r="W106" s="252">
        <f>V106*(1+$F$18)+1500</f>
        <v>8626.1085149999999</v>
      </c>
      <c r="X106" s="252">
        <f t="shared" ref="X106:Z106" si="100">W106</f>
        <v>8626.1085149999999</v>
      </c>
      <c r="Y106" s="252">
        <f t="shared" si="100"/>
        <v>8626.1085149999999</v>
      </c>
      <c r="Z106" s="252">
        <f t="shared" si="100"/>
        <v>8626.1085149999999</v>
      </c>
      <c r="AA106" s="252">
        <f>Z106*(1+$F$18)+1500</f>
        <v>10729.936111050001</v>
      </c>
      <c r="AB106" s="252">
        <f t="shared" ref="AB106:AD106" si="101">AA106</f>
        <v>10729.936111050001</v>
      </c>
      <c r="AC106" s="252">
        <f t="shared" si="101"/>
        <v>10729.936111050001</v>
      </c>
      <c r="AD106" s="252">
        <f t="shared" si="101"/>
        <v>10729.936111050001</v>
      </c>
      <c r="AE106" s="252">
        <f>AD106*(1+$F$18)+1500</f>
        <v>12981.031638823502</v>
      </c>
      <c r="AF106" s="252">
        <f t="shared" ref="AF106:AH106" si="102">AE106</f>
        <v>12981.031638823502</v>
      </c>
      <c r="AG106" s="252">
        <f t="shared" si="102"/>
        <v>12981.031638823502</v>
      </c>
      <c r="AH106" s="252">
        <f t="shared" si="102"/>
        <v>12981.031638823502</v>
      </c>
      <c r="AI106" s="252">
        <f>AH106*(1+$F$18)+1500</f>
        <v>15389.703853541148</v>
      </c>
      <c r="AJ106" s="252">
        <f t="shared" ref="AJ106:AK106" si="103">AI106</f>
        <v>15389.703853541148</v>
      </c>
      <c r="AK106" s="252">
        <f t="shared" si="103"/>
        <v>15389.703853541148</v>
      </c>
      <c r="AL106" s="253"/>
      <c r="AM106" s="253"/>
      <c r="AN106" s="253"/>
      <c r="AO106" s="253"/>
      <c r="AP106" s="253"/>
    </row>
    <row r="107" spans="1:42" ht="26.4" x14ac:dyDescent="0.25">
      <c r="A107" s="259"/>
      <c r="B107" s="267" t="s">
        <v>229</v>
      </c>
      <c r="C107" s="268" t="s">
        <v>167</v>
      </c>
      <c r="D107" s="269" t="s">
        <v>230</v>
      </c>
      <c r="E107" s="270"/>
      <c r="F107" s="259"/>
      <c r="G107" s="252">
        <f>G147*G146</f>
        <v>25000</v>
      </c>
      <c r="H107" s="252">
        <f t="shared" ref="H107:AK107" si="104">H147*H146</f>
        <v>25000</v>
      </c>
      <c r="I107" s="252">
        <f t="shared" si="104"/>
        <v>31250</v>
      </c>
      <c r="J107" s="252">
        <f t="shared" si="104"/>
        <v>30000</v>
      </c>
      <c r="K107" s="252">
        <f t="shared" si="104"/>
        <v>36900</v>
      </c>
      <c r="L107" s="252">
        <f t="shared" si="104"/>
        <v>36900</v>
      </c>
      <c r="M107" s="252">
        <f t="shared" si="104"/>
        <v>36900</v>
      </c>
      <c r="N107" s="252">
        <f t="shared" si="104"/>
        <v>36900</v>
      </c>
      <c r="O107" s="252">
        <f t="shared" si="104"/>
        <v>49083</v>
      </c>
      <c r="P107" s="252">
        <f t="shared" si="104"/>
        <v>49083</v>
      </c>
      <c r="Q107" s="252">
        <f t="shared" si="104"/>
        <v>69534.25</v>
      </c>
      <c r="R107" s="252">
        <f t="shared" si="104"/>
        <v>92030.625</v>
      </c>
      <c r="S107" s="252">
        <f t="shared" si="104"/>
        <v>142479.03875000001</v>
      </c>
      <c r="T107" s="252">
        <f t="shared" si="104"/>
        <v>142479.03875000001</v>
      </c>
      <c r="U107" s="252">
        <f t="shared" si="104"/>
        <v>158608.74124999999</v>
      </c>
      <c r="V107" s="252">
        <f t="shared" si="104"/>
        <v>155920.45749999999</v>
      </c>
      <c r="W107" s="252">
        <f t="shared" si="104"/>
        <v>207434.88952500001</v>
      </c>
      <c r="X107" s="252">
        <f t="shared" si="104"/>
        <v>207434.88952500001</v>
      </c>
      <c r="Y107" s="252">
        <f t="shared" si="104"/>
        <v>211011.3531375</v>
      </c>
      <c r="Z107" s="252">
        <f t="shared" si="104"/>
        <v>211011.3531375</v>
      </c>
      <c r="AA107" s="252">
        <f t="shared" si="104"/>
        <v>261182.147857125</v>
      </c>
      <c r="AB107" s="252">
        <f t="shared" si="104"/>
        <v>256755.33179175001</v>
      </c>
      <c r="AC107" s="252">
        <f t="shared" si="104"/>
        <v>256755.33179175001</v>
      </c>
      <c r="AD107" s="252">
        <f t="shared" si="104"/>
        <v>256755.33179175001</v>
      </c>
      <c r="AE107" s="252">
        <f t="shared" si="104"/>
        <v>303728.2050171725</v>
      </c>
      <c r="AF107" s="252">
        <f t="shared" si="104"/>
        <v>298491.51182722126</v>
      </c>
      <c r="AG107" s="252">
        <f t="shared" si="104"/>
        <v>308964.89820712374</v>
      </c>
      <c r="AH107" s="252">
        <f t="shared" si="104"/>
        <v>303728.2050171725</v>
      </c>
      <c r="AI107" s="252">
        <f t="shared" si="104"/>
        <v>324989.17936837464</v>
      </c>
      <c r="AJ107" s="252">
        <f t="shared" si="104"/>
        <v>324989.17936837464</v>
      </c>
      <c r="AK107" s="252">
        <f t="shared" si="104"/>
        <v>324989.17936837464</v>
      </c>
      <c r="AL107" s="253"/>
      <c r="AM107" s="253"/>
      <c r="AN107" s="253"/>
      <c r="AO107" s="253"/>
      <c r="AP107" s="253"/>
    </row>
    <row r="108" spans="1:42" ht="13.2" x14ac:dyDescent="0.25">
      <c r="A108" s="271"/>
      <c r="B108" s="272" t="s">
        <v>231</v>
      </c>
      <c r="C108" s="273" t="s">
        <v>167</v>
      </c>
      <c r="D108" s="234"/>
      <c r="E108" s="274"/>
      <c r="F108" s="271"/>
      <c r="G108" s="275">
        <f t="shared" ref="G108:AK108" si="105">G90*G91+G92*G93+G94*G95+G97*G96+G107+G98*G99+G100*G101+G102*G103+G105*G104+G106</f>
        <v>36411.25</v>
      </c>
      <c r="H108" s="275">
        <f t="shared" si="105"/>
        <v>36411.25</v>
      </c>
      <c r="I108" s="275">
        <f t="shared" si="105"/>
        <v>42661.25</v>
      </c>
      <c r="J108" s="275">
        <f t="shared" si="105"/>
        <v>41411.25</v>
      </c>
      <c r="K108" s="275">
        <f t="shared" si="105"/>
        <v>51095.037500000006</v>
      </c>
      <c r="L108" s="275">
        <f t="shared" si="105"/>
        <v>63344.537500000006</v>
      </c>
      <c r="M108" s="275">
        <f t="shared" si="105"/>
        <v>67598.94537500001</v>
      </c>
      <c r="N108" s="275">
        <f t="shared" si="105"/>
        <v>69128.94537500001</v>
      </c>
      <c r="O108" s="275">
        <f t="shared" si="105"/>
        <v>87124.571551250003</v>
      </c>
      <c r="P108" s="275">
        <f t="shared" si="105"/>
        <v>87124.571551250003</v>
      </c>
      <c r="Q108" s="275">
        <f t="shared" si="105"/>
        <v>107682.77055125</v>
      </c>
      <c r="R108" s="275">
        <f t="shared" si="105"/>
        <v>179057.2322275</v>
      </c>
      <c r="S108" s="275">
        <f t="shared" si="105"/>
        <v>313337.49923467502</v>
      </c>
      <c r="T108" s="275">
        <f t="shared" si="105"/>
        <v>313337.49923467502</v>
      </c>
      <c r="U108" s="275">
        <f t="shared" si="105"/>
        <v>342098.79768842499</v>
      </c>
      <c r="V108" s="275">
        <f t="shared" si="105"/>
        <v>342269.21093842509</v>
      </c>
      <c r="W108" s="275">
        <f t="shared" si="105"/>
        <v>438056.07103212841</v>
      </c>
      <c r="X108" s="275">
        <f t="shared" si="105"/>
        <v>438056.07103212841</v>
      </c>
      <c r="Y108" s="275">
        <f t="shared" si="105"/>
        <v>456500.13107167848</v>
      </c>
      <c r="Z108" s="275">
        <f t="shared" si="105"/>
        <v>458558.93686167838</v>
      </c>
      <c r="AA108" s="275">
        <f t="shared" si="105"/>
        <v>538438.62176185229</v>
      </c>
      <c r="AB108" s="275">
        <f t="shared" si="105"/>
        <v>538008.96092794393</v>
      </c>
      <c r="AC108" s="275">
        <f t="shared" si="105"/>
        <v>538008.96092794393</v>
      </c>
      <c r="AD108" s="275">
        <f t="shared" si="105"/>
        <v>541211.88312324393</v>
      </c>
      <c r="AE108" s="275">
        <f t="shared" si="105"/>
        <v>656139.46080454101</v>
      </c>
      <c r="AF108" s="275">
        <f t="shared" si="105"/>
        <v>668861.09200526681</v>
      </c>
      <c r="AG108" s="275">
        <f t="shared" si="105"/>
        <v>689263.69866395183</v>
      </c>
      <c r="AH108" s="275">
        <f t="shared" si="105"/>
        <v>687454.13222297153</v>
      </c>
      <c r="AI108" s="275">
        <f t="shared" si="105"/>
        <v>740472.8958571807</v>
      </c>
      <c r="AJ108" s="275">
        <f t="shared" si="105"/>
        <v>745234.74763168686</v>
      </c>
      <c r="AK108" s="275">
        <f t="shared" si="105"/>
        <v>745234.74763168686</v>
      </c>
      <c r="AL108" s="73"/>
      <c r="AM108" s="73"/>
      <c r="AN108" s="73"/>
      <c r="AO108" s="73"/>
      <c r="AP108" s="73"/>
    </row>
    <row r="109" spans="1:42" ht="13.2" x14ac:dyDescent="0.25">
      <c r="B109" s="125" t="s">
        <v>157</v>
      </c>
      <c r="C109" s="273" t="s">
        <v>167</v>
      </c>
      <c r="D109" s="231"/>
      <c r="E109" s="119"/>
      <c r="G109" s="276">
        <f t="shared" ref="G109:AK109" si="106">G15*G108</f>
        <v>5461.6875</v>
      </c>
      <c r="H109" s="276">
        <f t="shared" si="106"/>
        <v>5461.6875</v>
      </c>
      <c r="I109" s="276">
        <f t="shared" si="106"/>
        <v>6399.1875</v>
      </c>
      <c r="J109" s="276">
        <f t="shared" si="106"/>
        <v>6211.6875</v>
      </c>
      <c r="K109" s="276">
        <f t="shared" si="106"/>
        <v>7664.2556250000007</v>
      </c>
      <c r="L109" s="276">
        <f t="shared" si="106"/>
        <v>9501.6806250000009</v>
      </c>
      <c r="M109" s="276">
        <f t="shared" si="106"/>
        <v>10139.84180625</v>
      </c>
      <c r="N109" s="276">
        <f t="shared" si="106"/>
        <v>10369.34180625</v>
      </c>
      <c r="O109" s="276">
        <f t="shared" si="106"/>
        <v>13068.6857326875</v>
      </c>
      <c r="P109" s="276">
        <f t="shared" si="106"/>
        <v>13068.6857326875</v>
      </c>
      <c r="Q109" s="276">
        <f t="shared" si="106"/>
        <v>16152.415582687499</v>
      </c>
      <c r="R109" s="276">
        <f t="shared" si="106"/>
        <v>26858.584834124998</v>
      </c>
      <c r="S109" s="276">
        <f t="shared" si="106"/>
        <v>47000.62488520125</v>
      </c>
      <c r="T109" s="276">
        <f t="shared" si="106"/>
        <v>47000.62488520125</v>
      </c>
      <c r="U109" s="276">
        <f t="shared" si="106"/>
        <v>51314.819653263745</v>
      </c>
      <c r="V109" s="276">
        <f t="shared" si="106"/>
        <v>51340.381640763764</v>
      </c>
      <c r="W109" s="276">
        <f t="shared" si="106"/>
        <v>65708.410654819265</v>
      </c>
      <c r="X109" s="276">
        <f t="shared" si="106"/>
        <v>65708.410654819265</v>
      </c>
      <c r="Y109" s="276">
        <f t="shared" si="106"/>
        <v>68475.019660751772</v>
      </c>
      <c r="Z109" s="276">
        <f t="shared" si="106"/>
        <v>68783.840529251756</v>
      </c>
      <c r="AA109" s="276">
        <f t="shared" si="106"/>
        <v>80765.793264277847</v>
      </c>
      <c r="AB109" s="276">
        <f t="shared" si="106"/>
        <v>80701.344139191584</v>
      </c>
      <c r="AC109" s="276">
        <f t="shared" si="106"/>
        <v>80701.344139191584</v>
      </c>
      <c r="AD109" s="276">
        <f t="shared" si="106"/>
        <v>81181.782468486592</v>
      </c>
      <c r="AE109" s="276">
        <f t="shared" si="106"/>
        <v>98420.919120681152</v>
      </c>
      <c r="AF109" s="276">
        <f t="shared" si="106"/>
        <v>100329.16380079002</v>
      </c>
      <c r="AG109" s="276">
        <f t="shared" si="106"/>
        <v>103389.55479959278</v>
      </c>
      <c r="AH109" s="276">
        <f t="shared" si="106"/>
        <v>103118.11983344573</v>
      </c>
      <c r="AI109" s="276">
        <f t="shared" si="106"/>
        <v>111070.93437857711</v>
      </c>
      <c r="AJ109" s="276">
        <f t="shared" si="106"/>
        <v>111785.21214475302</v>
      </c>
      <c r="AK109" s="276">
        <f t="shared" si="106"/>
        <v>111785.21214475302</v>
      </c>
      <c r="AL109" s="214"/>
      <c r="AM109" s="214"/>
      <c r="AN109" s="214"/>
      <c r="AO109" s="214"/>
      <c r="AP109" s="214"/>
    </row>
    <row r="110" spans="1:42" ht="13.2" x14ac:dyDescent="0.25">
      <c r="B110" s="277" t="s">
        <v>232</v>
      </c>
      <c r="C110" s="273" t="s">
        <v>167</v>
      </c>
      <c r="D110" s="231"/>
      <c r="E110" s="119"/>
      <c r="G110" s="278">
        <f t="shared" ref="G110:AK110" si="107">G108+G109</f>
        <v>41872.9375</v>
      </c>
      <c r="H110" s="278">
        <f t="shared" si="107"/>
        <v>41872.9375</v>
      </c>
      <c r="I110" s="278">
        <f t="shared" si="107"/>
        <v>49060.4375</v>
      </c>
      <c r="J110" s="278">
        <f t="shared" si="107"/>
        <v>47622.9375</v>
      </c>
      <c r="K110" s="278">
        <f t="shared" si="107"/>
        <v>58759.293125000004</v>
      </c>
      <c r="L110" s="278">
        <f t="shared" si="107"/>
        <v>72846.218125000014</v>
      </c>
      <c r="M110" s="278">
        <f t="shared" si="107"/>
        <v>77738.787181250009</v>
      </c>
      <c r="N110" s="278">
        <f t="shared" si="107"/>
        <v>79498.287181250009</v>
      </c>
      <c r="O110" s="278">
        <f t="shared" si="107"/>
        <v>100193.25728393751</v>
      </c>
      <c r="P110" s="278">
        <f t="shared" si="107"/>
        <v>100193.25728393751</v>
      </c>
      <c r="Q110" s="278">
        <f t="shared" si="107"/>
        <v>123835.1861339375</v>
      </c>
      <c r="R110" s="278">
        <f t="shared" si="107"/>
        <v>205915.81706162501</v>
      </c>
      <c r="S110" s="278">
        <f t="shared" si="107"/>
        <v>360338.1241198763</v>
      </c>
      <c r="T110" s="278">
        <f t="shared" si="107"/>
        <v>360338.1241198763</v>
      </c>
      <c r="U110" s="278">
        <f t="shared" si="107"/>
        <v>393413.61734168872</v>
      </c>
      <c r="V110" s="278">
        <f t="shared" si="107"/>
        <v>393609.59257918887</v>
      </c>
      <c r="W110" s="278">
        <f t="shared" si="107"/>
        <v>503764.48168694769</v>
      </c>
      <c r="X110" s="278">
        <f t="shared" si="107"/>
        <v>503764.48168694769</v>
      </c>
      <c r="Y110" s="278">
        <f t="shared" si="107"/>
        <v>524975.15073243028</v>
      </c>
      <c r="Z110" s="278">
        <f t="shared" si="107"/>
        <v>527342.7773909301</v>
      </c>
      <c r="AA110" s="278">
        <f t="shared" si="107"/>
        <v>619204.41502613015</v>
      </c>
      <c r="AB110" s="278">
        <f t="shared" si="107"/>
        <v>618710.30506713549</v>
      </c>
      <c r="AC110" s="278">
        <f t="shared" si="107"/>
        <v>618710.30506713549</v>
      </c>
      <c r="AD110" s="278">
        <f t="shared" si="107"/>
        <v>622393.6655917305</v>
      </c>
      <c r="AE110" s="278">
        <f t="shared" si="107"/>
        <v>754560.37992522214</v>
      </c>
      <c r="AF110" s="278">
        <f t="shared" si="107"/>
        <v>769190.25580605678</v>
      </c>
      <c r="AG110" s="278">
        <f t="shared" si="107"/>
        <v>792653.25346354465</v>
      </c>
      <c r="AH110" s="278">
        <f t="shared" si="107"/>
        <v>790572.25205641729</v>
      </c>
      <c r="AI110" s="278">
        <f t="shared" si="107"/>
        <v>851543.83023575787</v>
      </c>
      <c r="AJ110" s="278">
        <f t="shared" si="107"/>
        <v>857019.95977643994</v>
      </c>
      <c r="AK110" s="278">
        <f t="shared" si="107"/>
        <v>857019.95977643994</v>
      </c>
      <c r="AL110" s="214"/>
      <c r="AM110" s="214"/>
      <c r="AN110" s="214"/>
      <c r="AO110" s="214"/>
      <c r="AP110" s="214"/>
    </row>
    <row r="111" spans="1:42" ht="13.2" x14ac:dyDescent="0.25">
      <c r="B111" s="230"/>
      <c r="C111" s="119"/>
      <c r="D111" s="231"/>
      <c r="E111" s="119"/>
      <c r="M111" s="279"/>
      <c r="N111" s="279"/>
      <c r="O111" s="279"/>
      <c r="P111" s="279"/>
      <c r="Q111" s="279"/>
      <c r="R111" s="279"/>
      <c r="S111" s="279"/>
      <c r="T111" s="279"/>
      <c r="U111" s="279"/>
      <c r="V111" s="279">
        <f>V104+V102+V100+V98+V96+V94+V92+V90</f>
        <v>61</v>
      </c>
      <c r="W111" s="280">
        <f t="shared" ref="W111:Y111" si="108">W104+W102+W100+W98+W96+W94+W92+W90</f>
        <v>62</v>
      </c>
      <c r="X111" s="280">
        <f t="shared" si="108"/>
        <v>62</v>
      </c>
      <c r="Y111" s="280">
        <f t="shared" si="108"/>
        <v>65</v>
      </c>
      <c r="Z111" s="280">
        <f>Z104+Z102+Z100+Z98+Z96+Z94+Z92+Z90</f>
        <v>65</v>
      </c>
      <c r="AA111" s="280">
        <f t="shared" ref="AA111:AK111" si="109">AA104+AA102+AA100+AA98+AA96+AA94+AA92+AA90</f>
        <v>63</v>
      </c>
      <c r="AB111" s="280">
        <f t="shared" si="109"/>
        <v>64</v>
      </c>
      <c r="AC111" s="280">
        <f t="shared" si="109"/>
        <v>64</v>
      </c>
      <c r="AD111" s="280">
        <f t="shared" si="109"/>
        <v>64</v>
      </c>
      <c r="AE111" s="280">
        <f t="shared" si="109"/>
        <v>67</v>
      </c>
      <c r="AF111" s="280">
        <f t="shared" si="109"/>
        <v>71</v>
      </c>
      <c r="AG111" s="280">
        <f t="shared" si="109"/>
        <v>73</v>
      </c>
      <c r="AH111" s="280">
        <f t="shared" si="109"/>
        <v>73</v>
      </c>
      <c r="AI111" s="280">
        <f t="shared" si="109"/>
        <v>73</v>
      </c>
      <c r="AJ111" s="280">
        <f t="shared" si="109"/>
        <v>74</v>
      </c>
      <c r="AK111" s="280">
        <f t="shared" si="109"/>
        <v>74</v>
      </c>
      <c r="AL111" s="214"/>
      <c r="AM111" s="214"/>
      <c r="AN111" s="214"/>
      <c r="AO111" s="214"/>
      <c r="AP111" s="214"/>
    </row>
    <row r="112" spans="1:42" ht="13.2" x14ac:dyDescent="0.25">
      <c r="B112" s="236" t="s">
        <v>233</v>
      </c>
      <c r="C112" s="273"/>
      <c r="D112" s="226"/>
      <c r="E112" s="119"/>
      <c r="G112" s="280"/>
      <c r="H112" s="280"/>
      <c r="I112" s="280"/>
      <c r="J112" s="280"/>
      <c r="K112" s="280"/>
      <c r="L112" s="280"/>
      <c r="M112" s="279"/>
      <c r="N112" s="279"/>
      <c r="O112" s="279"/>
      <c r="P112" s="279"/>
      <c r="Q112" s="279"/>
      <c r="R112" s="279"/>
      <c r="S112" s="279"/>
      <c r="T112" s="279"/>
      <c r="U112" s="279"/>
      <c r="V112" s="279"/>
      <c r="W112" s="279"/>
      <c r="X112" s="279"/>
      <c r="Y112" s="279"/>
      <c r="Z112" s="279"/>
      <c r="AA112" s="279"/>
      <c r="AB112" s="279"/>
      <c r="AC112" s="279"/>
      <c r="AD112" s="279"/>
      <c r="AE112" s="279"/>
      <c r="AF112" s="279"/>
      <c r="AG112" s="279"/>
      <c r="AH112" s="279"/>
      <c r="AI112" s="279"/>
      <c r="AJ112" s="279"/>
      <c r="AK112" s="279"/>
      <c r="AL112" s="281"/>
      <c r="AM112" s="281"/>
      <c r="AN112" s="281"/>
      <c r="AO112" s="281"/>
      <c r="AP112" s="281"/>
    </row>
    <row r="113" spans="1:42" ht="13.2" x14ac:dyDescent="0.25">
      <c r="B113" s="230" t="s">
        <v>234</v>
      </c>
      <c r="C113" s="273" t="s">
        <v>167</v>
      </c>
      <c r="D113" s="226"/>
      <c r="E113" s="119"/>
      <c r="G113" s="282">
        <v>0</v>
      </c>
      <c r="H113" s="282">
        <v>0</v>
      </c>
      <c r="I113" s="282">
        <v>0</v>
      </c>
      <c r="J113" s="282">
        <v>0</v>
      </c>
      <c r="K113" s="282">
        <v>3000</v>
      </c>
      <c r="L113" s="282">
        <v>3000</v>
      </c>
      <c r="M113" s="282">
        <v>3000</v>
      </c>
      <c r="N113" s="282">
        <v>3000</v>
      </c>
      <c r="O113" s="282">
        <v>10000</v>
      </c>
      <c r="P113" s="282">
        <v>10000</v>
      </c>
      <c r="Q113" s="282">
        <v>10000</v>
      </c>
      <c r="R113" s="282">
        <v>300000</v>
      </c>
      <c r="S113" s="282">
        <v>300000</v>
      </c>
      <c r="T113" s="282">
        <v>300000</v>
      </c>
      <c r="U113" s="282">
        <v>300000</v>
      </c>
      <c r="V113" s="282">
        <v>600000</v>
      </c>
      <c r="W113" s="282">
        <v>600000</v>
      </c>
      <c r="X113" s="282">
        <v>600000</v>
      </c>
      <c r="Y113" s="282">
        <v>600000</v>
      </c>
      <c r="Z113" s="282">
        <v>600000</v>
      </c>
      <c r="AA113" s="282">
        <v>600000</v>
      </c>
      <c r="AB113" s="282">
        <v>600000</v>
      </c>
      <c r="AC113" s="282">
        <v>600000</v>
      </c>
      <c r="AD113" s="282">
        <f t="shared" ref="AD113:AK113" si="110">600000*2</f>
        <v>1200000</v>
      </c>
      <c r="AE113" s="282">
        <f t="shared" si="110"/>
        <v>1200000</v>
      </c>
      <c r="AF113" s="282">
        <f t="shared" si="110"/>
        <v>1200000</v>
      </c>
      <c r="AG113" s="282">
        <f t="shared" si="110"/>
        <v>1200000</v>
      </c>
      <c r="AH113" s="282">
        <f t="shared" si="110"/>
        <v>1200000</v>
      </c>
      <c r="AI113" s="282">
        <f t="shared" si="110"/>
        <v>1200000</v>
      </c>
      <c r="AJ113" s="282">
        <f t="shared" si="110"/>
        <v>1200000</v>
      </c>
      <c r="AK113" s="282">
        <f t="shared" si="110"/>
        <v>1200000</v>
      </c>
      <c r="AL113" s="281"/>
      <c r="AM113" s="281"/>
      <c r="AN113" s="281"/>
      <c r="AO113" s="281"/>
      <c r="AP113" s="281"/>
    </row>
    <row r="114" spans="1:42" ht="13.2" x14ac:dyDescent="0.25">
      <c r="B114" s="230" t="s">
        <v>235</v>
      </c>
      <c r="C114" s="273" t="s">
        <v>167</v>
      </c>
      <c r="D114" s="226"/>
      <c r="E114" s="119"/>
      <c r="G114" s="282">
        <v>302</v>
      </c>
      <c r="H114" s="282">
        <v>680</v>
      </c>
      <c r="I114" s="282">
        <v>680</v>
      </c>
      <c r="J114" s="282">
        <v>1077</v>
      </c>
      <c r="K114" s="282">
        <v>2068</v>
      </c>
      <c r="L114" s="282">
        <v>2068</v>
      </c>
      <c r="M114" s="276">
        <f t="shared" ref="M114:AK114" si="111">0.6*M108</f>
        <v>40559.367225000002</v>
      </c>
      <c r="N114" s="276">
        <f t="shared" si="111"/>
        <v>41477.367225000002</v>
      </c>
      <c r="O114" s="276">
        <f t="shared" si="111"/>
        <v>52274.742930749999</v>
      </c>
      <c r="P114" s="276">
        <f t="shared" si="111"/>
        <v>52274.742930749999</v>
      </c>
      <c r="Q114" s="276">
        <f t="shared" si="111"/>
        <v>64609.662330749998</v>
      </c>
      <c r="R114" s="276">
        <f t="shared" si="111"/>
        <v>107434.33933649999</v>
      </c>
      <c r="S114" s="276">
        <f t="shared" si="111"/>
        <v>188002.499540805</v>
      </c>
      <c r="T114" s="276">
        <f t="shared" si="111"/>
        <v>188002.499540805</v>
      </c>
      <c r="U114" s="276">
        <f t="shared" si="111"/>
        <v>205259.27861305498</v>
      </c>
      <c r="V114" s="276">
        <f t="shared" si="111"/>
        <v>205361.52656305506</v>
      </c>
      <c r="W114" s="276">
        <f t="shared" si="111"/>
        <v>262833.64261927706</v>
      </c>
      <c r="X114" s="276">
        <f t="shared" si="111"/>
        <v>262833.64261927706</v>
      </c>
      <c r="Y114" s="276">
        <f t="shared" si="111"/>
        <v>273900.07864300709</v>
      </c>
      <c r="Z114" s="276">
        <f t="shared" si="111"/>
        <v>275135.36211700703</v>
      </c>
      <c r="AA114" s="276">
        <f t="shared" si="111"/>
        <v>323063.17305711139</v>
      </c>
      <c r="AB114" s="276">
        <f t="shared" si="111"/>
        <v>322805.37655676634</v>
      </c>
      <c r="AC114" s="276">
        <f t="shared" si="111"/>
        <v>322805.37655676634</v>
      </c>
      <c r="AD114" s="276">
        <f t="shared" si="111"/>
        <v>324727.12987394637</v>
      </c>
      <c r="AE114" s="276">
        <f t="shared" si="111"/>
        <v>393683.67648272461</v>
      </c>
      <c r="AF114" s="276">
        <f t="shared" si="111"/>
        <v>401316.65520316007</v>
      </c>
      <c r="AG114" s="276">
        <f t="shared" si="111"/>
        <v>413558.21919837111</v>
      </c>
      <c r="AH114" s="276">
        <f t="shared" si="111"/>
        <v>412472.47933378292</v>
      </c>
      <c r="AI114" s="276">
        <f t="shared" si="111"/>
        <v>444283.73751430842</v>
      </c>
      <c r="AJ114" s="276">
        <f t="shared" si="111"/>
        <v>447140.84857901209</v>
      </c>
      <c r="AK114" s="276">
        <f t="shared" si="111"/>
        <v>447140.84857901209</v>
      </c>
      <c r="AL114" s="281"/>
      <c r="AM114" s="281"/>
      <c r="AN114" s="281"/>
      <c r="AO114" s="281"/>
      <c r="AP114" s="281"/>
    </row>
    <row r="115" spans="1:42" ht="13.2" x14ac:dyDescent="0.25">
      <c r="B115" s="277" t="s">
        <v>236</v>
      </c>
      <c r="C115" s="273" t="s">
        <v>167</v>
      </c>
      <c r="D115" s="226"/>
      <c r="E115" s="119"/>
      <c r="G115" s="283">
        <f t="shared" ref="G115:AK115" si="112">G114+G113</f>
        <v>302</v>
      </c>
      <c r="H115" s="283">
        <f t="shared" si="112"/>
        <v>680</v>
      </c>
      <c r="I115" s="283">
        <f t="shared" si="112"/>
        <v>680</v>
      </c>
      <c r="J115" s="283">
        <f t="shared" si="112"/>
        <v>1077</v>
      </c>
      <c r="K115" s="283">
        <f t="shared" si="112"/>
        <v>5068</v>
      </c>
      <c r="L115" s="283">
        <f t="shared" si="112"/>
        <v>5068</v>
      </c>
      <c r="M115" s="283">
        <f t="shared" si="112"/>
        <v>43559.367225000002</v>
      </c>
      <c r="N115" s="283">
        <f t="shared" si="112"/>
        <v>44477.367225000002</v>
      </c>
      <c r="O115" s="283">
        <f t="shared" si="112"/>
        <v>62274.742930749999</v>
      </c>
      <c r="P115" s="283">
        <f t="shared" si="112"/>
        <v>62274.742930749999</v>
      </c>
      <c r="Q115" s="283">
        <f t="shared" si="112"/>
        <v>74609.662330749998</v>
      </c>
      <c r="R115" s="283">
        <f t="shared" si="112"/>
        <v>407434.33933649998</v>
      </c>
      <c r="S115" s="283">
        <f t="shared" si="112"/>
        <v>488002.499540805</v>
      </c>
      <c r="T115" s="283">
        <f t="shared" si="112"/>
        <v>488002.499540805</v>
      </c>
      <c r="U115" s="283">
        <f t="shared" si="112"/>
        <v>505259.27861305501</v>
      </c>
      <c r="V115" s="283">
        <f t="shared" si="112"/>
        <v>805361.52656305511</v>
      </c>
      <c r="W115" s="283">
        <f t="shared" si="112"/>
        <v>862833.64261927712</v>
      </c>
      <c r="X115" s="283">
        <f t="shared" si="112"/>
        <v>862833.64261927712</v>
      </c>
      <c r="Y115" s="283">
        <f t="shared" si="112"/>
        <v>873900.07864300709</v>
      </c>
      <c r="Z115" s="283">
        <f t="shared" si="112"/>
        <v>875135.36211700703</v>
      </c>
      <c r="AA115" s="283">
        <f t="shared" si="112"/>
        <v>923063.17305711145</v>
      </c>
      <c r="AB115" s="283">
        <f t="shared" si="112"/>
        <v>922805.37655676634</v>
      </c>
      <c r="AC115" s="283">
        <f t="shared" si="112"/>
        <v>922805.37655676634</v>
      </c>
      <c r="AD115" s="283">
        <f t="shared" si="112"/>
        <v>1524727.1298739463</v>
      </c>
      <c r="AE115" s="283">
        <f t="shared" si="112"/>
        <v>1593683.6764827245</v>
      </c>
      <c r="AF115" s="283">
        <f t="shared" si="112"/>
        <v>1601316.6552031601</v>
      </c>
      <c r="AG115" s="283">
        <f t="shared" si="112"/>
        <v>1613558.2191983711</v>
      </c>
      <c r="AH115" s="283">
        <f t="shared" si="112"/>
        <v>1612472.479333783</v>
      </c>
      <c r="AI115" s="283">
        <f t="shared" si="112"/>
        <v>1644283.7375143084</v>
      </c>
      <c r="AJ115" s="283">
        <f t="shared" si="112"/>
        <v>1647140.8485790121</v>
      </c>
      <c r="AK115" s="283">
        <f t="shared" si="112"/>
        <v>1647140.8485790121</v>
      </c>
      <c r="AL115" s="281"/>
      <c r="AM115" s="281"/>
      <c r="AN115" s="281"/>
      <c r="AO115" s="281"/>
      <c r="AP115" s="281"/>
    </row>
    <row r="116" spans="1:42" ht="13.2" x14ac:dyDescent="0.25">
      <c r="B116" s="284"/>
      <c r="C116" s="119"/>
      <c r="D116" s="231"/>
      <c r="E116" s="119"/>
      <c r="AE116" s="281"/>
      <c r="AF116" s="281"/>
      <c r="AG116" s="281"/>
      <c r="AH116" s="281"/>
      <c r="AI116" s="281"/>
      <c r="AJ116" s="281"/>
      <c r="AK116" s="281"/>
      <c r="AL116" s="281"/>
      <c r="AM116" s="281"/>
      <c r="AN116" s="281"/>
      <c r="AO116" s="281"/>
      <c r="AP116" s="281"/>
    </row>
    <row r="117" spans="1:42" ht="13.2" x14ac:dyDescent="0.25">
      <c r="A117" s="20"/>
      <c r="B117" s="285" t="s">
        <v>237</v>
      </c>
      <c r="C117" s="286" t="s">
        <v>167</v>
      </c>
      <c r="D117" s="287"/>
      <c r="E117" s="288"/>
      <c r="F117" s="288"/>
      <c r="G117" s="289">
        <f t="shared" ref="G117:AK117" si="113">G115+G110+G87+G81+G74</f>
        <v>77368.537500000006</v>
      </c>
      <c r="H117" s="289">
        <f t="shared" si="113"/>
        <v>90340.215583049736</v>
      </c>
      <c r="I117" s="289">
        <f t="shared" si="113"/>
        <v>233353.96990243453</v>
      </c>
      <c r="J117" s="289">
        <f t="shared" si="113"/>
        <v>121702.30880638756</v>
      </c>
      <c r="K117" s="289">
        <f t="shared" si="113"/>
        <v>141605.83392500004</v>
      </c>
      <c r="L117" s="289">
        <f t="shared" si="113"/>
        <v>160580.01906908088</v>
      </c>
      <c r="M117" s="289">
        <f t="shared" si="113"/>
        <v>208964.29389958509</v>
      </c>
      <c r="N117" s="289">
        <f t="shared" si="113"/>
        <v>216757.23066598945</v>
      </c>
      <c r="O117" s="289">
        <f t="shared" si="113"/>
        <v>268282.16381468752</v>
      </c>
      <c r="P117" s="289">
        <f t="shared" si="113"/>
        <v>294141.99232483376</v>
      </c>
      <c r="Q117" s="289">
        <f t="shared" si="113"/>
        <v>2854763.2850891789</v>
      </c>
      <c r="R117" s="289">
        <f t="shared" si="113"/>
        <v>3616578.3969089389</v>
      </c>
      <c r="S117" s="289">
        <f t="shared" si="113"/>
        <v>7157414.7968833363</v>
      </c>
      <c r="T117" s="289">
        <f t="shared" si="113"/>
        <v>2346252.8347505173</v>
      </c>
      <c r="U117" s="289">
        <f t="shared" si="113"/>
        <v>3836772.9606122877</v>
      </c>
      <c r="V117" s="289">
        <f t="shared" si="113"/>
        <v>2862549.788779025</v>
      </c>
      <c r="W117" s="289">
        <f t="shared" si="113"/>
        <v>3087183.0865112268</v>
      </c>
      <c r="X117" s="289">
        <f t="shared" si="113"/>
        <v>3101789.2331299097</v>
      </c>
      <c r="Y117" s="289">
        <f t="shared" si="113"/>
        <v>3792015.5219596792</v>
      </c>
      <c r="Z117" s="289">
        <f t="shared" si="113"/>
        <v>3224815.2596441954</v>
      </c>
      <c r="AA117" s="289">
        <f t="shared" si="113"/>
        <v>3380266.8813254004</v>
      </c>
      <c r="AB117" s="289">
        <f t="shared" si="113"/>
        <v>3395303.4039602564</v>
      </c>
      <c r="AC117" s="289">
        <f t="shared" si="113"/>
        <v>3411218.760559503</v>
      </c>
      <c r="AD117" s="289">
        <f t="shared" si="113"/>
        <v>4032866.8274892266</v>
      </c>
      <c r="AE117" s="289">
        <f t="shared" si="113"/>
        <v>4250161.3042953797</v>
      </c>
      <c r="AF117" s="289">
        <f t="shared" si="113"/>
        <v>4339568.0303445496</v>
      </c>
      <c r="AG117" s="289">
        <f t="shared" si="113"/>
        <v>7924883.1334004197</v>
      </c>
      <c r="AH117" s="289">
        <f t="shared" si="113"/>
        <v>7623189.081176958</v>
      </c>
      <c r="AI117" s="289">
        <f t="shared" si="113"/>
        <v>10911498.5921665</v>
      </c>
      <c r="AJ117" s="289">
        <f t="shared" si="113"/>
        <v>4510010.335863051</v>
      </c>
      <c r="AK117" s="289">
        <f t="shared" si="113"/>
        <v>6152678.3793767467</v>
      </c>
      <c r="AL117" s="288"/>
      <c r="AM117" s="288"/>
      <c r="AN117" s="288"/>
      <c r="AO117" s="288"/>
      <c r="AP117" s="288"/>
    </row>
    <row r="118" spans="1:42" ht="13.2" x14ac:dyDescent="0.25">
      <c r="B118" s="284"/>
      <c r="C118" s="119"/>
      <c r="D118" s="241"/>
      <c r="E118" s="119"/>
      <c r="G118" s="119"/>
      <c r="AE118" s="281"/>
      <c r="AF118" s="281"/>
      <c r="AG118" s="281"/>
      <c r="AH118" s="281"/>
      <c r="AI118" s="281"/>
      <c r="AJ118" s="281"/>
      <c r="AK118" s="281"/>
      <c r="AL118" s="281"/>
      <c r="AM118" s="281"/>
      <c r="AN118" s="281"/>
      <c r="AO118" s="281"/>
      <c r="AP118" s="281"/>
    </row>
    <row r="119" spans="1:42" ht="13.2" x14ac:dyDescent="0.25">
      <c r="A119" s="145"/>
      <c r="B119" s="290" t="s">
        <v>238</v>
      </c>
      <c r="C119" s="291"/>
      <c r="D119" s="292"/>
      <c r="E119" s="291"/>
      <c r="F119" s="293"/>
      <c r="G119" s="293"/>
      <c r="H119" s="293"/>
      <c r="I119" s="293"/>
      <c r="J119" s="293"/>
      <c r="K119" s="293"/>
      <c r="L119" s="293"/>
      <c r="M119" s="293"/>
      <c r="N119" s="293"/>
      <c r="O119" s="293"/>
      <c r="P119" s="293"/>
      <c r="Q119" s="293"/>
      <c r="R119" s="293"/>
      <c r="S119" s="293"/>
      <c r="T119" s="293"/>
      <c r="U119" s="293"/>
      <c r="V119" s="293"/>
      <c r="W119" s="293"/>
      <c r="X119" s="293"/>
      <c r="Y119" s="293"/>
      <c r="Z119" s="293"/>
      <c r="AA119" s="293"/>
      <c r="AB119" s="293"/>
      <c r="AC119" s="293"/>
      <c r="AD119" s="293"/>
      <c r="AE119" s="76"/>
      <c r="AF119" s="76"/>
      <c r="AG119" s="76"/>
      <c r="AH119" s="76"/>
      <c r="AI119" s="76"/>
      <c r="AJ119" s="76"/>
      <c r="AK119" s="76"/>
      <c r="AL119" s="281"/>
      <c r="AM119" s="281"/>
      <c r="AN119" s="281"/>
      <c r="AO119" s="281"/>
      <c r="AP119" s="281"/>
    </row>
    <row r="120" spans="1:42" ht="13.2" x14ac:dyDescent="0.25">
      <c r="A120" s="145"/>
      <c r="B120" s="294"/>
      <c r="C120" s="211"/>
      <c r="D120" s="295"/>
      <c r="E120" s="286"/>
      <c r="F120" s="145"/>
      <c r="G120" s="211"/>
      <c r="H120" s="211"/>
      <c r="I120" s="211"/>
      <c r="J120" s="211"/>
      <c r="K120" s="211"/>
      <c r="L120" s="211"/>
      <c r="M120" s="211"/>
      <c r="N120" s="211"/>
      <c r="O120" s="211"/>
      <c r="P120" s="211"/>
      <c r="Q120" s="211"/>
      <c r="R120" s="211"/>
      <c r="S120" s="211"/>
      <c r="T120" s="211"/>
      <c r="U120" s="211"/>
      <c r="V120" s="211"/>
      <c r="W120" s="211"/>
      <c r="X120" s="211"/>
      <c r="Y120" s="211"/>
      <c r="Z120" s="211"/>
      <c r="AA120" s="211"/>
      <c r="AB120" s="211"/>
      <c r="AC120" s="211"/>
      <c r="AD120" s="211"/>
      <c r="AE120" s="281"/>
      <c r="AF120" s="119"/>
      <c r="AG120" s="119"/>
      <c r="AH120" s="119"/>
      <c r="AI120" s="119"/>
      <c r="AJ120" s="119"/>
      <c r="AK120" s="119"/>
    </row>
    <row r="121" spans="1:42" ht="13.2" x14ac:dyDescent="0.25">
      <c r="A121" s="145"/>
      <c r="B121" s="225" t="s">
        <v>239</v>
      </c>
      <c r="C121" s="211"/>
      <c r="D121" s="295"/>
      <c r="E121" s="286"/>
      <c r="F121" s="145"/>
      <c r="G121" s="211"/>
      <c r="H121" s="211"/>
      <c r="I121" s="211"/>
      <c r="J121" s="211"/>
      <c r="K121" s="211"/>
      <c r="L121" s="211"/>
      <c r="M121" s="211"/>
      <c r="N121" s="211"/>
      <c r="O121" s="211"/>
      <c r="P121" s="211"/>
      <c r="Q121" s="211"/>
      <c r="R121" s="211"/>
      <c r="S121" s="211"/>
      <c r="T121" s="211"/>
      <c r="U121" s="211"/>
      <c r="V121" s="211"/>
      <c r="W121" s="211"/>
      <c r="X121" s="211"/>
      <c r="Y121" s="211"/>
      <c r="Z121" s="211"/>
      <c r="AA121" s="211"/>
      <c r="AB121" s="211"/>
      <c r="AC121" s="211"/>
      <c r="AD121" s="211"/>
      <c r="AE121" s="281"/>
      <c r="AF121" s="119"/>
      <c r="AG121" s="119"/>
      <c r="AH121" s="119"/>
      <c r="AI121" s="119"/>
      <c r="AJ121" s="119"/>
      <c r="AK121" s="119"/>
    </row>
    <row r="122" spans="1:42" ht="13.2" x14ac:dyDescent="0.25">
      <c r="A122" s="145"/>
      <c r="B122" s="215" t="s">
        <v>240</v>
      </c>
      <c r="C122" s="273" t="s">
        <v>167</v>
      </c>
      <c r="D122" s="295"/>
      <c r="E122" s="286"/>
      <c r="F122" s="145"/>
      <c r="G122" s="216">
        <v>3000</v>
      </c>
      <c r="H122" s="216">
        <v>3000</v>
      </c>
      <c r="I122" s="216">
        <v>3000</v>
      </c>
      <c r="J122" s="216">
        <v>3000</v>
      </c>
      <c r="K122" s="216">
        <v>3000</v>
      </c>
      <c r="L122" s="216">
        <v>3000</v>
      </c>
      <c r="M122" s="216">
        <v>3000</v>
      </c>
      <c r="N122" s="216">
        <v>3000</v>
      </c>
      <c r="O122" s="216">
        <v>3000</v>
      </c>
      <c r="P122" s="216">
        <v>12000</v>
      </c>
      <c r="Q122" s="216">
        <v>12000</v>
      </c>
      <c r="R122" s="216">
        <v>12000</v>
      </c>
      <c r="S122" s="216">
        <v>12000</v>
      </c>
      <c r="T122" s="216">
        <v>12000</v>
      </c>
      <c r="U122" s="216">
        <v>12000</v>
      </c>
      <c r="V122" s="216">
        <v>3000</v>
      </c>
      <c r="W122" s="216">
        <v>3000</v>
      </c>
      <c r="X122" s="216">
        <v>3000</v>
      </c>
      <c r="Y122" s="216">
        <v>0</v>
      </c>
      <c r="Z122" s="216">
        <v>0</v>
      </c>
      <c r="AA122" s="216">
        <v>0</v>
      </c>
      <c r="AB122" s="216">
        <v>0</v>
      </c>
      <c r="AC122" s="216">
        <v>0</v>
      </c>
      <c r="AD122" s="216">
        <v>0</v>
      </c>
      <c r="AE122" s="216">
        <v>0</v>
      </c>
      <c r="AF122" s="216">
        <v>0</v>
      </c>
      <c r="AG122" s="216">
        <v>0</v>
      </c>
      <c r="AH122" s="216">
        <v>0</v>
      </c>
      <c r="AI122" s="216">
        <v>0</v>
      </c>
      <c r="AJ122" s="216">
        <v>0</v>
      </c>
      <c r="AK122" s="216">
        <v>0</v>
      </c>
    </row>
    <row r="123" spans="1:42" ht="13.2" x14ac:dyDescent="0.25">
      <c r="A123" s="145"/>
      <c r="B123" s="215" t="s">
        <v>241</v>
      </c>
      <c r="C123" s="273" t="s">
        <v>167</v>
      </c>
      <c r="D123" s="295"/>
      <c r="E123" s="286"/>
      <c r="F123" s="145"/>
      <c r="G123" s="216">
        <v>0</v>
      </c>
      <c r="H123" s="216">
        <v>0</v>
      </c>
      <c r="I123" s="216">
        <v>0</v>
      </c>
      <c r="J123" s="216">
        <v>0</v>
      </c>
      <c r="K123" s="216">
        <v>0</v>
      </c>
      <c r="L123" s="216">
        <v>0</v>
      </c>
      <c r="M123" s="216">
        <v>0</v>
      </c>
      <c r="N123" s="216">
        <v>0</v>
      </c>
      <c r="O123" s="216">
        <v>0</v>
      </c>
      <c r="P123" s="216">
        <v>0</v>
      </c>
      <c r="Q123" s="216">
        <v>0</v>
      </c>
      <c r="R123" s="216">
        <v>0</v>
      </c>
      <c r="S123" s="216">
        <v>0</v>
      </c>
      <c r="T123" s="216">
        <v>0</v>
      </c>
      <c r="U123" s="216">
        <v>0</v>
      </c>
      <c r="V123" s="216">
        <v>621850</v>
      </c>
      <c r="W123" s="216">
        <v>0</v>
      </c>
      <c r="X123" s="216">
        <v>621850</v>
      </c>
      <c r="Y123" s="216">
        <v>0</v>
      </c>
      <c r="Z123" s="216">
        <v>0</v>
      </c>
      <c r="AA123" s="216">
        <v>0</v>
      </c>
      <c r="AB123" s="216">
        <v>0</v>
      </c>
      <c r="AC123" s="216">
        <v>0</v>
      </c>
      <c r="AD123" s="216">
        <v>0</v>
      </c>
      <c r="AE123" s="216">
        <v>0</v>
      </c>
      <c r="AF123" s="216">
        <v>0</v>
      </c>
      <c r="AG123" s="216">
        <v>0</v>
      </c>
      <c r="AH123" s="216">
        <v>0</v>
      </c>
      <c r="AI123" s="216">
        <v>0</v>
      </c>
      <c r="AJ123" s="216">
        <v>0</v>
      </c>
      <c r="AK123" s="216">
        <v>0</v>
      </c>
    </row>
    <row r="124" spans="1:42" ht="13.2" x14ac:dyDescent="0.25">
      <c r="A124" s="145"/>
      <c r="B124" s="215" t="s">
        <v>242</v>
      </c>
      <c r="C124" s="273" t="s">
        <v>167</v>
      </c>
      <c r="D124" s="295"/>
      <c r="E124" s="286"/>
      <c r="F124" s="145"/>
      <c r="G124" s="216">
        <v>0</v>
      </c>
      <c r="H124" s="216">
        <v>0</v>
      </c>
      <c r="I124" s="216">
        <v>0</v>
      </c>
      <c r="J124" s="216">
        <v>0</v>
      </c>
      <c r="K124" s="216">
        <v>0</v>
      </c>
      <c r="L124" s="216">
        <v>0</v>
      </c>
      <c r="M124" s="216">
        <v>0</v>
      </c>
      <c r="N124" s="216">
        <v>0</v>
      </c>
      <c r="O124" s="216">
        <v>0</v>
      </c>
      <c r="P124" s="216">
        <v>0</v>
      </c>
      <c r="Q124" s="216">
        <v>0</v>
      </c>
      <c r="R124" s="216">
        <v>0</v>
      </c>
      <c r="S124" s="216">
        <v>0</v>
      </c>
      <c r="T124" s="216">
        <v>0</v>
      </c>
      <c r="U124" s="216">
        <v>0</v>
      </c>
      <c r="V124" s="216">
        <v>10000</v>
      </c>
      <c r="W124" s="216">
        <v>10000</v>
      </c>
      <c r="X124" s="216">
        <v>10000</v>
      </c>
      <c r="Y124" s="216">
        <v>10000</v>
      </c>
      <c r="Z124" s="216">
        <v>10000</v>
      </c>
      <c r="AA124" s="216">
        <v>10000</v>
      </c>
      <c r="AB124" s="216">
        <v>10000</v>
      </c>
      <c r="AC124" s="216">
        <v>30000</v>
      </c>
      <c r="AD124" s="216">
        <v>30000</v>
      </c>
      <c r="AE124" s="216">
        <v>30000</v>
      </c>
      <c r="AF124" s="216">
        <v>30000</v>
      </c>
      <c r="AG124" s="216">
        <v>30000</v>
      </c>
      <c r="AH124" s="216">
        <v>30000</v>
      </c>
      <c r="AI124" s="216">
        <v>30000</v>
      </c>
      <c r="AJ124" s="216">
        <v>30000</v>
      </c>
      <c r="AK124" s="216">
        <v>30000</v>
      </c>
    </row>
    <row r="125" spans="1:42" ht="13.2" x14ac:dyDescent="0.25">
      <c r="A125" s="145"/>
      <c r="B125" s="215" t="s">
        <v>243</v>
      </c>
      <c r="C125" s="273" t="s">
        <v>167</v>
      </c>
      <c r="D125" s="295"/>
      <c r="E125" s="286"/>
      <c r="F125" s="145"/>
      <c r="G125" s="216">
        <f t="shared" ref="G125:AK125" si="114">SUM(G122:G124)</f>
        <v>3000</v>
      </c>
      <c r="H125" s="216">
        <f t="shared" si="114"/>
        <v>3000</v>
      </c>
      <c r="I125" s="216">
        <f t="shared" si="114"/>
        <v>3000</v>
      </c>
      <c r="J125" s="216">
        <f t="shared" si="114"/>
        <v>3000</v>
      </c>
      <c r="K125" s="216">
        <f t="shared" si="114"/>
        <v>3000</v>
      </c>
      <c r="L125" s="216">
        <f t="shared" si="114"/>
        <v>3000</v>
      </c>
      <c r="M125" s="216">
        <f t="shared" si="114"/>
        <v>3000</v>
      </c>
      <c r="N125" s="216">
        <f t="shared" si="114"/>
        <v>3000</v>
      </c>
      <c r="O125" s="216">
        <f t="shared" si="114"/>
        <v>3000</v>
      </c>
      <c r="P125" s="216">
        <f t="shared" si="114"/>
        <v>12000</v>
      </c>
      <c r="Q125" s="216">
        <f t="shared" si="114"/>
        <v>12000</v>
      </c>
      <c r="R125" s="216">
        <f t="shared" si="114"/>
        <v>12000</v>
      </c>
      <c r="S125" s="216">
        <f t="shared" si="114"/>
        <v>12000</v>
      </c>
      <c r="T125" s="216">
        <f t="shared" si="114"/>
        <v>12000</v>
      </c>
      <c r="U125" s="216">
        <f t="shared" si="114"/>
        <v>12000</v>
      </c>
      <c r="V125" s="216">
        <f t="shared" si="114"/>
        <v>634850</v>
      </c>
      <c r="W125" s="216">
        <f t="shared" si="114"/>
        <v>13000</v>
      </c>
      <c r="X125" s="216">
        <f t="shared" si="114"/>
        <v>634850</v>
      </c>
      <c r="Y125" s="216">
        <f t="shared" si="114"/>
        <v>10000</v>
      </c>
      <c r="Z125" s="216">
        <f t="shared" si="114"/>
        <v>10000</v>
      </c>
      <c r="AA125" s="216">
        <f t="shared" si="114"/>
        <v>10000</v>
      </c>
      <c r="AB125" s="216">
        <f t="shared" si="114"/>
        <v>10000</v>
      </c>
      <c r="AC125" s="216">
        <f t="shared" si="114"/>
        <v>30000</v>
      </c>
      <c r="AD125" s="216">
        <f t="shared" si="114"/>
        <v>30000</v>
      </c>
      <c r="AE125" s="216">
        <f t="shared" si="114"/>
        <v>30000</v>
      </c>
      <c r="AF125" s="216">
        <f t="shared" si="114"/>
        <v>30000</v>
      </c>
      <c r="AG125" s="216">
        <f t="shared" si="114"/>
        <v>30000</v>
      </c>
      <c r="AH125" s="216">
        <f t="shared" si="114"/>
        <v>30000</v>
      </c>
      <c r="AI125" s="216">
        <f t="shared" si="114"/>
        <v>30000</v>
      </c>
      <c r="AJ125" s="216">
        <f t="shared" si="114"/>
        <v>30000</v>
      </c>
      <c r="AK125" s="216">
        <f t="shared" si="114"/>
        <v>30000</v>
      </c>
    </row>
    <row r="126" spans="1:42" ht="13.2" x14ac:dyDescent="0.25">
      <c r="A126" s="145"/>
      <c r="B126" s="294"/>
      <c r="C126" s="211"/>
      <c r="D126" s="295"/>
      <c r="E126" s="286"/>
      <c r="F126" s="145"/>
      <c r="G126" s="211"/>
      <c r="H126" s="211"/>
      <c r="I126" s="211"/>
      <c r="J126" s="211"/>
      <c r="K126" s="211"/>
      <c r="L126" s="211"/>
      <c r="M126" s="211"/>
      <c r="N126" s="211"/>
      <c r="O126" s="211"/>
      <c r="P126" s="211"/>
      <c r="Q126" s="211"/>
      <c r="R126" s="211"/>
      <c r="S126" s="211"/>
      <c r="T126" s="211"/>
      <c r="U126" s="211"/>
      <c r="V126" s="211"/>
      <c r="W126" s="211"/>
      <c r="X126" s="211"/>
      <c r="Y126" s="211"/>
      <c r="Z126" s="211"/>
      <c r="AA126" s="211"/>
      <c r="AB126" s="211"/>
      <c r="AC126" s="211"/>
      <c r="AD126" s="211"/>
      <c r="AE126" s="281"/>
      <c r="AF126" s="119"/>
      <c r="AG126" s="119"/>
      <c r="AH126" s="119"/>
      <c r="AI126" s="119"/>
      <c r="AJ126" s="119"/>
      <c r="AK126" s="119"/>
    </row>
    <row r="127" spans="1:42" ht="13.2" x14ac:dyDescent="0.25">
      <c r="A127" s="145"/>
      <c r="B127" s="225" t="s">
        <v>244</v>
      </c>
      <c r="C127" s="211"/>
      <c r="D127" s="295"/>
      <c r="E127" s="286"/>
      <c r="F127" s="145"/>
      <c r="G127" s="211"/>
      <c r="H127" s="211"/>
      <c r="I127" s="211"/>
      <c r="J127" s="211"/>
      <c r="K127" s="211"/>
      <c r="L127" s="211"/>
      <c r="M127" s="211"/>
      <c r="N127" s="211"/>
      <c r="O127" s="211"/>
      <c r="P127" s="211"/>
      <c r="Q127" s="211"/>
      <c r="R127" s="211"/>
      <c r="S127" s="211"/>
      <c r="T127" s="211"/>
      <c r="U127" s="211"/>
      <c r="V127" s="211"/>
      <c r="W127" s="211"/>
      <c r="X127" s="211"/>
      <c r="Y127" s="211"/>
      <c r="Z127" s="211"/>
      <c r="AA127" s="211"/>
      <c r="AB127" s="211"/>
      <c r="AC127" s="211"/>
      <c r="AD127" s="211"/>
      <c r="AE127" s="281"/>
      <c r="AF127" s="119"/>
      <c r="AG127" s="119"/>
      <c r="AH127" s="119"/>
      <c r="AI127" s="119"/>
      <c r="AJ127" s="119"/>
      <c r="AK127" s="119"/>
    </row>
    <row r="128" spans="1:42" ht="13.2" x14ac:dyDescent="0.25">
      <c r="A128" s="145"/>
      <c r="B128" s="227" t="s">
        <v>245</v>
      </c>
      <c r="C128" s="273" t="s">
        <v>167</v>
      </c>
      <c r="D128" s="295"/>
      <c r="E128" s="286"/>
      <c r="F128" s="145"/>
      <c r="G128" s="216">
        <v>0</v>
      </c>
      <c r="H128" s="216">
        <v>0</v>
      </c>
      <c r="I128" s="216">
        <v>0</v>
      </c>
      <c r="J128" s="296">
        <f>0.02*J117</f>
        <v>2434.0461761277511</v>
      </c>
      <c r="K128" s="296">
        <f t="shared" ref="K128:AK128" si="115">0.02*K117</f>
        <v>2832.1166785000009</v>
      </c>
      <c r="L128" s="296">
        <f t="shared" si="115"/>
        <v>3211.6003813816178</v>
      </c>
      <c r="M128" s="296">
        <f t="shared" si="115"/>
        <v>4179.2858779917015</v>
      </c>
      <c r="N128" s="296">
        <f t="shared" si="115"/>
        <v>4335.1446133197887</v>
      </c>
      <c r="O128" s="296">
        <f t="shared" si="115"/>
        <v>5365.6432762937502</v>
      </c>
      <c r="P128" s="296">
        <f t="shared" si="115"/>
        <v>5882.8398464966749</v>
      </c>
      <c r="Q128" s="296">
        <f t="shared" si="115"/>
        <v>57095.265701783581</v>
      </c>
      <c r="R128" s="296">
        <f t="shared" si="115"/>
        <v>72331.567938178778</v>
      </c>
      <c r="S128" s="296">
        <f t="shared" si="115"/>
        <v>143148.29593766673</v>
      </c>
      <c r="T128" s="296">
        <f t="shared" si="115"/>
        <v>46925.056695010346</v>
      </c>
      <c r="U128" s="296">
        <f t="shared" si="115"/>
        <v>76735.459212245754</v>
      </c>
      <c r="V128" s="296">
        <f t="shared" si="115"/>
        <v>57250.995775580501</v>
      </c>
      <c r="W128" s="296">
        <f t="shared" si="115"/>
        <v>61743.661730224536</v>
      </c>
      <c r="X128" s="296">
        <f t="shared" si="115"/>
        <v>62035.784662598198</v>
      </c>
      <c r="Y128" s="296">
        <f t="shared" si="115"/>
        <v>75840.310439193592</v>
      </c>
      <c r="Z128" s="296">
        <f t="shared" si="115"/>
        <v>64496.305192883912</v>
      </c>
      <c r="AA128" s="296">
        <f t="shared" si="115"/>
        <v>67605.337626508015</v>
      </c>
      <c r="AB128" s="296">
        <f t="shared" si="115"/>
        <v>67906.068079205128</v>
      </c>
      <c r="AC128" s="296">
        <f t="shared" si="115"/>
        <v>68224.375211190054</v>
      </c>
      <c r="AD128" s="296">
        <f t="shared" si="115"/>
        <v>80657.336549784537</v>
      </c>
      <c r="AE128" s="296">
        <f t="shared" si="115"/>
        <v>85003.22608590759</v>
      </c>
      <c r="AF128" s="296">
        <f t="shared" si="115"/>
        <v>86791.360606890987</v>
      </c>
      <c r="AG128" s="296">
        <f t="shared" si="115"/>
        <v>158497.66266800839</v>
      </c>
      <c r="AH128" s="296">
        <f t="shared" si="115"/>
        <v>152463.78162353917</v>
      </c>
      <c r="AI128" s="296">
        <f t="shared" si="115"/>
        <v>218229.97184333001</v>
      </c>
      <c r="AJ128" s="296">
        <f t="shared" si="115"/>
        <v>90200.206717261026</v>
      </c>
      <c r="AK128" s="296">
        <f t="shared" si="115"/>
        <v>123053.56758753494</v>
      </c>
    </row>
    <row r="129" spans="1:42" ht="13.2" x14ac:dyDescent="0.25">
      <c r="A129" s="145"/>
      <c r="B129" s="215" t="s">
        <v>246</v>
      </c>
      <c r="C129" s="147" t="s">
        <v>167</v>
      </c>
      <c r="D129" s="213"/>
      <c r="E129" s="286"/>
      <c r="G129" s="216">
        <v>0</v>
      </c>
      <c r="H129" s="216">
        <v>0</v>
      </c>
      <c r="I129" s="216">
        <v>0</v>
      </c>
      <c r="J129" s="216">
        <v>0</v>
      </c>
      <c r="K129" s="216">
        <v>0</v>
      </c>
      <c r="L129" s="216">
        <v>0</v>
      </c>
      <c r="M129" s="216">
        <v>0</v>
      </c>
      <c r="N129" s="216">
        <v>0</v>
      </c>
      <c r="O129" s="216">
        <v>0</v>
      </c>
      <c r="P129" s="216">
        <v>0</v>
      </c>
      <c r="Q129" s="216">
        <v>0</v>
      </c>
      <c r="R129" s="216">
        <v>5000</v>
      </c>
      <c r="S129" s="216">
        <f t="shared" ref="S129:W129" si="116">R129*(1+$F$18)</f>
        <v>5350</v>
      </c>
      <c r="T129" s="216">
        <f t="shared" si="116"/>
        <v>5724.5</v>
      </c>
      <c r="U129" s="216">
        <f t="shared" si="116"/>
        <v>6125.2150000000001</v>
      </c>
      <c r="V129" s="216">
        <f t="shared" si="116"/>
        <v>6553.9800500000001</v>
      </c>
      <c r="W129" s="216">
        <f t="shared" si="116"/>
        <v>7012.7586535000009</v>
      </c>
      <c r="X129" s="216">
        <f>W129</f>
        <v>7012.7586535000009</v>
      </c>
      <c r="Y129" s="216">
        <f t="shared" ref="Y129:Z129" si="117">X129-1000</f>
        <v>6012.7586535000009</v>
      </c>
      <c r="Z129" s="216">
        <f t="shared" si="117"/>
        <v>5012.7586535000009</v>
      </c>
      <c r="AA129" s="296">
        <f>Z129*0.4</f>
        <v>2005.1034614000005</v>
      </c>
      <c r="AB129" s="296">
        <f t="shared" ref="AB129:AK129" si="118">AA129</f>
        <v>2005.1034614000005</v>
      </c>
      <c r="AC129" s="296">
        <f t="shared" si="118"/>
        <v>2005.1034614000005</v>
      </c>
      <c r="AD129" s="296">
        <f t="shared" si="118"/>
        <v>2005.1034614000005</v>
      </c>
      <c r="AE129" s="296">
        <f t="shared" si="118"/>
        <v>2005.1034614000005</v>
      </c>
      <c r="AF129" s="296">
        <f t="shared" si="118"/>
        <v>2005.1034614000005</v>
      </c>
      <c r="AG129" s="296">
        <f t="shared" si="118"/>
        <v>2005.1034614000005</v>
      </c>
      <c r="AH129" s="296">
        <f t="shared" si="118"/>
        <v>2005.1034614000005</v>
      </c>
      <c r="AI129" s="296">
        <f t="shared" si="118"/>
        <v>2005.1034614000005</v>
      </c>
      <c r="AJ129" s="296">
        <f t="shared" si="118"/>
        <v>2005.1034614000005</v>
      </c>
      <c r="AK129" s="296">
        <f t="shared" si="118"/>
        <v>2005.1034614000005</v>
      </c>
    </row>
    <row r="130" spans="1:42" ht="13.2" x14ac:dyDescent="0.25">
      <c r="A130" s="145"/>
      <c r="B130" s="219" t="s">
        <v>247</v>
      </c>
      <c r="C130" s="147" t="s">
        <v>167</v>
      </c>
      <c r="D130" s="213"/>
      <c r="E130" s="286"/>
      <c r="G130" s="220">
        <f t="shared" ref="G130:AK130" si="119">SUM(G128:G129)</f>
        <v>0</v>
      </c>
      <c r="H130" s="220">
        <f t="shared" si="119"/>
        <v>0</v>
      </c>
      <c r="I130" s="220">
        <f t="shared" si="119"/>
        <v>0</v>
      </c>
      <c r="J130" s="220">
        <f t="shared" si="119"/>
        <v>2434.0461761277511</v>
      </c>
      <c r="K130" s="220">
        <f t="shared" si="119"/>
        <v>2832.1166785000009</v>
      </c>
      <c r="L130" s="220">
        <f t="shared" si="119"/>
        <v>3211.6003813816178</v>
      </c>
      <c r="M130" s="220">
        <f t="shared" si="119"/>
        <v>4179.2858779917015</v>
      </c>
      <c r="N130" s="220">
        <f t="shared" si="119"/>
        <v>4335.1446133197887</v>
      </c>
      <c r="O130" s="220">
        <f t="shared" si="119"/>
        <v>5365.6432762937502</v>
      </c>
      <c r="P130" s="220">
        <f t="shared" si="119"/>
        <v>5882.8398464966749</v>
      </c>
      <c r="Q130" s="220">
        <f t="shared" si="119"/>
        <v>57095.265701783581</v>
      </c>
      <c r="R130" s="220">
        <f t="shared" si="119"/>
        <v>77331.567938178778</v>
      </c>
      <c r="S130" s="220">
        <f t="shared" si="119"/>
        <v>148498.29593766673</v>
      </c>
      <c r="T130" s="220">
        <f t="shared" si="119"/>
        <v>52649.556695010346</v>
      </c>
      <c r="U130" s="220">
        <f t="shared" si="119"/>
        <v>82860.674212245751</v>
      </c>
      <c r="V130" s="220">
        <f t="shared" si="119"/>
        <v>63804.975825580499</v>
      </c>
      <c r="W130" s="220">
        <f t="shared" si="119"/>
        <v>68756.42038372453</v>
      </c>
      <c r="X130" s="220">
        <f t="shared" si="119"/>
        <v>69048.543316098192</v>
      </c>
      <c r="Y130" s="220">
        <f t="shared" si="119"/>
        <v>81853.069092693593</v>
      </c>
      <c r="Z130" s="220">
        <f t="shared" si="119"/>
        <v>69509.063846383913</v>
      </c>
      <c r="AA130" s="220">
        <f t="shared" si="119"/>
        <v>69610.44108790801</v>
      </c>
      <c r="AB130" s="220">
        <f t="shared" si="119"/>
        <v>69911.171540605123</v>
      </c>
      <c r="AC130" s="220">
        <f t="shared" si="119"/>
        <v>70229.478672590049</v>
      </c>
      <c r="AD130" s="220">
        <f t="shared" si="119"/>
        <v>82662.440011184532</v>
      </c>
      <c r="AE130" s="220">
        <f t="shared" si="119"/>
        <v>87008.329547307585</v>
      </c>
      <c r="AF130" s="220">
        <f t="shared" si="119"/>
        <v>88796.464068290981</v>
      </c>
      <c r="AG130" s="220">
        <f t="shared" si="119"/>
        <v>160502.76612940838</v>
      </c>
      <c r="AH130" s="220">
        <f t="shared" si="119"/>
        <v>154468.88508493916</v>
      </c>
      <c r="AI130" s="220">
        <f t="shared" si="119"/>
        <v>220235.07530473001</v>
      </c>
      <c r="AJ130" s="220">
        <f t="shared" si="119"/>
        <v>92205.31017866102</v>
      </c>
      <c r="AK130" s="220">
        <f t="shared" si="119"/>
        <v>125058.67104893494</v>
      </c>
    </row>
    <row r="131" spans="1:42" ht="13.2" x14ac:dyDescent="0.25">
      <c r="B131" s="284"/>
      <c r="C131" s="119"/>
      <c r="D131" s="234"/>
      <c r="E131" s="286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</row>
    <row r="132" spans="1:42" ht="13.2" x14ac:dyDescent="0.25">
      <c r="A132" s="297"/>
      <c r="B132" s="298" t="s">
        <v>248</v>
      </c>
      <c r="C132" s="147" t="s">
        <v>167</v>
      </c>
      <c r="D132" s="299"/>
      <c r="E132" s="300"/>
      <c r="F132" s="297"/>
      <c r="G132" s="301">
        <f t="shared" ref="G132:AK132" si="120">G129+G128+G124+G123+G122</f>
        <v>3000</v>
      </c>
      <c r="H132" s="301">
        <f t="shared" si="120"/>
        <v>3000</v>
      </c>
      <c r="I132" s="301">
        <f t="shared" si="120"/>
        <v>3000</v>
      </c>
      <c r="J132" s="301">
        <f t="shared" si="120"/>
        <v>5434.0461761277511</v>
      </c>
      <c r="K132" s="301">
        <f t="shared" si="120"/>
        <v>5832.1166785000005</v>
      </c>
      <c r="L132" s="301">
        <f t="shared" si="120"/>
        <v>6211.6003813816178</v>
      </c>
      <c r="M132" s="301">
        <f t="shared" si="120"/>
        <v>7179.2858779917015</v>
      </c>
      <c r="N132" s="301">
        <f t="shared" si="120"/>
        <v>7335.1446133197887</v>
      </c>
      <c r="O132" s="301">
        <f t="shared" si="120"/>
        <v>8365.6432762937511</v>
      </c>
      <c r="P132" s="301">
        <f t="shared" si="120"/>
        <v>17882.839846496674</v>
      </c>
      <c r="Q132" s="301">
        <f t="shared" si="120"/>
        <v>69095.265701783588</v>
      </c>
      <c r="R132" s="301">
        <f t="shared" si="120"/>
        <v>89331.567938178778</v>
      </c>
      <c r="S132" s="301">
        <f t="shared" si="120"/>
        <v>160498.29593766673</v>
      </c>
      <c r="T132" s="301">
        <f t="shared" si="120"/>
        <v>64649.556695010346</v>
      </c>
      <c r="U132" s="301">
        <f t="shared" si="120"/>
        <v>94860.674212245751</v>
      </c>
      <c r="V132" s="301">
        <f t="shared" si="120"/>
        <v>698654.97582558054</v>
      </c>
      <c r="W132" s="301">
        <f t="shared" si="120"/>
        <v>81756.42038372453</v>
      </c>
      <c r="X132" s="301">
        <f t="shared" si="120"/>
        <v>703898.54331609816</v>
      </c>
      <c r="Y132" s="301">
        <f t="shared" si="120"/>
        <v>91853.069092693593</v>
      </c>
      <c r="Z132" s="301">
        <f t="shared" si="120"/>
        <v>79509.063846383913</v>
      </c>
      <c r="AA132" s="301">
        <f t="shared" si="120"/>
        <v>79610.44108790801</v>
      </c>
      <c r="AB132" s="301">
        <f t="shared" si="120"/>
        <v>79911.171540605123</v>
      </c>
      <c r="AC132" s="301">
        <f t="shared" si="120"/>
        <v>100229.47867259005</v>
      </c>
      <c r="AD132" s="301">
        <f t="shared" si="120"/>
        <v>112662.44001118453</v>
      </c>
      <c r="AE132" s="301">
        <f t="shared" si="120"/>
        <v>117008.32954730759</v>
      </c>
      <c r="AF132" s="301">
        <f t="shared" si="120"/>
        <v>118796.46406829098</v>
      </c>
      <c r="AG132" s="301">
        <f t="shared" si="120"/>
        <v>190502.76612940838</v>
      </c>
      <c r="AH132" s="301">
        <f t="shared" si="120"/>
        <v>184468.88508493916</v>
      </c>
      <c r="AI132" s="301">
        <f t="shared" si="120"/>
        <v>250235.07530473001</v>
      </c>
      <c r="AJ132" s="301">
        <f t="shared" si="120"/>
        <v>122205.31017866102</v>
      </c>
      <c r="AK132" s="301">
        <f t="shared" si="120"/>
        <v>155058.67104893492</v>
      </c>
    </row>
    <row r="133" spans="1:42" ht="13.2" x14ac:dyDescent="0.25">
      <c r="B133" s="284"/>
      <c r="C133" s="119"/>
      <c r="D133" s="231"/>
      <c r="E133" s="281"/>
    </row>
    <row r="134" spans="1:42" ht="13.2" x14ac:dyDescent="0.25">
      <c r="B134" s="298" t="s">
        <v>249</v>
      </c>
      <c r="C134" s="147" t="s">
        <v>167</v>
      </c>
      <c r="D134" s="231"/>
      <c r="E134" s="281"/>
      <c r="G134" s="302">
        <f t="shared" ref="G134:AK134" si="121">G132+G117</f>
        <v>80368.537500000006</v>
      </c>
      <c r="H134" s="302">
        <f t="shared" si="121"/>
        <v>93340.215583049736</v>
      </c>
      <c r="I134" s="302">
        <f t="shared" si="121"/>
        <v>236353.96990243453</v>
      </c>
      <c r="J134" s="302">
        <f t="shared" si="121"/>
        <v>127136.35498251532</v>
      </c>
      <c r="K134" s="302">
        <f t="shared" si="121"/>
        <v>147437.95060350004</v>
      </c>
      <c r="L134" s="302">
        <f t="shared" si="121"/>
        <v>166791.61945046249</v>
      </c>
      <c r="M134" s="302">
        <f t="shared" si="121"/>
        <v>216143.57977757679</v>
      </c>
      <c r="N134" s="302">
        <f t="shared" si="121"/>
        <v>224092.37527930923</v>
      </c>
      <c r="O134" s="302">
        <f t="shared" si="121"/>
        <v>276647.80709098128</v>
      </c>
      <c r="P134" s="302">
        <f t="shared" si="121"/>
        <v>312024.83217133046</v>
      </c>
      <c r="Q134" s="302">
        <f t="shared" si="121"/>
        <v>2923858.5507909628</v>
      </c>
      <c r="R134" s="302">
        <f t="shared" si="121"/>
        <v>3705909.9648471177</v>
      </c>
      <c r="S134" s="302">
        <f t="shared" si="121"/>
        <v>7317913.0928210029</v>
      </c>
      <c r="T134" s="302">
        <f t="shared" si="121"/>
        <v>2410902.3914455278</v>
      </c>
      <c r="U134" s="302">
        <f t="shared" si="121"/>
        <v>3931633.6348245335</v>
      </c>
      <c r="V134" s="302">
        <f t="shared" si="121"/>
        <v>3561204.7646046057</v>
      </c>
      <c r="W134" s="302">
        <f t="shared" si="121"/>
        <v>3168939.5068949512</v>
      </c>
      <c r="X134" s="302">
        <f t="shared" si="121"/>
        <v>3805687.7764460081</v>
      </c>
      <c r="Y134" s="302">
        <f t="shared" si="121"/>
        <v>3883868.5910523729</v>
      </c>
      <c r="Z134" s="302">
        <f t="shared" si="121"/>
        <v>3304324.3234905791</v>
      </c>
      <c r="AA134" s="302">
        <f t="shared" si="121"/>
        <v>3459877.3224133085</v>
      </c>
      <c r="AB134" s="302">
        <f t="shared" si="121"/>
        <v>3475214.5755008613</v>
      </c>
      <c r="AC134" s="302">
        <f t="shared" si="121"/>
        <v>3511448.2392320931</v>
      </c>
      <c r="AD134" s="302">
        <f t="shared" si="121"/>
        <v>4145529.2675004113</v>
      </c>
      <c r="AE134" s="302">
        <f t="shared" si="121"/>
        <v>4367169.6338426871</v>
      </c>
      <c r="AF134" s="302">
        <f t="shared" si="121"/>
        <v>4458364.4944128403</v>
      </c>
      <c r="AG134" s="302">
        <f t="shared" si="121"/>
        <v>8115385.8995298278</v>
      </c>
      <c r="AH134" s="302">
        <f t="shared" si="121"/>
        <v>7807657.9662618972</v>
      </c>
      <c r="AI134" s="302">
        <f t="shared" si="121"/>
        <v>11161733.66747123</v>
      </c>
      <c r="AJ134" s="302">
        <f t="shared" si="121"/>
        <v>4632215.6460417118</v>
      </c>
      <c r="AK134" s="302">
        <f t="shared" si="121"/>
        <v>6307737.0504256813</v>
      </c>
    </row>
    <row r="135" spans="1:42" ht="13.2" x14ac:dyDescent="0.25">
      <c r="A135" s="71"/>
      <c r="B135" s="303"/>
      <c r="C135" s="304"/>
      <c r="D135" s="126"/>
      <c r="E135" s="305"/>
      <c r="F135" s="71"/>
      <c r="G135" s="73"/>
      <c r="H135" s="124"/>
      <c r="I135" s="306">
        <f>SUM(G134:I134)</f>
        <v>410062.72298548429</v>
      </c>
      <c r="J135" s="124"/>
      <c r="K135" s="124"/>
      <c r="L135" s="124"/>
      <c r="M135" s="306">
        <f>SUM(J134:M134)</f>
        <v>657509.50481405458</v>
      </c>
      <c r="N135" s="124"/>
      <c r="O135" s="124"/>
      <c r="P135" s="124"/>
      <c r="Q135" s="306">
        <f>SUM(N134:Q134)</f>
        <v>3736623.5653325836</v>
      </c>
      <c r="R135" s="124"/>
      <c r="S135" s="124"/>
      <c r="T135" s="124"/>
      <c r="U135" s="306">
        <f>SUM(R134:U134)</f>
        <v>17366359.083938181</v>
      </c>
      <c r="V135" s="124"/>
      <c r="W135" s="124"/>
      <c r="X135" s="124"/>
      <c r="Y135" s="306">
        <f>SUM(V134:Y134)</f>
        <v>14419700.638997938</v>
      </c>
      <c r="Z135" s="124"/>
      <c r="AA135" s="124"/>
      <c r="AB135" s="124"/>
      <c r="AC135" s="306">
        <f>SUM(Z134:AC134)</f>
        <v>13750864.460636841</v>
      </c>
      <c r="AD135" s="124"/>
      <c r="AE135" s="124"/>
      <c r="AF135" s="124"/>
      <c r="AG135" s="306">
        <f>SUM(AD134:AG134)</f>
        <v>21086449.295285769</v>
      </c>
      <c r="AH135" s="124"/>
      <c r="AI135" s="124"/>
      <c r="AJ135" s="124"/>
      <c r="AK135" s="306">
        <f>SUM(AH134:AK134)</f>
        <v>29909344.330200519</v>
      </c>
      <c r="AL135" s="124"/>
      <c r="AM135" s="124"/>
      <c r="AN135" s="124"/>
      <c r="AO135" s="124"/>
      <c r="AP135" s="124"/>
    </row>
    <row r="136" spans="1:42" ht="13.2" x14ac:dyDescent="0.25">
      <c r="B136" s="284"/>
      <c r="C136" s="119"/>
      <c r="D136" s="231"/>
      <c r="E136" s="281"/>
    </row>
    <row r="137" spans="1:42" ht="13.2" x14ac:dyDescent="0.25">
      <c r="A137" s="76"/>
      <c r="B137" s="77" t="s">
        <v>250</v>
      </c>
      <c r="C137" s="307"/>
      <c r="D137" s="78"/>
      <c r="E137" s="307"/>
      <c r="F137" s="76"/>
      <c r="G137" s="78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</row>
    <row r="138" spans="1:42" ht="13.2" x14ac:dyDescent="0.25">
      <c r="A138" s="71"/>
      <c r="B138" s="308"/>
      <c r="C138" s="304"/>
      <c r="D138" s="309"/>
      <c r="E138" s="310"/>
      <c r="F138" s="71"/>
      <c r="G138" s="73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</row>
    <row r="139" spans="1:42" ht="13.2" x14ac:dyDescent="0.25">
      <c r="B139" s="298" t="s">
        <v>251</v>
      </c>
      <c r="C139" s="147" t="s">
        <v>167</v>
      </c>
      <c r="D139" s="231"/>
      <c r="E139" s="281"/>
      <c r="G139" s="302">
        <f t="shared" ref="G139:AK139" si="122">G57-G117-G132</f>
        <v>-80368.537500000006</v>
      </c>
      <c r="H139" s="302">
        <f t="shared" si="122"/>
        <v>-93340.215583049736</v>
      </c>
      <c r="I139" s="302">
        <f t="shared" si="122"/>
        <v>-66433.969902434532</v>
      </c>
      <c r="J139" s="302">
        <f t="shared" si="122"/>
        <v>41883.068337804682</v>
      </c>
      <c r="K139" s="302">
        <f t="shared" si="122"/>
        <v>20685.669097144557</v>
      </c>
      <c r="L139" s="302">
        <f t="shared" si="122"/>
        <v>440.94439327418786</v>
      </c>
      <c r="M139" s="302">
        <f t="shared" si="122"/>
        <v>-42145.42258416611</v>
      </c>
      <c r="N139" s="302">
        <f t="shared" si="122"/>
        <v>-51016.409015016266</v>
      </c>
      <c r="O139" s="302">
        <f t="shared" si="122"/>
        <v>-104489.14414019293</v>
      </c>
      <c r="P139" s="302">
        <f t="shared" si="122"/>
        <v>-140778.61082281594</v>
      </c>
      <c r="Q139" s="302">
        <f t="shared" si="122"/>
        <v>111255.31473379652</v>
      </c>
      <c r="R139" s="302">
        <f t="shared" si="122"/>
        <v>2332145.5349469269</v>
      </c>
      <c r="S139" s="302">
        <f t="shared" si="122"/>
        <v>4602224.6886719102</v>
      </c>
      <c r="T139" s="302">
        <f t="shared" si="122"/>
        <v>9446058.6121249199</v>
      </c>
      <c r="U139" s="302">
        <f t="shared" si="122"/>
        <v>7062928.3158840658</v>
      </c>
      <c r="V139" s="302">
        <f t="shared" si="122"/>
        <v>7375085.9637869913</v>
      </c>
      <c r="W139" s="302">
        <f t="shared" si="122"/>
        <v>7709388.8368910076</v>
      </c>
      <c r="X139" s="302">
        <f t="shared" si="122"/>
        <v>7014985.3836045731</v>
      </c>
      <c r="Y139" s="302">
        <f t="shared" si="122"/>
        <v>7766741.5379488701</v>
      </c>
      <c r="Z139" s="302">
        <f t="shared" si="122"/>
        <v>8284537.5252245171</v>
      </c>
      <c r="AA139" s="302">
        <f t="shared" si="122"/>
        <v>8067563.5121481493</v>
      </c>
      <c r="AB139" s="302">
        <f t="shared" si="122"/>
        <v>7991130.7765276581</v>
      </c>
      <c r="AC139" s="302">
        <f t="shared" si="122"/>
        <v>8418781.8256519716</v>
      </c>
      <c r="AD139" s="302">
        <f t="shared" si="122"/>
        <v>7721470.5303188451</v>
      </c>
      <c r="AE139" s="302">
        <f t="shared" si="122"/>
        <v>7436935.0175801301</v>
      </c>
      <c r="AF139" s="302">
        <f t="shared" si="122"/>
        <v>7283178.3551410167</v>
      </c>
      <c r="AG139" s="302">
        <f t="shared" si="122"/>
        <v>4500576.3452591579</v>
      </c>
      <c r="AH139" s="302">
        <f t="shared" si="122"/>
        <v>4741439.628165856</v>
      </c>
      <c r="AI139" s="302">
        <f t="shared" si="122"/>
        <v>1320853.6595096642</v>
      </c>
      <c r="AJ139" s="302">
        <f t="shared" si="122"/>
        <v>7784213.9181758352</v>
      </c>
      <c r="AK139" s="302">
        <f t="shared" si="122"/>
        <v>6611014.0195774222</v>
      </c>
    </row>
    <row r="140" spans="1:42" ht="13.2" x14ac:dyDescent="0.25">
      <c r="A140" s="71"/>
      <c r="B140" s="311"/>
      <c r="C140" s="312"/>
      <c r="D140" s="73"/>
      <c r="E140" s="312"/>
      <c r="F140" s="71"/>
      <c r="G140" s="73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  <c r="AJ140" s="124"/>
      <c r="AK140" s="124"/>
      <c r="AL140" s="124"/>
      <c r="AM140" s="124"/>
      <c r="AN140" s="124"/>
      <c r="AO140" s="124"/>
      <c r="AP140" s="124"/>
    </row>
    <row r="141" spans="1:42" ht="13.2" x14ac:dyDescent="0.25">
      <c r="A141" s="71"/>
      <c r="B141" s="72"/>
      <c r="C141" s="312"/>
      <c r="D141" s="73"/>
      <c r="E141" s="312"/>
      <c r="F141" s="71"/>
      <c r="G141" s="73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  <c r="AN141" s="124"/>
      <c r="AO141" s="124"/>
      <c r="AP141" s="124"/>
    </row>
    <row r="142" spans="1:42" ht="13.2" x14ac:dyDescent="0.25">
      <c r="A142" s="71"/>
      <c r="B142" s="303"/>
      <c r="C142" s="312"/>
      <c r="D142" s="73"/>
      <c r="E142" s="313"/>
      <c r="F142" s="71"/>
      <c r="G142" s="73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  <c r="AJ142" s="124"/>
      <c r="AK142" s="124"/>
      <c r="AL142" s="124"/>
      <c r="AM142" s="124"/>
      <c r="AN142" s="124"/>
      <c r="AO142" s="124"/>
      <c r="AP142" s="124"/>
    </row>
    <row r="143" spans="1:42" ht="13.2" x14ac:dyDescent="0.25">
      <c r="A143" s="71"/>
      <c r="B143" s="125"/>
      <c r="C143" s="73"/>
      <c r="D143" s="73"/>
      <c r="E143" s="313"/>
      <c r="F143" s="71"/>
      <c r="G143" s="73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  <c r="AN143" s="124"/>
      <c r="AO143" s="124"/>
      <c r="AP143" s="124"/>
    </row>
    <row r="144" spans="1:42" ht="13.2" x14ac:dyDescent="0.25">
      <c r="B144" s="284"/>
      <c r="C144" s="119"/>
      <c r="D144" s="231"/>
    </row>
    <row r="145" spans="2:37" ht="13.2" x14ac:dyDescent="0.25">
      <c r="B145" s="284"/>
      <c r="C145" s="119"/>
      <c r="D145" s="231"/>
    </row>
    <row r="146" spans="2:37" ht="13.2" x14ac:dyDescent="0.25">
      <c r="B146" s="284"/>
      <c r="C146" s="119"/>
      <c r="D146" s="231"/>
      <c r="G146">
        <v>20</v>
      </c>
      <c r="H146">
        <v>20</v>
      </c>
      <c r="I146">
        <f>1+ROUND((I62)/1500,0)</f>
        <v>25</v>
      </c>
      <c r="J146">
        <f t="shared" ref="J146:O146" si="123">1+ROUND((J62)/1500,0)</f>
        <v>24</v>
      </c>
      <c r="K146">
        <f t="shared" si="123"/>
        <v>24</v>
      </c>
      <c r="L146">
        <f t="shared" si="123"/>
        <v>24</v>
      </c>
      <c r="M146">
        <f t="shared" si="123"/>
        <v>24</v>
      </c>
      <c r="N146">
        <f>1+ROUND((N62)/1500,0)</f>
        <v>24</v>
      </c>
      <c r="O146">
        <f t="shared" si="123"/>
        <v>24</v>
      </c>
      <c r="P146">
        <f>1+ROUND((P62)/1500,0)</f>
        <v>24</v>
      </c>
      <c r="Q146">
        <f>1+ROUND((Q62)/20000,0)</f>
        <v>34</v>
      </c>
      <c r="R146">
        <f>1+ROUND((R62)/30000,0)</f>
        <v>45</v>
      </c>
      <c r="S146">
        <f>1+ROUND((S62)/50000,0)</f>
        <v>53</v>
      </c>
      <c r="T146">
        <f t="shared" ref="T146:AK146" si="124">1+ROUND((T62)/50000,0)</f>
        <v>53</v>
      </c>
      <c r="U146">
        <f t="shared" si="124"/>
        <v>59</v>
      </c>
      <c r="V146">
        <f t="shared" si="124"/>
        <v>58</v>
      </c>
      <c r="W146">
        <f t="shared" si="124"/>
        <v>58</v>
      </c>
      <c r="X146">
        <f t="shared" si="124"/>
        <v>58</v>
      </c>
      <c r="Y146">
        <f t="shared" si="124"/>
        <v>59</v>
      </c>
      <c r="Z146">
        <f t="shared" si="124"/>
        <v>59</v>
      </c>
      <c r="AA146">
        <f t="shared" si="124"/>
        <v>59</v>
      </c>
      <c r="AB146">
        <f t="shared" si="124"/>
        <v>58</v>
      </c>
      <c r="AC146">
        <f t="shared" si="124"/>
        <v>58</v>
      </c>
      <c r="AD146">
        <f t="shared" si="124"/>
        <v>58</v>
      </c>
      <c r="AE146">
        <f t="shared" si="124"/>
        <v>58</v>
      </c>
      <c r="AF146">
        <f t="shared" si="124"/>
        <v>57</v>
      </c>
      <c r="AG146">
        <f t="shared" si="124"/>
        <v>59</v>
      </c>
      <c r="AH146">
        <f t="shared" si="124"/>
        <v>58</v>
      </c>
      <c r="AI146">
        <f t="shared" si="124"/>
        <v>58</v>
      </c>
      <c r="AJ146">
        <f t="shared" si="124"/>
        <v>58</v>
      </c>
      <c r="AK146">
        <f t="shared" si="124"/>
        <v>58</v>
      </c>
    </row>
    <row r="147" spans="2:37" ht="13.2" x14ac:dyDescent="0.25">
      <c r="B147" s="284"/>
      <c r="C147" s="119"/>
      <c r="D147" s="231"/>
      <c r="G147" s="252">
        <v>1250</v>
      </c>
      <c r="H147" s="252">
        <f t="shared" ref="H147" si="125">G147</f>
        <v>1250</v>
      </c>
      <c r="I147" s="252">
        <f t="shared" ref="I147" si="126">H147</f>
        <v>1250</v>
      </c>
      <c r="J147" s="252">
        <f t="shared" ref="J147" si="127">I147</f>
        <v>1250</v>
      </c>
      <c r="K147" s="252">
        <f>J147*(1+$F$18)+200</f>
        <v>1537.5</v>
      </c>
      <c r="L147" s="252">
        <f t="shared" ref="L147" si="128">K147</f>
        <v>1537.5</v>
      </c>
      <c r="M147" s="252">
        <f t="shared" ref="M147" si="129">L147</f>
        <v>1537.5</v>
      </c>
      <c r="N147" s="252">
        <f t="shared" ref="N147" si="130">M147</f>
        <v>1537.5</v>
      </c>
      <c r="O147" s="252">
        <f>N147*(1+$F$18)+400</f>
        <v>2045.125</v>
      </c>
      <c r="P147" s="252">
        <f t="shared" ref="P147" si="131">O147</f>
        <v>2045.125</v>
      </c>
      <c r="Q147" s="252">
        <f t="shared" ref="Q147" si="132">P147</f>
        <v>2045.125</v>
      </c>
      <c r="R147" s="252">
        <f t="shared" ref="R147" si="133">Q147</f>
        <v>2045.125</v>
      </c>
      <c r="S147" s="252">
        <f>R147*(1+$F$18)+500</f>
        <v>2688.2837500000001</v>
      </c>
      <c r="T147" s="252">
        <f t="shared" ref="T147" si="134">S147</f>
        <v>2688.2837500000001</v>
      </c>
      <c r="U147" s="252">
        <f t="shared" ref="U147" si="135">T147</f>
        <v>2688.2837500000001</v>
      </c>
      <c r="V147" s="252">
        <f t="shared" ref="V147" si="136">U147</f>
        <v>2688.2837500000001</v>
      </c>
      <c r="W147" s="252">
        <f>V147*(1+$F$18)+700</f>
        <v>3576.4636125000002</v>
      </c>
      <c r="X147" s="252">
        <f t="shared" ref="X147" si="137">W147</f>
        <v>3576.4636125000002</v>
      </c>
      <c r="Y147" s="252">
        <f t="shared" ref="Y147" si="138">X147</f>
        <v>3576.4636125000002</v>
      </c>
      <c r="Z147" s="252">
        <f t="shared" ref="Z147" si="139">Y147</f>
        <v>3576.4636125000002</v>
      </c>
      <c r="AA147" s="252">
        <f>Z147*(1+$F$18)+600</f>
        <v>4426.8160653750001</v>
      </c>
      <c r="AB147" s="252">
        <f t="shared" ref="AB147" si="140">AA147</f>
        <v>4426.8160653750001</v>
      </c>
      <c r="AC147" s="252">
        <f t="shared" ref="AC147" si="141">AB147</f>
        <v>4426.8160653750001</v>
      </c>
      <c r="AD147" s="252">
        <f t="shared" ref="AD147" si="142">AC147</f>
        <v>4426.8160653750001</v>
      </c>
      <c r="AE147" s="252">
        <f>AD147*(1+$F$18)+500</f>
        <v>5236.6931899512501</v>
      </c>
      <c r="AF147" s="252">
        <f t="shared" ref="AF147" si="143">AE147</f>
        <v>5236.6931899512501</v>
      </c>
      <c r="AG147" s="252">
        <f t="shared" ref="AG147" si="144">AF147</f>
        <v>5236.6931899512501</v>
      </c>
      <c r="AH147" s="252">
        <f t="shared" ref="AH147" si="145">AG147</f>
        <v>5236.6931899512501</v>
      </c>
      <c r="AI147" s="252">
        <f>AH147*(1+$F$18)</f>
        <v>5603.2617132478381</v>
      </c>
      <c r="AJ147" s="252">
        <f t="shared" ref="AJ147" si="146">AI147</f>
        <v>5603.2617132478381</v>
      </c>
      <c r="AK147" s="252">
        <f t="shared" ref="AK147" si="147">AJ147</f>
        <v>5603.2617132478381</v>
      </c>
    </row>
    <row r="148" spans="2:37" ht="13.2" x14ac:dyDescent="0.25">
      <c r="B148" s="284"/>
      <c r="C148" s="119"/>
      <c r="D148" s="231"/>
    </row>
    <row r="149" spans="2:37" ht="13.2" x14ac:dyDescent="0.25">
      <c r="B149" s="284"/>
      <c r="C149" s="119"/>
      <c r="D149" s="231"/>
    </row>
    <row r="150" spans="2:37" ht="13.2" x14ac:dyDescent="0.25">
      <c r="B150" s="284"/>
      <c r="C150" s="119"/>
      <c r="D150" s="231"/>
      <c r="G150" s="440">
        <f>G146+G104+G100+G96+G94+G90+G92+G98+G102</f>
        <v>25</v>
      </c>
      <c r="H150" s="440">
        <f t="shared" ref="H150:AK150" si="148">H146+H104+H100+H96+H94+H90+H92+H98+H102</f>
        <v>25</v>
      </c>
      <c r="I150" s="440">
        <f t="shared" si="148"/>
        <v>30</v>
      </c>
      <c r="J150" s="440">
        <f t="shared" si="148"/>
        <v>29</v>
      </c>
      <c r="K150" s="440">
        <f t="shared" si="148"/>
        <v>29</v>
      </c>
      <c r="L150" s="440">
        <f t="shared" si="148"/>
        <v>31</v>
      </c>
      <c r="M150" s="440">
        <f t="shared" si="148"/>
        <v>34</v>
      </c>
      <c r="N150" s="440">
        <f t="shared" si="148"/>
        <v>34</v>
      </c>
      <c r="O150" s="440">
        <f t="shared" si="148"/>
        <v>34</v>
      </c>
      <c r="P150" s="440">
        <f t="shared" si="148"/>
        <v>34</v>
      </c>
      <c r="Q150" s="440">
        <f t="shared" si="148"/>
        <v>43</v>
      </c>
      <c r="R150" s="440">
        <f t="shared" si="148"/>
        <v>74</v>
      </c>
      <c r="S150" s="440">
        <f t="shared" si="148"/>
        <v>109</v>
      </c>
      <c r="T150" s="440">
        <f t="shared" si="148"/>
        <v>109</v>
      </c>
      <c r="U150" s="440">
        <f t="shared" si="148"/>
        <v>120</v>
      </c>
      <c r="V150" s="440">
        <f t="shared" si="148"/>
        <v>119</v>
      </c>
      <c r="W150" s="440">
        <f t="shared" si="148"/>
        <v>120</v>
      </c>
      <c r="X150" s="440">
        <f t="shared" si="148"/>
        <v>120</v>
      </c>
      <c r="Y150" s="440">
        <f t="shared" si="148"/>
        <v>124</v>
      </c>
      <c r="Z150" s="440">
        <f t="shared" si="148"/>
        <v>124</v>
      </c>
      <c r="AA150" s="440">
        <f t="shared" si="148"/>
        <v>122</v>
      </c>
      <c r="AB150" s="440">
        <f t="shared" si="148"/>
        <v>122</v>
      </c>
      <c r="AC150" s="440">
        <f t="shared" si="148"/>
        <v>122</v>
      </c>
      <c r="AD150" s="440">
        <f t="shared" si="148"/>
        <v>122</v>
      </c>
      <c r="AE150" s="440">
        <f t="shared" si="148"/>
        <v>125</v>
      </c>
      <c r="AF150" s="440">
        <f t="shared" si="148"/>
        <v>128</v>
      </c>
      <c r="AG150" s="440">
        <f t="shared" si="148"/>
        <v>132</v>
      </c>
      <c r="AH150" s="440">
        <f t="shared" si="148"/>
        <v>131</v>
      </c>
      <c r="AI150" s="440">
        <f t="shared" si="148"/>
        <v>131</v>
      </c>
      <c r="AJ150" s="440">
        <f t="shared" si="148"/>
        <v>132</v>
      </c>
      <c r="AK150" s="440">
        <f t="shared" si="148"/>
        <v>132</v>
      </c>
    </row>
    <row r="151" spans="2:37" ht="13.2" x14ac:dyDescent="0.25">
      <c r="B151" s="284"/>
      <c r="C151" s="119"/>
      <c r="D151" s="231"/>
    </row>
    <row r="152" spans="2:37" ht="13.2" x14ac:dyDescent="0.25">
      <c r="B152" s="284"/>
      <c r="C152" s="119"/>
      <c r="D152" s="231"/>
    </row>
    <row r="153" spans="2:37" ht="13.2" x14ac:dyDescent="0.25">
      <c r="B153" s="284"/>
      <c r="C153" s="119"/>
      <c r="D153" s="231"/>
    </row>
    <row r="154" spans="2:37" ht="13.2" x14ac:dyDescent="0.25">
      <c r="B154" s="284"/>
      <c r="C154" s="119"/>
      <c r="D154" s="231"/>
    </row>
    <row r="155" spans="2:37" ht="13.2" x14ac:dyDescent="0.25">
      <c r="B155" s="284"/>
      <c r="C155" s="119"/>
      <c r="D155" s="231"/>
    </row>
    <row r="156" spans="2:37" ht="13.2" x14ac:dyDescent="0.25">
      <c r="B156" s="284"/>
      <c r="C156" s="119"/>
      <c r="D156" s="231"/>
    </row>
    <row r="157" spans="2:37" ht="13.2" x14ac:dyDescent="0.25">
      <c r="B157" s="284"/>
      <c r="C157" s="119"/>
      <c r="D157" s="231"/>
    </row>
    <row r="158" spans="2:37" ht="13.2" x14ac:dyDescent="0.25">
      <c r="B158" s="284"/>
      <c r="C158" s="119"/>
      <c r="D158" s="231"/>
    </row>
    <row r="159" spans="2:37" ht="13.2" x14ac:dyDescent="0.25">
      <c r="B159" s="284"/>
      <c r="C159" s="119"/>
      <c r="D159" s="241"/>
      <c r="E159" s="119"/>
      <c r="G159" s="119"/>
    </row>
    <row r="160" spans="2:37" ht="13.2" x14ac:dyDescent="0.25">
      <c r="B160" s="284"/>
      <c r="C160" s="119"/>
      <c r="D160" s="241"/>
      <c r="E160" s="119"/>
      <c r="G160" s="119"/>
    </row>
    <row r="161" spans="2:7" ht="13.2" x14ac:dyDescent="0.25">
      <c r="B161" s="284"/>
      <c r="C161" s="119"/>
      <c r="D161" s="241"/>
      <c r="E161" s="119"/>
      <c r="G161" s="119"/>
    </row>
    <row r="162" spans="2:7" ht="13.2" x14ac:dyDescent="0.25">
      <c r="B162" s="284"/>
      <c r="C162" s="119"/>
      <c r="D162" s="241"/>
      <c r="E162" s="119"/>
      <c r="G162" s="119"/>
    </row>
    <row r="163" spans="2:7" ht="13.2" x14ac:dyDescent="0.25">
      <c r="B163" s="284"/>
      <c r="C163" s="119"/>
      <c r="D163" s="241"/>
      <c r="E163" s="119"/>
      <c r="G163" s="119"/>
    </row>
    <row r="164" spans="2:7" ht="13.2" x14ac:dyDescent="0.25">
      <c r="B164" s="284"/>
      <c r="C164" s="119"/>
      <c r="D164" s="241"/>
      <c r="E164" s="119"/>
      <c r="G164" s="119"/>
    </row>
    <row r="165" spans="2:7" ht="13.2" x14ac:dyDescent="0.25">
      <c r="B165" s="284"/>
      <c r="C165" s="119"/>
      <c r="D165" s="241"/>
      <c r="E165" s="119"/>
      <c r="G165" s="119"/>
    </row>
    <row r="166" spans="2:7" ht="13.2" x14ac:dyDescent="0.25">
      <c r="B166" s="284"/>
      <c r="C166" s="119"/>
      <c r="D166" s="241"/>
      <c r="E166" s="119"/>
      <c r="G166" s="119"/>
    </row>
    <row r="167" spans="2:7" ht="13.2" x14ac:dyDescent="0.25">
      <c r="B167" s="284"/>
      <c r="C167" s="119"/>
      <c r="D167" s="241"/>
      <c r="E167" s="119"/>
      <c r="G167" s="119"/>
    </row>
    <row r="168" spans="2:7" ht="13.2" x14ac:dyDescent="0.25">
      <c r="B168" s="284"/>
      <c r="C168" s="119"/>
      <c r="D168" s="241"/>
      <c r="E168" s="119"/>
      <c r="G168" s="119"/>
    </row>
    <row r="169" spans="2:7" ht="13.2" x14ac:dyDescent="0.25">
      <c r="B169" s="284"/>
      <c r="C169" s="119"/>
      <c r="D169" s="241"/>
      <c r="E169" s="119"/>
      <c r="G169" s="119"/>
    </row>
    <row r="170" spans="2:7" ht="13.2" x14ac:dyDescent="0.25">
      <c r="B170" s="284"/>
      <c r="C170" s="119"/>
      <c r="D170" s="241"/>
      <c r="E170" s="119"/>
      <c r="G170" s="119"/>
    </row>
    <row r="171" spans="2:7" ht="13.2" x14ac:dyDescent="0.25">
      <c r="B171" s="284"/>
      <c r="C171" s="119"/>
      <c r="D171" s="241"/>
      <c r="E171" s="119"/>
      <c r="G171" s="119"/>
    </row>
    <row r="172" spans="2:7" ht="13.2" x14ac:dyDescent="0.25">
      <c r="B172" s="284"/>
      <c r="C172" s="119"/>
      <c r="D172" s="241"/>
      <c r="E172" s="119"/>
      <c r="G172" s="119"/>
    </row>
    <row r="173" spans="2:7" ht="13.2" x14ac:dyDescent="0.25">
      <c r="B173" s="284"/>
      <c r="C173" s="119"/>
      <c r="D173" s="241"/>
      <c r="E173" s="119"/>
      <c r="G173" s="119"/>
    </row>
    <row r="174" spans="2:7" ht="13.2" x14ac:dyDescent="0.25">
      <c r="B174" s="284"/>
      <c r="C174" s="119"/>
      <c r="D174" s="241"/>
      <c r="E174" s="119"/>
      <c r="G174" s="119"/>
    </row>
    <row r="175" spans="2:7" ht="13.2" x14ac:dyDescent="0.25">
      <c r="B175" s="284"/>
      <c r="C175" s="119"/>
      <c r="D175" s="241"/>
      <c r="E175" s="119"/>
      <c r="G175" s="119"/>
    </row>
    <row r="176" spans="2:7" ht="13.2" x14ac:dyDescent="0.25">
      <c r="B176" s="284"/>
      <c r="C176" s="119"/>
      <c r="D176" s="241"/>
      <c r="E176" s="119"/>
      <c r="G176" s="119"/>
    </row>
    <row r="177" spans="2:7" ht="13.2" x14ac:dyDescent="0.25">
      <c r="B177" s="284"/>
      <c r="C177" s="119"/>
      <c r="D177" s="241"/>
      <c r="E177" s="119"/>
      <c r="G177" s="119"/>
    </row>
    <row r="178" spans="2:7" ht="13.2" x14ac:dyDescent="0.25">
      <c r="B178" s="284"/>
      <c r="C178" s="119"/>
      <c r="D178" s="241"/>
      <c r="E178" s="119"/>
      <c r="G178" s="119"/>
    </row>
    <row r="179" spans="2:7" ht="13.2" x14ac:dyDescent="0.25">
      <c r="B179" s="284"/>
      <c r="C179" s="119"/>
      <c r="D179" s="241"/>
      <c r="E179" s="119"/>
      <c r="G179" s="119"/>
    </row>
    <row r="180" spans="2:7" ht="13.2" x14ac:dyDescent="0.25">
      <c r="B180" s="284"/>
      <c r="C180" s="119"/>
      <c r="D180" s="241"/>
      <c r="E180" s="119"/>
      <c r="G180" s="119"/>
    </row>
    <row r="181" spans="2:7" ht="13.2" x14ac:dyDescent="0.25">
      <c r="B181" s="284"/>
      <c r="C181" s="119"/>
      <c r="D181" s="241"/>
      <c r="E181" s="119"/>
      <c r="G181" s="119"/>
    </row>
    <row r="182" spans="2:7" ht="13.2" x14ac:dyDescent="0.25">
      <c r="B182" s="284"/>
      <c r="C182" s="119"/>
      <c r="D182" s="241"/>
      <c r="E182" s="119"/>
      <c r="G182" s="119"/>
    </row>
    <row r="183" spans="2:7" ht="13.2" x14ac:dyDescent="0.25">
      <c r="B183" s="284"/>
      <c r="C183" s="119"/>
      <c r="D183" s="241"/>
      <c r="E183" s="119"/>
      <c r="G183" s="119"/>
    </row>
    <row r="184" spans="2:7" ht="13.2" x14ac:dyDescent="0.25">
      <c r="B184" s="284"/>
      <c r="C184" s="119"/>
      <c r="D184" s="241"/>
      <c r="E184" s="119"/>
      <c r="G184" s="119"/>
    </row>
    <row r="185" spans="2:7" ht="13.2" x14ac:dyDescent="0.25">
      <c r="B185" s="284"/>
      <c r="C185" s="119"/>
      <c r="D185" s="241"/>
      <c r="E185" s="119"/>
      <c r="G185" s="119"/>
    </row>
    <row r="186" spans="2:7" ht="13.2" x14ac:dyDescent="0.25">
      <c r="B186" s="284"/>
      <c r="C186" s="119"/>
      <c r="D186" s="241"/>
      <c r="E186" s="119"/>
      <c r="G186" s="119"/>
    </row>
    <row r="187" spans="2:7" ht="13.2" x14ac:dyDescent="0.25">
      <c r="B187" s="284"/>
      <c r="C187" s="119"/>
      <c r="D187" s="241"/>
      <c r="E187" s="119"/>
      <c r="G187" s="119"/>
    </row>
    <row r="188" spans="2:7" ht="13.2" x14ac:dyDescent="0.25">
      <c r="B188" s="284"/>
      <c r="C188" s="119"/>
      <c r="D188" s="241"/>
      <c r="E188" s="119"/>
      <c r="G188" s="119"/>
    </row>
    <row r="189" spans="2:7" ht="13.2" x14ac:dyDescent="0.25">
      <c r="B189" s="284"/>
      <c r="C189" s="119"/>
      <c r="D189" s="241"/>
      <c r="E189" s="119"/>
      <c r="G189" s="119"/>
    </row>
    <row r="190" spans="2:7" ht="13.2" x14ac:dyDescent="0.25">
      <c r="B190" s="284"/>
      <c r="C190" s="119"/>
      <c r="D190" s="241"/>
      <c r="E190" s="119"/>
      <c r="G190" s="119"/>
    </row>
    <row r="191" spans="2:7" ht="13.2" x14ac:dyDescent="0.25">
      <c r="B191" s="284"/>
      <c r="C191" s="119"/>
      <c r="D191" s="241"/>
      <c r="E191" s="119"/>
      <c r="G191" s="119"/>
    </row>
    <row r="192" spans="2:7" ht="13.2" x14ac:dyDescent="0.25">
      <c r="B192" s="284"/>
      <c r="C192" s="119"/>
      <c r="D192" s="241"/>
      <c r="E192" s="119"/>
      <c r="G192" s="119"/>
    </row>
    <row r="193" spans="2:7" ht="13.2" x14ac:dyDescent="0.25">
      <c r="B193" s="284"/>
      <c r="C193" s="119"/>
      <c r="D193" s="241"/>
      <c r="E193" s="119"/>
      <c r="G193" s="119"/>
    </row>
    <row r="194" spans="2:7" ht="13.2" x14ac:dyDescent="0.25">
      <c r="B194" s="284"/>
      <c r="C194" s="119"/>
      <c r="D194" s="241"/>
      <c r="E194" s="119"/>
      <c r="G194" s="119"/>
    </row>
    <row r="195" spans="2:7" ht="13.2" x14ac:dyDescent="0.25">
      <c r="B195" s="284"/>
      <c r="C195" s="119"/>
      <c r="D195" s="241"/>
      <c r="E195" s="119"/>
      <c r="G195" s="119"/>
    </row>
    <row r="196" spans="2:7" ht="13.2" x14ac:dyDescent="0.25">
      <c r="B196" s="284"/>
      <c r="C196" s="119"/>
      <c r="D196" s="241"/>
      <c r="E196" s="119"/>
      <c r="G196" s="119"/>
    </row>
    <row r="197" spans="2:7" ht="13.2" x14ac:dyDescent="0.25">
      <c r="B197" s="284"/>
      <c r="C197" s="119"/>
      <c r="D197" s="241"/>
      <c r="E197" s="119"/>
      <c r="G197" s="119"/>
    </row>
    <row r="198" spans="2:7" ht="13.2" x14ac:dyDescent="0.25">
      <c r="B198" s="284"/>
      <c r="C198" s="119"/>
      <c r="D198" s="241"/>
      <c r="E198" s="119"/>
      <c r="G198" s="119"/>
    </row>
    <row r="199" spans="2:7" ht="13.2" x14ac:dyDescent="0.25">
      <c r="B199" s="284"/>
      <c r="C199" s="119"/>
      <c r="D199" s="241"/>
      <c r="E199" s="119"/>
      <c r="G199" s="119"/>
    </row>
    <row r="200" spans="2:7" ht="13.2" x14ac:dyDescent="0.25">
      <c r="B200" s="284"/>
      <c r="C200" s="119"/>
      <c r="D200" s="241"/>
      <c r="E200" s="119"/>
      <c r="G200" s="119"/>
    </row>
    <row r="201" spans="2:7" ht="13.2" x14ac:dyDescent="0.25">
      <c r="B201" s="284"/>
      <c r="C201" s="119"/>
      <c r="D201" s="241"/>
      <c r="E201" s="119"/>
      <c r="G201" s="119"/>
    </row>
    <row r="202" spans="2:7" ht="13.2" x14ac:dyDescent="0.25">
      <c r="B202" s="284"/>
      <c r="C202" s="119"/>
      <c r="D202" s="241"/>
      <c r="E202" s="119"/>
      <c r="G202" s="119"/>
    </row>
    <row r="203" spans="2:7" ht="13.2" x14ac:dyDescent="0.25">
      <c r="B203" s="284"/>
      <c r="C203" s="119"/>
      <c r="D203" s="241"/>
      <c r="E203" s="119"/>
      <c r="G203" s="119"/>
    </row>
    <row r="204" spans="2:7" ht="13.2" x14ac:dyDescent="0.25">
      <c r="B204" s="284"/>
      <c r="C204" s="119"/>
      <c r="D204" s="241"/>
      <c r="E204" s="119"/>
      <c r="G204" s="119"/>
    </row>
    <row r="205" spans="2:7" ht="13.2" x14ac:dyDescent="0.25">
      <c r="B205" s="284"/>
      <c r="C205" s="119"/>
      <c r="D205" s="241"/>
      <c r="E205" s="119"/>
      <c r="G205" s="119"/>
    </row>
    <row r="206" spans="2:7" ht="13.2" x14ac:dyDescent="0.25">
      <c r="B206" s="284"/>
      <c r="C206" s="119"/>
      <c r="D206" s="241"/>
      <c r="E206" s="119"/>
      <c r="G206" s="119"/>
    </row>
    <row r="207" spans="2:7" ht="13.2" x14ac:dyDescent="0.25">
      <c r="B207" s="284"/>
      <c r="C207" s="119"/>
      <c r="D207" s="241"/>
      <c r="E207" s="119"/>
      <c r="G207" s="119"/>
    </row>
    <row r="208" spans="2:7" ht="13.2" x14ac:dyDescent="0.25">
      <c r="B208" s="284"/>
      <c r="C208" s="119"/>
      <c r="D208" s="241"/>
      <c r="E208" s="119"/>
      <c r="G208" s="119"/>
    </row>
    <row r="209" spans="2:7" ht="13.2" x14ac:dyDescent="0.25">
      <c r="B209" s="284"/>
      <c r="C209" s="119"/>
      <c r="D209" s="241"/>
      <c r="E209" s="119"/>
      <c r="G209" s="119"/>
    </row>
    <row r="210" spans="2:7" ht="13.2" x14ac:dyDescent="0.25">
      <c r="B210" s="284"/>
      <c r="C210" s="119"/>
      <c r="D210" s="241"/>
      <c r="E210" s="119"/>
      <c r="G210" s="119"/>
    </row>
    <row r="211" spans="2:7" ht="13.2" x14ac:dyDescent="0.25">
      <c r="B211" s="284"/>
      <c r="C211" s="119"/>
      <c r="D211" s="241"/>
      <c r="E211" s="119"/>
      <c r="G211" s="119"/>
    </row>
    <row r="212" spans="2:7" ht="13.2" x14ac:dyDescent="0.25">
      <c r="B212" s="284"/>
      <c r="C212" s="119"/>
      <c r="D212" s="241"/>
      <c r="E212" s="119"/>
      <c r="G212" s="119"/>
    </row>
    <row r="213" spans="2:7" ht="13.2" x14ac:dyDescent="0.25">
      <c r="B213" s="284"/>
      <c r="C213" s="119"/>
      <c r="D213" s="241"/>
      <c r="E213" s="119"/>
      <c r="G213" s="119"/>
    </row>
    <row r="214" spans="2:7" ht="13.2" x14ac:dyDescent="0.25">
      <c r="B214" s="284"/>
      <c r="C214" s="119"/>
      <c r="D214" s="241"/>
      <c r="E214" s="119"/>
      <c r="G214" s="119"/>
    </row>
    <row r="215" spans="2:7" ht="13.2" x14ac:dyDescent="0.25">
      <c r="B215" s="284"/>
      <c r="C215" s="119"/>
      <c r="D215" s="241"/>
      <c r="E215" s="119"/>
      <c r="G215" s="119"/>
    </row>
    <row r="216" spans="2:7" ht="13.2" x14ac:dyDescent="0.25">
      <c r="B216" s="284"/>
      <c r="C216" s="119"/>
      <c r="D216" s="241"/>
      <c r="E216" s="119"/>
      <c r="G216" s="119"/>
    </row>
    <row r="217" spans="2:7" ht="13.2" x14ac:dyDescent="0.25">
      <c r="B217" s="284"/>
      <c r="C217" s="119"/>
      <c r="D217" s="241"/>
      <c r="E217" s="119"/>
      <c r="G217" s="119"/>
    </row>
    <row r="218" spans="2:7" ht="13.2" x14ac:dyDescent="0.25">
      <c r="B218" s="284"/>
      <c r="C218" s="119"/>
      <c r="D218" s="241"/>
      <c r="E218" s="119"/>
      <c r="G218" s="119"/>
    </row>
    <row r="219" spans="2:7" ht="13.2" x14ac:dyDescent="0.25">
      <c r="B219" s="284"/>
      <c r="C219" s="119"/>
      <c r="D219" s="241"/>
      <c r="E219" s="119"/>
      <c r="G219" s="119"/>
    </row>
    <row r="220" spans="2:7" ht="13.2" x14ac:dyDescent="0.25">
      <c r="B220" s="284"/>
      <c r="C220" s="119"/>
      <c r="D220" s="241"/>
      <c r="E220" s="119"/>
      <c r="G220" s="119"/>
    </row>
    <row r="221" spans="2:7" ht="13.2" x14ac:dyDescent="0.25">
      <c r="B221" s="284"/>
      <c r="C221" s="119"/>
      <c r="D221" s="241"/>
      <c r="E221" s="119"/>
      <c r="G221" s="119"/>
    </row>
    <row r="222" spans="2:7" ht="13.2" x14ac:dyDescent="0.25">
      <c r="B222" s="284"/>
      <c r="C222" s="119"/>
      <c r="D222" s="241"/>
      <c r="E222" s="119"/>
      <c r="G222" s="119"/>
    </row>
    <row r="223" spans="2:7" ht="13.2" x14ac:dyDescent="0.25">
      <c r="B223" s="284"/>
      <c r="C223" s="119"/>
      <c r="D223" s="241"/>
      <c r="E223" s="119"/>
      <c r="G223" s="119"/>
    </row>
    <row r="224" spans="2:7" ht="13.2" x14ac:dyDescent="0.25">
      <c r="B224" s="284"/>
      <c r="C224" s="119"/>
      <c r="D224" s="241"/>
      <c r="E224" s="119"/>
      <c r="G224" s="119"/>
    </row>
    <row r="225" spans="2:7" ht="13.2" x14ac:dyDescent="0.25">
      <c r="B225" s="284"/>
      <c r="C225" s="119"/>
      <c r="D225" s="241"/>
      <c r="E225" s="119"/>
      <c r="G225" s="119"/>
    </row>
    <row r="226" spans="2:7" ht="13.2" x14ac:dyDescent="0.25">
      <c r="B226" s="284"/>
      <c r="C226" s="119"/>
      <c r="D226" s="241"/>
      <c r="E226" s="119"/>
      <c r="G226" s="119"/>
    </row>
    <row r="227" spans="2:7" ht="13.2" x14ac:dyDescent="0.25">
      <c r="B227" s="284"/>
      <c r="C227" s="119"/>
      <c r="D227" s="241"/>
      <c r="E227" s="119"/>
      <c r="G227" s="119"/>
    </row>
    <row r="228" spans="2:7" ht="13.2" x14ac:dyDescent="0.25">
      <c r="B228" s="284"/>
      <c r="C228" s="119"/>
      <c r="D228" s="241"/>
      <c r="E228" s="119"/>
      <c r="G228" s="119"/>
    </row>
    <row r="229" spans="2:7" ht="13.2" x14ac:dyDescent="0.25">
      <c r="B229" s="284"/>
      <c r="C229" s="119"/>
      <c r="D229" s="241"/>
      <c r="E229" s="119"/>
      <c r="G229" s="119"/>
    </row>
    <row r="230" spans="2:7" ht="13.2" x14ac:dyDescent="0.25">
      <c r="B230" s="284"/>
      <c r="C230" s="119"/>
      <c r="D230" s="241"/>
      <c r="E230" s="119"/>
      <c r="G230" s="119"/>
    </row>
    <row r="231" spans="2:7" ht="13.2" x14ac:dyDescent="0.25">
      <c r="B231" s="284"/>
      <c r="C231" s="119"/>
      <c r="D231" s="241"/>
      <c r="E231" s="119"/>
      <c r="G231" s="119"/>
    </row>
    <row r="232" spans="2:7" ht="13.2" x14ac:dyDescent="0.25">
      <c r="B232" s="284"/>
      <c r="C232" s="119"/>
      <c r="D232" s="241"/>
      <c r="E232" s="119"/>
      <c r="G232" s="119"/>
    </row>
    <row r="233" spans="2:7" ht="13.2" x14ac:dyDescent="0.25">
      <c r="B233" s="284"/>
      <c r="C233" s="119"/>
      <c r="D233" s="241"/>
      <c r="E233" s="119"/>
      <c r="G233" s="119"/>
    </row>
    <row r="234" spans="2:7" ht="13.2" x14ac:dyDescent="0.25">
      <c r="B234" s="284"/>
      <c r="C234" s="119"/>
      <c r="D234" s="241"/>
      <c r="E234" s="119"/>
      <c r="G234" s="119"/>
    </row>
    <row r="235" spans="2:7" ht="13.2" x14ac:dyDescent="0.25">
      <c r="B235" s="284"/>
      <c r="C235" s="119"/>
      <c r="D235" s="241"/>
      <c r="E235" s="119"/>
      <c r="G235" s="119"/>
    </row>
    <row r="236" spans="2:7" ht="13.2" x14ac:dyDescent="0.25">
      <c r="B236" s="284"/>
      <c r="C236" s="119"/>
      <c r="D236" s="241"/>
      <c r="E236" s="119"/>
      <c r="G236" s="119"/>
    </row>
    <row r="237" spans="2:7" ht="13.2" x14ac:dyDescent="0.25">
      <c r="B237" s="284"/>
      <c r="C237" s="119"/>
      <c r="D237" s="241"/>
      <c r="E237" s="119"/>
      <c r="G237" s="119"/>
    </row>
    <row r="238" spans="2:7" ht="13.2" x14ac:dyDescent="0.25">
      <c r="B238" s="284"/>
      <c r="C238" s="119"/>
      <c r="D238" s="241"/>
      <c r="E238" s="119"/>
      <c r="G238" s="119"/>
    </row>
    <row r="239" spans="2:7" ht="13.2" x14ac:dyDescent="0.25">
      <c r="B239" s="284"/>
      <c r="C239" s="119"/>
      <c r="D239" s="241"/>
      <c r="E239" s="119"/>
      <c r="G239" s="119"/>
    </row>
    <row r="240" spans="2:7" ht="13.2" x14ac:dyDescent="0.25">
      <c r="B240" s="284"/>
      <c r="C240" s="119"/>
      <c r="D240" s="241"/>
      <c r="E240" s="119"/>
      <c r="G240" s="119"/>
    </row>
    <row r="241" spans="2:7" ht="13.2" x14ac:dyDescent="0.25">
      <c r="B241" s="284"/>
      <c r="C241" s="119"/>
      <c r="D241" s="241"/>
      <c r="E241" s="119"/>
      <c r="G241" s="119"/>
    </row>
    <row r="242" spans="2:7" ht="13.2" x14ac:dyDescent="0.25">
      <c r="B242" s="284"/>
      <c r="C242" s="119"/>
      <c r="D242" s="241"/>
      <c r="E242" s="119"/>
      <c r="G242" s="119"/>
    </row>
    <row r="243" spans="2:7" ht="13.2" x14ac:dyDescent="0.25">
      <c r="B243" s="284"/>
      <c r="C243" s="119"/>
      <c r="D243" s="241"/>
      <c r="E243" s="119"/>
      <c r="G243" s="119"/>
    </row>
    <row r="244" spans="2:7" ht="13.2" x14ac:dyDescent="0.25">
      <c r="B244" s="284"/>
      <c r="C244" s="119"/>
      <c r="D244" s="241"/>
      <c r="E244" s="119"/>
      <c r="G244" s="119"/>
    </row>
    <row r="245" spans="2:7" ht="13.2" x14ac:dyDescent="0.25">
      <c r="B245" s="284"/>
      <c r="C245" s="119"/>
      <c r="D245" s="241"/>
      <c r="E245" s="119"/>
      <c r="G245" s="119"/>
    </row>
    <row r="246" spans="2:7" ht="13.2" x14ac:dyDescent="0.25">
      <c r="B246" s="284"/>
      <c r="C246" s="119"/>
      <c r="D246" s="241"/>
      <c r="E246" s="119"/>
      <c r="G246" s="119"/>
    </row>
    <row r="247" spans="2:7" ht="13.2" x14ac:dyDescent="0.25">
      <c r="B247" s="284"/>
      <c r="C247" s="119"/>
      <c r="D247" s="241"/>
      <c r="E247" s="119"/>
      <c r="G247" s="119"/>
    </row>
    <row r="248" spans="2:7" ht="13.2" x14ac:dyDescent="0.25">
      <c r="B248" s="284"/>
      <c r="C248" s="119"/>
      <c r="D248" s="241"/>
      <c r="E248" s="119"/>
      <c r="G248" s="119"/>
    </row>
    <row r="249" spans="2:7" ht="13.2" x14ac:dyDescent="0.25">
      <c r="B249" s="284"/>
      <c r="C249" s="119"/>
      <c r="D249" s="241"/>
      <c r="E249" s="119"/>
      <c r="G249" s="119"/>
    </row>
    <row r="250" spans="2:7" ht="13.2" x14ac:dyDescent="0.25">
      <c r="B250" s="284"/>
      <c r="C250" s="119"/>
      <c r="D250" s="241"/>
      <c r="E250" s="119"/>
      <c r="G250" s="119"/>
    </row>
    <row r="251" spans="2:7" ht="13.2" x14ac:dyDescent="0.25">
      <c r="B251" s="284"/>
      <c r="C251" s="119"/>
      <c r="D251" s="241"/>
      <c r="E251" s="119"/>
      <c r="G251" s="119"/>
    </row>
    <row r="252" spans="2:7" ht="13.2" x14ac:dyDescent="0.25">
      <c r="B252" s="284"/>
      <c r="C252" s="119"/>
      <c r="D252" s="241"/>
      <c r="E252" s="119"/>
      <c r="G252" s="119"/>
    </row>
    <row r="253" spans="2:7" ht="13.2" x14ac:dyDescent="0.25">
      <c r="B253" s="284"/>
      <c r="C253" s="119"/>
      <c r="D253" s="241"/>
      <c r="E253" s="119"/>
      <c r="G253" s="119"/>
    </row>
    <row r="254" spans="2:7" ht="13.2" x14ac:dyDescent="0.25">
      <c r="B254" s="284"/>
      <c r="C254" s="119"/>
      <c r="D254" s="241"/>
      <c r="E254" s="119"/>
      <c r="G254" s="119"/>
    </row>
    <row r="255" spans="2:7" ht="13.2" x14ac:dyDescent="0.25">
      <c r="B255" s="284"/>
      <c r="C255" s="119"/>
      <c r="D255" s="241"/>
      <c r="E255" s="119"/>
      <c r="G255" s="119"/>
    </row>
    <row r="256" spans="2:7" ht="13.2" x14ac:dyDescent="0.25">
      <c r="B256" s="284"/>
      <c r="C256" s="119"/>
      <c r="D256" s="241"/>
      <c r="E256" s="119"/>
      <c r="G256" s="119"/>
    </row>
    <row r="257" spans="2:7" ht="13.2" x14ac:dyDescent="0.25">
      <c r="B257" s="284"/>
      <c r="C257" s="119"/>
      <c r="D257" s="241"/>
      <c r="E257" s="119"/>
      <c r="G257" s="119"/>
    </row>
    <row r="258" spans="2:7" ht="13.2" x14ac:dyDescent="0.25">
      <c r="B258" s="284"/>
      <c r="C258" s="119"/>
      <c r="D258" s="241"/>
      <c r="E258" s="119"/>
      <c r="G258" s="119"/>
    </row>
    <row r="259" spans="2:7" ht="13.2" x14ac:dyDescent="0.25">
      <c r="B259" s="284"/>
      <c r="C259" s="119"/>
      <c r="D259" s="241"/>
      <c r="E259" s="119"/>
      <c r="G259" s="119"/>
    </row>
    <row r="260" spans="2:7" ht="13.2" x14ac:dyDescent="0.25">
      <c r="B260" s="284"/>
      <c r="C260" s="119"/>
      <c r="D260" s="241"/>
      <c r="E260" s="119"/>
      <c r="G260" s="119"/>
    </row>
    <row r="261" spans="2:7" ht="13.2" x14ac:dyDescent="0.25">
      <c r="B261" s="284"/>
      <c r="C261" s="119"/>
      <c r="D261" s="241"/>
      <c r="E261" s="119"/>
      <c r="G261" s="119"/>
    </row>
    <row r="262" spans="2:7" ht="13.2" x14ac:dyDescent="0.25">
      <c r="B262" s="284"/>
      <c r="C262" s="119"/>
      <c r="D262" s="241"/>
      <c r="E262" s="119"/>
      <c r="G262" s="119"/>
    </row>
    <row r="263" spans="2:7" ht="13.2" x14ac:dyDescent="0.25">
      <c r="B263" s="284"/>
      <c r="C263" s="119"/>
      <c r="D263" s="241"/>
      <c r="E263" s="119"/>
      <c r="G263" s="119"/>
    </row>
    <row r="264" spans="2:7" ht="13.2" x14ac:dyDescent="0.25">
      <c r="B264" s="284"/>
      <c r="C264" s="119"/>
      <c r="D264" s="241"/>
      <c r="E264" s="119"/>
      <c r="G264" s="119"/>
    </row>
    <row r="265" spans="2:7" ht="13.2" x14ac:dyDescent="0.25">
      <c r="B265" s="284"/>
      <c r="C265" s="119"/>
      <c r="D265" s="241"/>
      <c r="E265" s="119"/>
      <c r="G265" s="119"/>
    </row>
    <row r="266" spans="2:7" ht="13.2" x14ac:dyDescent="0.25">
      <c r="B266" s="284"/>
      <c r="C266" s="119"/>
      <c r="D266" s="241"/>
      <c r="E266" s="119"/>
      <c r="G266" s="119"/>
    </row>
    <row r="267" spans="2:7" ht="13.2" x14ac:dyDescent="0.25">
      <c r="B267" s="284"/>
      <c r="C267" s="119"/>
      <c r="D267" s="241"/>
      <c r="E267" s="119"/>
      <c r="G267" s="119"/>
    </row>
    <row r="268" spans="2:7" ht="13.2" x14ac:dyDescent="0.25">
      <c r="B268" s="284"/>
      <c r="C268" s="119"/>
      <c r="D268" s="241"/>
      <c r="E268" s="119"/>
      <c r="G268" s="119"/>
    </row>
    <row r="269" spans="2:7" ht="13.2" x14ac:dyDescent="0.25">
      <c r="B269" s="284"/>
      <c r="C269" s="119"/>
      <c r="D269" s="241"/>
      <c r="E269" s="119"/>
      <c r="G269" s="119"/>
    </row>
    <row r="270" spans="2:7" ht="13.2" x14ac:dyDescent="0.25">
      <c r="B270" s="284"/>
      <c r="C270" s="119"/>
      <c r="D270" s="241"/>
      <c r="E270" s="119"/>
      <c r="G270" s="119"/>
    </row>
    <row r="271" spans="2:7" ht="13.2" x14ac:dyDescent="0.25">
      <c r="B271" s="284"/>
      <c r="C271" s="119"/>
      <c r="D271" s="241"/>
      <c r="E271" s="119"/>
      <c r="G271" s="119"/>
    </row>
    <row r="272" spans="2:7" ht="13.2" x14ac:dyDescent="0.25">
      <c r="B272" s="284"/>
      <c r="C272" s="119"/>
      <c r="D272" s="241"/>
      <c r="E272" s="119"/>
      <c r="G272" s="119"/>
    </row>
    <row r="273" spans="2:7" ht="13.2" x14ac:dyDescent="0.25">
      <c r="B273" s="284"/>
      <c r="C273" s="119"/>
      <c r="D273" s="241"/>
      <c r="E273" s="119"/>
      <c r="G273" s="119"/>
    </row>
    <row r="274" spans="2:7" ht="13.2" x14ac:dyDescent="0.25">
      <c r="B274" s="284"/>
      <c r="C274" s="119"/>
      <c r="D274" s="241"/>
      <c r="E274" s="119"/>
      <c r="G274" s="119"/>
    </row>
    <row r="275" spans="2:7" ht="13.2" x14ac:dyDescent="0.25">
      <c r="B275" s="284"/>
      <c r="C275" s="119"/>
      <c r="D275" s="241"/>
      <c r="E275" s="119"/>
      <c r="G275" s="119"/>
    </row>
    <row r="276" spans="2:7" ht="13.2" x14ac:dyDescent="0.25">
      <c r="B276" s="284"/>
      <c r="C276" s="119"/>
      <c r="D276" s="241"/>
      <c r="E276" s="119"/>
      <c r="G276" s="119"/>
    </row>
    <row r="277" spans="2:7" ht="13.2" x14ac:dyDescent="0.25">
      <c r="B277" s="284"/>
      <c r="C277" s="119"/>
      <c r="D277" s="241"/>
      <c r="E277" s="119"/>
      <c r="G277" s="119"/>
    </row>
    <row r="278" spans="2:7" ht="13.2" x14ac:dyDescent="0.25">
      <c r="B278" s="284"/>
      <c r="C278" s="119"/>
      <c r="D278" s="241"/>
      <c r="E278" s="119"/>
      <c r="G278" s="119"/>
    </row>
    <row r="279" spans="2:7" ht="13.2" x14ac:dyDescent="0.25">
      <c r="B279" s="284"/>
      <c r="C279" s="119"/>
      <c r="D279" s="241"/>
      <c r="E279" s="119"/>
      <c r="G279" s="119"/>
    </row>
    <row r="280" spans="2:7" ht="13.2" x14ac:dyDescent="0.25">
      <c r="B280" s="284"/>
      <c r="C280" s="119"/>
      <c r="D280" s="241"/>
      <c r="E280" s="119"/>
      <c r="G280" s="119"/>
    </row>
    <row r="281" spans="2:7" ht="13.2" x14ac:dyDescent="0.25">
      <c r="B281" s="284"/>
      <c r="C281" s="119"/>
      <c r="D281" s="241"/>
      <c r="E281" s="119"/>
      <c r="G281" s="119"/>
    </row>
    <row r="282" spans="2:7" ht="13.2" x14ac:dyDescent="0.25">
      <c r="B282" s="284"/>
      <c r="C282" s="119"/>
      <c r="D282" s="241"/>
      <c r="E282" s="119"/>
      <c r="G282" s="119"/>
    </row>
    <row r="283" spans="2:7" ht="13.2" x14ac:dyDescent="0.25">
      <c r="B283" s="284"/>
      <c r="C283" s="119"/>
      <c r="D283" s="241"/>
      <c r="E283" s="119"/>
      <c r="G283" s="119"/>
    </row>
    <row r="284" spans="2:7" ht="13.2" x14ac:dyDescent="0.25">
      <c r="B284" s="284"/>
      <c r="C284" s="119"/>
      <c r="D284" s="241"/>
      <c r="E284" s="119"/>
      <c r="G284" s="119"/>
    </row>
    <row r="285" spans="2:7" ht="13.2" x14ac:dyDescent="0.25">
      <c r="B285" s="284"/>
      <c r="C285" s="119"/>
      <c r="D285" s="241"/>
      <c r="E285" s="119"/>
      <c r="G285" s="119"/>
    </row>
    <row r="286" spans="2:7" ht="13.2" x14ac:dyDescent="0.25">
      <c r="B286" s="284"/>
      <c r="C286" s="119"/>
      <c r="D286" s="241"/>
      <c r="E286" s="119"/>
      <c r="G286" s="119"/>
    </row>
    <row r="287" spans="2:7" ht="13.2" x14ac:dyDescent="0.25">
      <c r="B287" s="284"/>
      <c r="C287" s="119"/>
      <c r="D287" s="241"/>
      <c r="E287" s="119"/>
      <c r="G287" s="119"/>
    </row>
    <row r="288" spans="2:7" ht="13.2" x14ac:dyDescent="0.25">
      <c r="B288" s="284"/>
      <c r="C288" s="119"/>
      <c r="D288" s="241"/>
      <c r="E288" s="119"/>
      <c r="G288" s="119"/>
    </row>
    <row r="289" spans="2:7" ht="13.2" x14ac:dyDescent="0.25">
      <c r="B289" s="284"/>
      <c r="C289" s="119"/>
      <c r="D289" s="241"/>
      <c r="E289" s="119"/>
      <c r="G289" s="119"/>
    </row>
    <row r="290" spans="2:7" ht="13.2" x14ac:dyDescent="0.25">
      <c r="B290" s="284"/>
      <c r="C290" s="119"/>
      <c r="D290" s="241"/>
      <c r="E290" s="119"/>
      <c r="G290" s="119"/>
    </row>
    <row r="291" spans="2:7" ht="13.2" x14ac:dyDescent="0.25">
      <c r="B291" s="284"/>
      <c r="C291" s="119"/>
      <c r="D291" s="241"/>
      <c r="E291" s="119"/>
      <c r="G291" s="119"/>
    </row>
    <row r="292" spans="2:7" ht="13.2" x14ac:dyDescent="0.25">
      <c r="B292" s="284"/>
      <c r="C292" s="119"/>
      <c r="D292" s="241"/>
      <c r="E292" s="119"/>
      <c r="G292" s="119"/>
    </row>
    <row r="293" spans="2:7" ht="13.2" x14ac:dyDescent="0.25">
      <c r="B293" s="284"/>
      <c r="C293" s="119"/>
      <c r="D293" s="241"/>
      <c r="E293" s="119"/>
      <c r="G293" s="119"/>
    </row>
    <row r="294" spans="2:7" ht="13.2" x14ac:dyDescent="0.25">
      <c r="B294" s="284"/>
      <c r="C294" s="119"/>
      <c r="D294" s="241"/>
      <c r="E294" s="119"/>
      <c r="G294" s="119"/>
    </row>
    <row r="295" spans="2:7" ht="13.2" x14ac:dyDescent="0.25">
      <c r="B295" s="284"/>
      <c r="C295" s="119"/>
      <c r="D295" s="241"/>
      <c r="E295" s="119"/>
      <c r="G295" s="119"/>
    </row>
    <row r="296" spans="2:7" ht="13.2" x14ac:dyDescent="0.25">
      <c r="B296" s="284"/>
      <c r="C296" s="119"/>
      <c r="D296" s="241"/>
      <c r="E296" s="119"/>
      <c r="G296" s="119"/>
    </row>
    <row r="297" spans="2:7" ht="13.2" x14ac:dyDescent="0.25">
      <c r="B297" s="284"/>
      <c r="C297" s="119"/>
      <c r="D297" s="241"/>
      <c r="E297" s="119"/>
      <c r="G297" s="119"/>
    </row>
    <row r="298" spans="2:7" ht="13.2" x14ac:dyDescent="0.25">
      <c r="B298" s="284"/>
      <c r="C298" s="119"/>
      <c r="D298" s="241"/>
      <c r="E298" s="119"/>
      <c r="G298" s="119"/>
    </row>
    <row r="299" spans="2:7" ht="13.2" x14ac:dyDescent="0.25">
      <c r="B299" s="284"/>
      <c r="C299" s="119"/>
      <c r="D299" s="241"/>
      <c r="E299" s="119"/>
      <c r="G299" s="119"/>
    </row>
    <row r="300" spans="2:7" ht="13.2" x14ac:dyDescent="0.25">
      <c r="B300" s="284"/>
      <c r="C300" s="119"/>
      <c r="D300" s="241"/>
      <c r="E300" s="119"/>
      <c r="G300" s="119"/>
    </row>
    <row r="301" spans="2:7" ht="13.2" x14ac:dyDescent="0.25">
      <c r="B301" s="284"/>
      <c r="C301" s="119"/>
      <c r="D301" s="241"/>
      <c r="E301" s="119"/>
      <c r="G301" s="119"/>
    </row>
    <row r="302" spans="2:7" ht="13.2" x14ac:dyDescent="0.25">
      <c r="B302" s="284"/>
      <c r="C302" s="119"/>
      <c r="D302" s="241"/>
      <c r="E302" s="119"/>
      <c r="G302" s="119"/>
    </row>
    <row r="303" spans="2:7" ht="13.2" x14ac:dyDescent="0.25">
      <c r="B303" s="284"/>
      <c r="C303" s="119"/>
      <c r="D303" s="241"/>
      <c r="E303" s="119"/>
      <c r="G303" s="119"/>
    </row>
    <row r="304" spans="2:7" ht="13.2" x14ac:dyDescent="0.25">
      <c r="B304" s="284"/>
      <c r="C304" s="119"/>
      <c r="D304" s="241"/>
      <c r="E304" s="119"/>
      <c r="G304" s="119"/>
    </row>
    <row r="305" spans="2:7" ht="13.2" x14ac:dyDescent="0.25">
      <c r="B305" s="284"/>
      <c r="C305" s="119"/>
      <c r="D305" s="241"/>
      <c r="E305" s="119"/>
      <c r="G305" s="119"/>
    </row>
    <row r="306" spans="2:7" ht="13.2" x14ac:dyDescent="0.25">
      <c r="B306" s="284"/>
      <c r="C306" s="119"/>
      <c r="D306" s="241"/>
      <c r="E306" s="119"/>
      <c r="G306" s="119"/>
    </row>
    <row r="307" spans="2:7" ht="13.2" x14ac:dyDescent="0.25">
      <c r="B307" s="284"/>
      <c r="C307" s="119"/>
      <c r="D307" s="241"/>
      <c r="E307" s="119"/>
      <c r="G307" s="119"/>
    </row>
    <row r="308" spans="2:7" ht="13.2" x14ac:dyDescent="0.25">
      <c r="B308" s="284"/>
      <c r="C308" s="119"/>
      <c r="D308" s="241"/>
      <c r="E308" s="119"/>
      <c r="G308" s="119"/>
    </row>
    <row r="309" spans="2:7" ht="13.2" x14ac:dyDescent="0.25">
      <c r="B309" s="284"/>
      <c r="C309" s="119"/>
      <c r="D309" s="241"/>
      <c r="E309" s="119"/>
      <c r="G309" s="119"/>
    </row>
    <row r="310" spans="2:7" ht="13.2" x14ac:dyDescent="0.25">
      <c r="B310" s="284"/>
      <c r="C310" s="119"/>
      <c r="D310" s="241"/>
      <c r="E310" s="119"/>
      <c r="G310" s="119"/>
    </row>
    <row r="311" spans="2:7" ht="13.2" x14ac:dyDescent="0.25">
      <c r="B311" s="284"/>
      <c r="C311" s="119"/>
      <c r="D311" s="241"/>
      <c r="E311" s="119"/>
      <c r="G311" s="119"/>
    </row>
    <row r="312" spans="2:7" ht="13.2" x14ac:dyDescent="0.25">
      <c r="B312" s="284"/>
      <c r="C312" s="119"/>
      <c r="D312" s="241"/>
      <c r="E312" s="119"/>
      <c r="G312" s="119"/>
    </row>
    <row r="313" spans="2:7" ht="13.2" x14ac:dyDescent="0.25">
      <c r="B313" s="284"/>
      <c r="C313" s="119"/>
      <c r="D313" s="241"/>
      <c r="E313" s="119"/>
      <c r="G313" s="119"/>
    </row>
    <row r="314" spans="2:7" ht="13.2" x14ac:dyDescent="0.25">
      <c r="B314" s="284"/>
      <c r="C314" s="119"/>
      <c r="D314" s="241"/>
      <c r="E314" s="119"/>
      <c r="G314" s="119"/>
    </row>
    <row r="315" spans="2:7" ht="13.2" x14ac:dyDescent="0.25">
      <c r="B315" s="284"/>
      <c r="C315" s="119"/>
      <c r="D315" s="241"/>
      <c r="E315" s="119"/>
      <c r="G315" s="119"/>
    </row>
    <row r="316" spans="2:7" ht="13.2" x14ac:dyDescent="0.25">
      <c r="B316" s="284"/>
      <c r="C316" s="119"/>
      <c r="D316" s="241"/>
      <c r="E316" s="119"/>
      <c r="G316" s="119"/>
    </row>
    <row r="317" spans="2:7" ht="13.2" x14ac:dyDescent="0.25">
      <c r="B317" s="284"/>
      <c r="C317" s="119"/>
      <c r="D317" s="241"/>
      <c r="E317" s="119"/>
      <c r="G317" s="119"/>
    </row>
    <row r="318" spans="2:7" ht="13.2" x14ac:dyDescent="0.25">
      <c r="B318" s="284"/>
      <c r="C318" s="119"/>
      <c r="D318" s="241"/>
      <c r="E318" s="119"/>
      <c r="G318" s="119"/>
    </row>
    <row r="319" spans="2:7" ht="13.2" x14ac:dyDescent="0.25">
      <c r="B319" s="284"/>
      <c r="C319" s="119"/>
      <c r="D319" s="241"/>
      <c r="E319" s="119"/>
      <c r="G319" s="119"/>
    </row>
    <row r="320" spans="2:7" ht="13.2" x14ac:dyDescent="0.25">
      <c r="B320" s="284"/>
      <c r="C320" s="119"/>
      <c r="D320" s="241"/>
      <c r="E320" s="119"/>
      <c r="G320" s="119"/>
    </row>
    <row r="321" spans="2:7" ht="13.2" x14ac:dyDescent="0.25">
      <c r="B321" s="284"/>
      <c r="C321" s="119"/>
      <c r="D321" s="241"/>
      <c r="E321" s="119"/>
      <c r="G321" s="119"/>
    </row>
    <row r="322" spans="2:7" ht="13.2" x14ac:dyDescent="0.25">
      <c r="B322" s="284"/>
      <c r="C322" s="119"/>
      <c r="D322" s="241"/>
      <c r="E322" s="119"/>
      <c r="G322" s="119"/>
    </row>
    <row r="323" spans="2:7" ht="13.2" x14ac:dyDescent="0.25">
      <c r="B323" s="284"/>
      <c r="C323" s="119"/>
      <c r="D323" s="241"/>
      <c r="E323" s="119"/>
      <c r="G323" s="119"/>
    </row>
    <row r="324" spans="2:7" ht="13.2" x14ac:dyDescent="0.25">
      <c r="B324" s="284"/>
      <c r="C324" s="119"/>
      <c r="D324" s="241"/>
      <c r="E324" s="119"/>
      <c r="G324" s="119"/>
    </row>
    <row r="325" spans="2:7" ht="13.2" x14ac:dyDescent="0.25">
      <c r="B325" s="284"/>
      <c r="C325" s="119"/>
      <c r="D325" s="241"/>
      <c r="E325" s="119"/>
      <c r="G325" s="119"/>
    </row>
    <row r="326" spans="2:7" ht="13.2" x14ac:dyDescent="0.25">
      <c r="B326" s="284"/>
      <c r="C326" s="119"/>
      <c r="D326" s="241"/>
      <c r="E326" s="119"/>
      <c r="G326" s="119"/>
    </row>
    <row r="327" spans="2:7" ht="13.2" x14ac:dyDescent="0.25">
      <c r="B327" s="284"/>
      <c r="C327" s="119"/>
      <c r="D327" s="241"/>
      <c r="E327" s="119"/>
      <c r="G327" s="119"/>
    </row>
    <row r="328" spans="2:7" ht="13.2" x14ac:dyDescent="0.25">
      <c r="B328" s="284"/>
      <c r="C328" s="119"/>
      <c r="D328" s="241"/>
      <c r="E328" s="119"/>
      <c r="G328" s="119"/>
    </row>
    <row r="329" spans="2:7" ht="13.2" x14ac:dyDescent="0.25">
      <c r="B329" s="284"/>
      <c r="C329" s="119"/>
      <c r="D329" s="241"/>
      <c r="E329" s="119"/>
      <c r="G329" s="119"/>
    </row>
    <row r="330" spans="2:7" ht="13.2" x14ac:dyDescent="0.25">
      <c r="B330" s="284"/>
      <c r="C330" s="119"/>
      <c r="D330" s="241"/>
      <c r="E330" s="119"/>
      <c r="G330" s="119"/>
    </row>
    <row r="331" spans="2:7" ht="13.2" x14ac:dyDescent="0.25">
      <c r="B331" s="284"/>
      <c r="C331" s="119"/>
      <c r="D331" s="241"/>
      <c r="E331" s="119"/>
      <c r="G331" s="119"/>
    </row>
    <row r="332" spans="2:7" ht="13.2" x14ac:dyDescent="0.25">
      <c r="B332" s="284"/>
      <c r="C332" s="119"/>
      <c r="D332" s="241"/>
      <c r="E332" s="119"/>
      <c r="G332" s="119"/>
    </row>
    <row r="333" spans="2:7" ht="13.2" x14ac:dyDescent="0.25">
      <c r="B333" s="284"/>
      <c r="C333" s="119"/>
      <c r="D333" s="241"/>
      <c r="E333" s="119"/>
      <c r="G333" s="119"/>
    </row>
    <row r="334" spans="2:7" ht="13.2" x14ac:dyDescent="0.25">
      <c r="B334" s="284"/>
      <c r="C334" s="119"/>
      <c r="D334" s="241"/>
      <c r="E334" s="119"/>
      <c r="G334" s="119"/>
    </row>
    <row r="335" spans="2:7" ht="13.2" x14ac:dyDescent="0.25">
      <c r="B335" s="284"/>
      <c r="C335" s="119"/>
      <c r="D335" s="241"/>
      <c r="E335" s="119"/>
      <c r="G335" s="119"/>
    </row>
    <row r="336" spans="2:7" ht="13.2" x14ac:dyDescent="0.25">
      <c r="B336" s="284"/>
      <c r="C336" s="119"/>
      <c r="D336" s="241"/>
      <c r="E336" s="119"/>
      <c r="G336" s="119"/>
    </row>
    <row r="337" spans="2:7" ht="13.2" x14ac:dyDescent="0.25">
      <c r="B337" s="284"/>
      <c r="C337" s="119"/>
      <c r="D337" s="241"/>
      <c r="E337" s="119"/>
      <c r="G337" s="119"/>
    </row>
    <row r="338" spans="2:7" ht="13.2" x14ac:dyDescent="0.25">
      <c r="B338" s="284"/>
      <c r="C338" s="119"/>
      <c r="D338" s="241"/>
      <c r="E338" s="119"/>
      <c r="G338" s="119"/>
    </row>
    <row r="339" spans="2:7" ht="13.2" x14ac:dyDescent="0.25">
      <c r="B339" s="284"/>
      <c r="C339" s="119"/>
      <c r="D339" s="241"/>
      <c r="E339" s="119"/>
      <c r="G339" s="119"/>
    </row>
    <row r="340" spans="2:7" ht="13.2" x14ac:dyDescent="0.25">
      <c r="B340" s="284"/>
      <c r="C340" s="119"/>
      <c r="D340" s="241"/>
      <c r="E340" s="119"/>
      <c r="G340" s="119"/>
    </row>
    <row r="341" spans="2:7" ht="13.2" x14ac:dyDescent="0.25">
      <c r="B341" s="284"/>
      <c r="C341" s="119"/>
      <c r="D341" s="241"/>
      <c r="E341" s="119"/>
      <c r="G341" s="119"/>
    </row>
    <row r="342" spans="2:7" ht="13.2" x14ac:dyDescent="0.25">
      <c r="B342" s="284"/>
      <c r="C342" s="119"/>
      <c r="D342" s="241"/>
      <c r="E342" s="119"/>
      <c r="G342" s="119"/>
    </row>
    <row r="343" spans="2:7" ht="13.2" x14ac:dyDescent="0.25">
      <c r="B343" s="284"/>
      <c r="C343" s="119"/>
      <c r="D343" s="241"/>
      <c r="E343" s="119"/>
      <c r="G343" s="119"/>
    </row>
    <row r="344" spans="2:7" ht="13.2" x14ac:dyDescent="0.25">
      <c r="B344" s="284"/>
      <c r="C344" s="119"/>
      <c r="D344" s="241"/>
      <c r="E344" s="119"/>
      <c r="G344" s="119"/>
    </row>
    <row r="345" spans="2:7" ht="13.2" x14ac:dyDescent="0.25">
      <c r="B345" s="284"/>
      <c r="C345" s="119"/>
      <c r="D345" s="241"/>
      <c r="E345" s="119"/>
      <c r="G345" s="119"/>
    </row>
    <row r="346" spans="2:7" ht="13.2" x14ac:dyDescent="0.25">
      <c r="B346" s="284"/>
      <c r="C346" s="119"/>
      <c r="D346" s="241"/>
      <c r="E346" s="119"/>
      <c r="G346" s="119"/>
    </row>
    <row r="347" spans="2:7" ht="13.2" x14ac:dyDescent="0.25">
      <c r="B347" s="284"/>
      <c r="C347" s="119"/>
      <c r="D347" s="241"/>
      <c r="E347" s="119"/>
      <c r="G347" s="119"/>
    </row>
    <row r="348" spans="2:7" ht="13.2" x14ac:dyDescent="0.25">
      <c r="B348" s="284"/>
      <c r="C348" s="119"/>
      <c r="D348" s="241"/>
      <c r="E348" s="119"/>
      <c r="G348" s="119"/>
    </row>
    <row r="349" spans="2:7" ht="13.2" x14ac:dyDescent="0.25">
      <c r="B349" s="284"/>
      <c r="C349" s="119"/>
      <c r="D349" s="241"/>
      <c r="E349" s="119"/>
      <c r="G349" s="119"/>
    </row>
    <row r="350" spans="2:7" ht="13.2" x14ac:dyDescent="0.25">
      <c r="B350" s="284"/>
      <c r="C350" s="119"/>
      <c r="D350" s="241"/>
      <c r="E350" s="119"/>
      <c r="G350" s="119"/>
    </row>
    <row r="351" spans="2:7" ht="13.2" x14ac:dyDescent="0.25">
      <c r="B351" s="284"/>
      <c r="C351" s="119"/>
      <c r="D351" s="241"/>
      <c r="E351" s="119"/>
      <c r="G351" s="119"/>
    </row>
    <row r="352" spans="2:7" ht="13.2" x14ac:dyDescent="0.25">
      <c r="B352" s="284"/>
      <c r="C352" s="119"/>
      <c r="D352" s="241"/>
      <c r="E352" s="119"/>
      <c r="G352" s="119"/>
    </row>
    <row r="353" spans="2:7" ht="13.2" x14ac:dyDescent="0.25">
      <c r="B353" s="284"/>
      <c r="C353" s="119"/>
      <c r="D353" s="241"/>
      <c r="E353" s="119"/>
      <c r="G353" s="119"/>
    </row>
    <row r="354" spans="2:7" ht="13.2" x14ac:dyDescent="0.25">
      <c r="B354" s="284"/>
      <c r="C354" s="119"/>
      <c r="D354" s="241"/>
      <c r="E354" s="119"/>
      <c r="G354" s="119"/>
    </row>
    <row r="355" spans="2:7" ht="13.2" x14ac:dyDescent="0.25">
      <c r="B355" s="284"/>
      <c r="C355" s="119"/>
      <c r="D355" s="241"/>
      <c r="E355" s="119"/>
      <c r="G355" s="119"/>
    </row>
    <row r="356" spans="2:7" ht="13.2" x14ac:dyDescent="0.25">
      <c r="B356" s="284"/>
      <c r="C356" s="119"/>
      <c r="D356" s="241"/>
      <c r="E356" s="119"/>
      <c r="G356" s="119"/>
    </row>
    <row r="357" spans="2:7" ht="13.2" x14ac:dyDescent="0.25">
      <c r="B357" s="284"/>
      <c r="C357" s="119"/>
      <c r="D357" s="241"/>
      <c r="E357" s="119"/>
      <c r="G357" s="119"/>
    </row>
    <row r="358" spans="2:7" ht="13.2" x14ac:dyDescent="0.25">
      <c r="B358" s="284"/>
      <c r="C358" s="119"/>
      <c r="D358" s="241"/>
      <c r="E358" s="119"/>
      <c r="G358" s="119"/>
    </row>
    <row r="359" spans="2:7" ht="13.2" x14ac:dyDescent="0.25">
      <c r="B359" s="284"/>
      <c r="C359" s="119"/>
      <c r="D359" s="241"/>
      <c r="E359" s="119"/>
      <c r="G359" s="119"/>
    </row>
    <row r="360" spans="2:7" ht="13.2" x14ac:dyDescent="0.25">
      <c r="B360" s="284"/>
      <c r="C360" s="119"/>
      <c r="D360" s="241"/>
      <c r="E360" s="119"/>
      <c r="G360" s="119"/>
    </row>
    <row r="361" spans="2:7" ht="13.2" x14ac:dyDescent="0.25">
      <c r="B361" s="284"/>
      <c r="C361" s="119"/>
      <c r="D361" s="241"/>
      <c r="E361" s="119"/>
      <c r="G361" s="119"/>
    </row>
    <row r="362" spans="2:7" ht="13.2" x14ac:dyDescent="0.25">
      <c r="B362" s="284"/>
      <c r="C362" s="119"/>
      <c r="D362" s="241"/>
      <c r="E362" s="119"/>
      <c r="G362" s="119"/>
    </row>
    <row r="363" spans="2:7" ht="13.2" x14ac:dyDescent="0.25">
      <c r="B363" s="284"/>
      <c r="C363" s="119"/>
      <c r="D363" s="241"/>
      <c r="E363" s="119"/>
      <c r="G363" s="119"/>
    </row>
    <row r="364" spans="2:7" ht="13.2" x14ac:dyDescent="0.25">
      <c r="B364" s="284"/>
      <c r="C364" s="119"/>
      <c r="D364" s="241"/>
      <c r="E364" s="119"/>
      <c r="G364" s="119"/>
    </row>
    <row r="365" spans="2:7" ht="13.2" x14ac:dyDescent="0.25">
      <c r="B365" s="284"/>
      <c r="C365" s="119"/>
      <c r="D365" s="241"/>
      <c r="E365" s="119"/>
      <c r="G365" s="119"/>
    </row>
    <row r="366" spans="2:7" ht="13.2" x14ac:dyDescent="0.25">
      <c r="B366" s="284"/>
      <c r="C366" s="119"/>
      <c r="D366" s="241"/>
      <c r="E366" s="119"/>
      <c r="G366" s="119"/>
    </row>
    <row r="367" spans="2:7" ht="13.2" x14ac:dyDescent="0.25">
      <c r="B367" s="284"/>
      <c r="C367" s="119"/>
      <c r="D367" s="241"/>
      <c r="E367" s="119"/>
      <c r="G367" s="119"/>
    </row>
    <row r="368" spans="2:7" ht="13.2" x14ac:dyDescent="0.25">
      <c r="B368" s="284"/>
      <c r="C368" s="119"/>
      <c r="D368" s="241"/>
      <c r="E368" s="119"/>
      <c r="G368" s="119"/>
    </row>
    <row r="369" spans="2:7" ht="13.2" x14ac:dyDescent="0.25">
      <c r="B369" s="284"/>
      <c r="C369" s="119"/>
      <c r="D369" s="241"/>
      <c r="E369" s="119"/>
      <c r="G369" s="119"/>
    </row>
    <row r="370" spans="2:7" ht="13.2" x14ac:dyDescent="0.25">
      <c r="B370" s="284"/>
      <c r="C370" s="119"/>
      <c r="D370" s="241"/>
      <c r="E370" s="119"/>
      <c r="G370" s="119"/>
    </row>
    <row r="371" spans="2:7" ht="13.2" x14ac:dyDescent="0.25">
      <c r="B371" s="284"/>
      <c r="C371" s="119"/>
      <c r="D371" s="241"/>
      <c r="E371" s="119"/>
      <c r="G371" s="119"/>
    </row>
    <row r="372" spans="2:7" ht="13.2" x14ac:dyDescent="0.25">
      <c r="B372" s="284"/>
      <c r="C372" s="119"/>
      <c r="D372" s="241"/>
      <c r="E372" s="119"/>
      <c r="G372" s="119"/>
    </row>
    <row r="373" spans="2:7" ht="13.2" x14ac:dyDescent="0.25">
      <c r="B373" s="284"/>
      <c r="C373" s="119"/>
      <c r="D373" s="241"/>
      <c r="E373" s="119"/>
      <c r="G373" s="119"/>
    </row>
    <row r="374" spans="2:7" ht="13.2" x14ac:dyDescent="0.25">
      <c r="B374" s="284"/>
      <c r="C374" s="119"/>
      <c r="D374" s="241"/>
      <c r="E374" s="119"/>
      <c r="G374" s="119"/>
    </row>
    <row r="375" spans="2:7" ht="13.2" x14ac:dyDescent="0.25">
      <c r="B375" s="284"/>
      <c r="C375" s="119"/>
      <c r="D375" s="241"/>
      <c r="E375" s="119"/>
      <c r="G375" s="119"/>
    </row>
    <row r="376" spans="2:7" ht="13.2" x14ac:dyDescent="0.25">
      <c r="B376" s="284"/>
      <c r="C376" s="119"/>
      <c r="D376" s="241"/>
      <c r="E376" s="119"/>
      <c r="G376" s="119"/>
    </row>
    <row r="377" spans="2:7" ht="13.2" x14ac:dyDescent="0.25">
      <c r="B377" s="284"/>
      <c r="C377" s="119"/>
      <c r="D377" s="241"/>
      <c r="E377" s="119"/>
      <c r="G377" s="119"/>
    </row>
    <row r="378" spans="2:7" ht="13.2" x14ac:dyDescent="0.25">
      <c r="B378" s="284"/>
      <c r="C378" s="119"/>
      <c r="D378" s="241"/>
      <c r="E378" s="119"/>
      <c r="G378" s="119"/>
    </row>
    <row r="379" spans="2:7" ht="13.2" x14ac:dyDescent="0.25">
      <c r="B379" s="284"/>
      <c r="C379" s="119"/>
      <c r="D379" s="241"/>
      <c r="E379" s="119"/>
      <c r="G379" s="119"/>
    </row>
    <row r="380" spans="2:7" ht="13.2" x14ac:dyDescent="0.25">
      <c r="B380" s="284"/>
      <c r="C380" s="119"/>
      <c r="D380" s="241"/>
      <c r="E380" s="119"/>
      <c r="G380" s="119"/>
    </row>
    <row r="381" spans="2:7" ht="13.2" x14ac:dyDescent="0.25">
      <c r="B381" s="284"/>
      <c r="C381" s="119"/>
      <c r="D381" s="241"/>
      <c r="E381" s="119"/>
      <c r="G381" s="119"/>
    </row>
    <row r="382" spans="2:7" ht="13.2" x14ac:dyDescent="0.25">
      <c r="B382" s="284"/>
      <c r="C382" s="119"/>
      <c r="D382" s="241"/>
      <c r="E382" s="119"/>
      <c r="G382" s="119"/>
    </row>
    <row r="383" spans="2:7" ht="13.2" x14ac:dyDescent="0.25">
      <c r="B383" s="284"/>
      <c r="C383" s="119"/>
      <c r="D383" s="241"/>
      <c r="E383" s="119"/>
      <c r="G383" s="119"/>
    </row>
    <row r="384" spans="2:7" ht="13.2" x14ac:dyDescent="0.25">
      <c r="B384" s="284"/>
      <c r="C384" s="119"/>
      <c r="D384" s="241"/>
      <c r="E384" s="119"/>
      <c r="G384" s="119"/>
    </row>
    <row r="385" spans="2:7" ht="13.2" x14ac:dyDescent="0.25">
      <c r="B385" s="284"/>
      <c r="C385" s="119"/>
      <c r="D385" s="241"/>
      <c r="E385" s="119"/>
      <c r="G385" s="119"/>
    </row>
    <row r="386" spans="2:7" ht="13.2" x14ac:dyDescent="0.25">
      <c r="B386" s="284"/>
      <c r="C386" s="119"/>
      <c r="D386" s="241"/>
      <c r="E386" s="119"/>
      <c r="G386" s="119"/>
    </row>
    <row r="387" spans="2:7" ht="13.2" x14ac:dyDescent="0.25">
      <c r="B387" s="284"/>
      <c r="C387" s="119"/>
      <c r="D387" s="241"/>
      <c r="E387" s="119"/>
      <c r="G387" s="119"/>
    </row>
    <row r="388" spans="2:7" ht="13.2" x14ac:dyDescent="0.25">
      <c r="B388" s="284"/>
      <c r="C388" s="119"/>
      <c r="D388" s="241"/>
      <c r="E388" s="119"/>
      <c r="G388" s="119"/>
    </row>
    <row r="389" spans="2:7" ht="13.2" x14ac:dyDescent="0.25">
      <c r="B389" s="284"/>
      <c r="C389" s="119"/>
      <c r="D389" s="241"/>
      <c r="E389" s="119"/>
      <c r="G389" s="119"/>
    </row>
    <row r="390" spans="2:7" ht="13.2" x14ac:dyDescent="0.25">
      <c r="B390" s="284"/>
      <c r="C390" s="119"/>
      <c r="D390" s="241"/>
      <c r="E390" s="119"/>
      <c r="G390" s="119"/>
    </row>
    <row r="391" spans="2:7" ht="13.2" x14ac:dyDescent="0.25">
      <c r="B391" s="284"/>
      <c r="C391" s="119"/>
      <c r="D391" s="241"/>
      <c r="E391" s="119"/>
      <c r="G391" s="119"/>
    </row>
    <row r="392" spans="2:7" ht="13.2" x14ac:dyDescent="0.25">
      <c r="B392" s="284"/>
      <c r="C392" s="119"/>
      <c r="D392" s="241"/>
      <c r="E392" s="119"/>
      <c r="G392" s="119"/>
    </row>
    <row r="393" spans="2:7" ht="13.2" x14ac:dyDescent="0.25">
      <c r="B393" s="284"/>
      <c r="C393" s="119"/>
      <c r="D393" s="241"/>
      <c r="E393" s="119"/>
      <c r="G393" s="119"/>
    </row>
    <row r="394" spans="2:7" ht="13.2" x14ac:dyDescent="0.25">
      <c r="B394" s="284"/>
      <c r="C394" s="119"/>
      <c r="D394" s="241"/>
      <c r="E394" s="119"/>
      <c r="G394" s="119"/>
    </row>
    <row r="395" spans="2:7" ht="13.2" x14ac:dyDescent="0.25">
      <c r="B395" s="284"/>
      <c r="C395" s="119"/>
      <c r="D395" s="241"/>
      <c r="E395" s="119"/>
      <c r="G395" s="119"/>
    </row>
    <row r="396" spans="2:7" ht="13.2" x14ac:dyDescent="0.25">
      <c r="B396" s="284"/>
      <c r="C396" s="119"/>
      <c r="D396" s="241"/>
      <c r="E396" s="119"/>
      <c r="G396" s="119"/>
    </row>
    <row r="397" spans="2:7" ht="13.2" x14ac:dyDescent="0.25">
      <c r="B397" s="284"/>
      <c r="C397" s="119"/>
      <c r="D397" s="241"/>
      <c r="E397" s="119"/>
      <c r="G397" s="119"/>
    </row>
    <row r="398" spans="2:7" ht="13.2" x14ac:dyDescent="0.25">
      <c r="B398" s="284"/>
      <c r="C398" s="119"/>
      <c r="D398" s="241"/>
      <c r="E398" s="119"/>
      <c r="G398" s="119"/>
    </row>
    <row r="399" spans="2:7" ht="13.2" x14ac:dyDescent="0.25">
      <c r="B399" s="284"/>
      <c r="C399" s="119"/>
      <c r="D399" s="241"/>
      <c r="E399" s="119"/>
      <c r="G399" s="119"/>
    </row>
    <row r="400" spans="2:7" ht="13.2" x14ac:dyDescent="0.25">
      <c r="B400" s="284"/>
      <c r="C400" s="119"/>
      <c r="D400" s="241"/>
      <c r="E400" s="119"/>
      <c r="G400" s="119"/>
    </row>
    <row r="401" spans="2:7" ht="13.2" x14ac:dyDescent="0.25">
      <c r="B401" s="284"/>
      <c r="C401" s="119"/>
      <c r="D401" s="241"/>
      <c r="E401" s="119"/>
      <c r="G401" s="119"/>
    </row>
    <row r="402" spans="2:7" ht="13.2" x14ac:dyDescent="0.25">
      <c r="B402" s="284"/>
      <c r="C402" s="119"/>
      <c r="D402" s="241"/>
      <c r="E402" s="119"/>
      <c r="G402" s="119"/>
    </row>
    <row r="403" spans="2:7" ht="13.2" x14ac:dyDescent="0.25">
      <c r="B403" s="284"/>
      <c r="C403" s="119"/>
      <c r="D403" s="241"/>
      <c r="E403" s="119"/>
      <c r="G403" s="119"/>
    </row>
    <row r="404" spans="2:7" ht="13.2" x14ac:dyDescent="0.25">
      <c r="B404" s="284"/>
      <c r="C404" s="119"/>
      <c r="D404" s="241"/>
      <c r="E404" s="119"/>
      <c r="G404" s="119"/>
    </row>
    <row r="405" spans="2:7" ht="13.2" x14ac:dyDescent="0.25">
      <c r="B405" s="284"/>
      <c r="C405" s="119"/>
      <c r="D405" s="241"/>
      <c r="E405" s="119"/>
      <c r="G405" s="119"/>
    </row>
    <row r="406" spans="2:7" ht="13.2" x14ac:dyDescent="0.25">
      <c r="B406" s="284"/>
      <c r="C406" s="119"/>
      <c r="D406" s="241"/>
      <c r="E406" s="119"/>
      <c r="G406" s="119"/>
    </row>
    <row r="407" spans="2:7" ht="13.2" x14ac:dyDescent="0.25">
      <c r="B407" s="284"/>
      <c r="C407" s="119"/>
      <c r="D407" s="241"/>
      <c r="E407" s="119"/>
      <c r="G407" s="119"/>
    </row>
    <row r="408" spans="2:7" ht="13.2" x14ac:dyDescent="0.25">
      <c r="B408" s="284"/>
      <c r="C408" s="119"/>
      <c r="D408" s="241"/>
      <c r="E408" s="119"/>
      <c r="G408" s="119"/>
    </row>
    <row r="409" spans="2:7" ht="13.2" x14ac:dyDescent="0.25">
      <c r="B409" s="284"/>
      <c r="C409" s="119"/>
      <c r="D409" s="241"/>
      <c r="E409" s="119"/>
      <c r="G409" s="119"/>
    </row>
    <row r="410" spans="2:7" ht="13.2" x14ac:dyDescent="0.25">
      <c r="B410" s="284"/>
      <c r="C410" s="119"/>
      <c r="D410" s="241"/>
      <c r="E410" s="119"/>
      <c r="G410" s="119"/>
    </row>
    <row r="411" spans="2:7" ht="13.2" x14ac:dyDescent="0.25">
      <c r="B411" s="284"/>
      <c r="C411" s="119"/>
      <c r="D411" s="241"/>
      <c r="E411" s="119"/>
      <c r="G411" s="119"/>
    </row>
    <row r="412" spans="2:7" ht="13.2" x14ac:dyDescent="0.25">
      <c r="B412" s="284"/>
      <c r="C412" s="119"/>
      <c r="D412" s="241"/>
      <c r="E412" s="119"/>
      <c r="G412" s="119"/>
    </row>
    <row r="413" spans="2:7" ht="13.2" x14ac:dyDescent="0.25">
      <c r="B413" s="284"/>
      <c r="C413" s="119"/>
      <c r="D413" s="241"/>
      <c r="E413" s="119"/>
      <c r="G413" s="119"/>
    </row>
    <row r="414" spans="2:7" ht="13.2" x14ac:dyDescent="0.25">
      <c r="B414" s="284"/>
      <c r="C414" s="119"/>
      <c r="D414" s="241"/>
      <c r="E414" s="119"/>
      <c r="G414" s="119"/>
    </row>
    <row r="415" spans="2:7" ht="13.2" x14ac:dyDescent="0.25">
      <c r="B415" s="284"/>
      <c r="C415" s="119"/>
      <c r="D415" s="241"/>
      <c r="E415" s="119"/>
      <c r="G415" s="119"/>
    </row>
    <row r="416" spans="2:7" ht="13.2" x14ac:dyDescent="0.25">
      <c r="B416" s="284"/>
      <c r="C416" s="119"/>
      <c r="D416" s="241"/>
      <c r="E416" s="119"/>
      <c r="G416" s="119"/>
    </row>
    <row r="417" spans="2:7" ht="13.2" x14ac:dyDescent="0.25">
      <c r="B417" s="284"/>
      <c r="C417" s="119"/>
      <c r="D417" s="241"/>
      <c r="E417" s="119"/>
      <c r="G417" s="119"/>
    </row>
    <row r="418" spans="2:7" ht="13.2" x14ac:dyDescent="0.25">
      <c r="B418" s="284"/>
      <c r="C418" s="119"/>
      <c r="D418" s="241"/>
      <c r="E418" s="119"/>
      <c r="G418" s="119"/>
    </row>
    <row r="419" spans="2:7" ht="13.2" x14ac:dyDescent="0.25">
      <c r="B419" s="284"/>
      <c r="C419" s="119"/>
      <c r="D419" s="241"/>
      <c r="E419" s="119"/>
      <c r="G419" s="119"/>
    </row>
    <row r="420" spans="2:7" ht="13.2" x14ac:dyDescent="0.25">
      <c r="B420" s="284"/>
      <c r="C420" s="119"/>
      <c r="D420" s="241"/>
      <c r="E420" s="119"/>
      <c r="G420" s="119"/>
    </row>
    <row r="421" spans="2:7" ht="13.2" x14ac:dyDescent="0.25">
      <c r="B421" s="284"/>
      <c r="C421" s="119"/>
      <c r="D421" s="241"/>
      <c r="E421" s="119"/>
      <c r="G421" s="119"/>
    </row>
    <row r="422" spans="2:7" ht="13.2" x14ac:dyDescent="0.25">
      <c r="B422" s="284"/>
      <c r="C422" s="119"/>
      <c r="D422" s="241"/>
      <c r="E422" s="119"/>
      <c r="G422" s="119"/>
    </row>
    <row r="423" spans="2:7" ht="13.2" x14ac:dyDescent="0.25">
      <c r="B423" s="284"/>
      <c r="C423" s="119"/>
      <c r="D423" s="241"/>
      <c r="E423" s="119"/>
      <c r="G423" s="119"/>
    </row>
    <row r="424" spans="2:7" ht="13.2" x14ac:dyDescent="0.25">
      <c r="B424" s="284"/>
      <c r="C424" s="119"/>
      <c r="D424" s="241"/>
      <c r="E424" s="119"/>
      <c r="G424" s="119"/>
    </row>
    <row r="425" spans="2:7" ht="13.2" x14ac:dyDescent="0.25">
      <c r="B425" s="284"/>
      <c r="C425" s="119"/>
      <c r="D425" s="241"/>
      <c r="E425" s="119"/>
      <c r="G425" s="119"/>
    </row>
    <row r="426" spans="2:7" ht="13.2" x14ac:dyDescent="0.25">
      <c r="B426" s="284"/>
      <c r="C426" s="119"/>
      <c r="D426" s="241"/>
      <c r="E426" s="119"/>
      <c r="G426" s="119"/>
    </row>
    <row r="427" spans="2:7" ht="13.2" x14ac:dyDescent="0.25">
      <c r="B427" s="284"/>
      <c r="C427" s="119"/>
      <c r="D427" s="241"/>
      <c r="E427" s="119"/>
      <c r="G427" s="119"/>
    </row>
    <row r="428" spans="2:7" ht="13.2" x14ac:dyDescent="0.25">
      <c r="B428" s="284"/>
      <c r="C428" s="119"/>
      <c r="D428" s="241"/>
      <c r="E428" s="119"/>
      <c r="G428" s="119"/>
    </row>
    <row r="429" spans="2:7" ht="13.2" x14ac:dyDescent="0.25">
      <c r="B429" s="284"/>
      <c r="C429" s="119"/>
      <c r="D429" s="241"/>
      <c r="E429" s="119"/>
      <c r="G429" s="119"/>
    </row>
    <row r="430" spans="2:7" ht="13.2" x14ac:dyDescent="0.25">
      <c r="B430" s="284"/>
      <c r="C430" s="119"/>
      <c r="D430" s="241"/>
      <c r="E430" s="119"/>
      <c r="G430" s="119"/>
    </row>
    <row r="431" spans="2:7" ht="13.2" x14ac:dyDescent="0.25">
      <c r="B431" s="284"/>
      <c r="C431" s="119"/>
      <c r="D431" s="241"/>
      <c r="E431" s="119"/>
      <c r="G431" s="119"/>
    </row>
    <row r="432" spans="2:7" ht="13.2" x14ac:dyDescent="0.25">
      <c r="B432" s="284"/>
      <c r="C432" s="119"/>
      <c r="D432" s="241"/>
      <c r="E432" s="119"/>
      <c r="G432" s="119"/>
    </row>
    <row r="433" spans="2:7" ht="13.2" x14ac:dyDescent="0.25">
      <c r="B433" s="284"/>
      <c r="C433" s="119"/>
      <c r="D433" s="241"/>
      <c r="E433" s="119"/>
      <c r="G433" s="119"/>
    </row>
    <row r="434" spans="2:7" ht="13.2" x14ac:dyDescent="0.25">
      <c r="B434" s="284"/>
      <c r="C434" s="119"/>
      <c r="D434" s="241"/>
      <c r="E434" s="119"/>
      <c r="G434" s="119"/>
    </row>
    <row r="435" spans="2:7" ht="13.2" x14ac:dyDescent="0.25">
      <c r="B435" s="284"/>
      <c r="C435" s="119"/>
      <c r="D435" s="241"/>
      <c r="E435" s="119"/>
      <c r="G435" s="119"/>
    </row>
    <row r="436" spans="2:7" ht="13.2" x14ac:dyDescent="0.25">
      <c r="B436" s="284"/>
      <c r="C436" s="119"/>
      <c r="D436" s="241"/>
      <c r="E436" s="119"/>
      <c r="G436" s="119"/>
    </row>
    <row r="437" spans="2:7" ht="13.2" x14ac:dyDescent="0.25">
      <c r="B437" s="284"/>
      <c r="C437" s="119"/>
      <c r="D437" s="241"/>
      <c r="E437" s="119"/>
      <c r="G437" s="119"/>
    </row>
    <row r="438" spans="2:7" ht="13.2" x14ac:dyDescent="0.25">
      <c r="B438" s="284"/>
      <c r="C438" s="119"/>
      <c r="D438" s="241"/>
      <c r="E438" s="119"/>
      <c r="G438" s="119"/>
    </row>
    <row r="439" spans="2:7" ht="13.2" x14ac:dyDescent="0.25">
      <c r="B439" s="284"/>
      <c r="C439" s="119"/>
      <c r="D439" s="241"/>
      <c r="E439" s="119"/>
      <c r="G439" s="119"/>
    </row>
    <row r="440" spans="2:7" ht="13.2" x14ac:dyDescent="0.25">
      <c r="B440" s="284"/>
      <c r="C440" s="119"/>
      <c r="D440" s="241"/>
      <c r="E440" s="119"/>
      <c r="G440" s="119"/>
    </row>
    <row r="441" spans="2:7" ht="13.2" x14ac:dyDescent="0.25">
      <c r="B441" s="284"/>
      <c r="C441" s="119"/>
      <c r="D441" s="241"/>
      <c r="E441" s="119"/>
      <c r="G441" s="119"/>
    </row>
    <row r="442" spans="2:7" ht="13.2" x14ac:dyDescent="0.25">
      <c r="B442" s="284"/>
      <c r="C442" s="119"/>
      <c r="D442" s="241"/>
      <c r="E442" s="119"/>
      <c r="G442" s="119"/>
    </row>
    <row r="443" spans="2:7" ht="13.2" x14ac:dyDescent="0.25">
      <c r="B443" s="284"/>
      <c r="C443" s="119"/>
      <c r="D443" s="241"/>
      <c r="E443" s="119"/>
      <c r="G443" s="119"/>
    </row>
    <row r="444" spans="2:7" ht="13.2" x14ac:dyDescent="0.25">
      <c r="B444" s="284"/>
      <c r="C444" s="119"/>
      <c r="D444" s="241"/>
      <c r="E444" s="119"/>
      <c r="G444" s="119"/>
    </row>
    <row r="445" spans="2:7" ht="13.2" x14ac:dyDescent="0.25">
      <c r="B445" s="284"/>
      <c r="C445" s="119"/>
      <c r="D445" s="241"/>
      <c r="E445" s="119"/>
      <c r="G445" s="119"/>
    </row>
    <row r="446" spans="2:7" ht="13.2" x14ac:dyDescent="0.25">
      <c r="B446" s="284"/>
      <c r="C446" s="119"/>
      <c r="D446" s="241"/>
      <c r="E446" s="119"/>
      <c r="G446" s="119"/>
    </row>
    <row r="447" spans="2:7" ht="13.2" x14ac:dyDescent="0.25">
      <c r="B447" s="284"/>
      <c r="C447" s="119"/>
      <c r="D447" s="241"/>
      <c r="E447" s="119"/>
      <c r="G447" s="119"/>
    </row>
    <row r="448" spans="2:7" ht="13.2" x14ac:dyDescent="0.25">
      <c r="B448" s="284"/>
      <c r="C448" s="119"/>
      <c r="D448" s="241"/>
      <c r="E448" s="119"/>
      <c r="G448" s="119"/>
    </row>
    <row r="449" spans="2:7" ht="13.2" x14ac:dyDescent="0.25">
      <c r="B449" s="284"/>
      <c r="C449" s="119"/>
      <c r="D449" s="241"/>
      <c r="E449" s="119"/>
      <c r="G449" s="119"/>
    </row>
    <row r="450" spans="2:7" ht="13.2" x14ac:dyDescent="0.25">
      <c r="B450" s="284"/>
      <c r="C450" s="119"/>
      <c r="D450" s="241"/>
      <c r="E450" s="119"/>
      <c r="G450" s="119"/>
    </row>
    <row r="451" spans="2:7" ht="13.2" x14ac:dyDescent="0.25">
      <c r="B451" s="284"/>
      <c r="C451" s="119"/>
      <c r="D451" s="241"/>
      <c r="E451" s="119"/>
      <c r="G451" s="119"/>
    </row>
    <row r="452" spans="2:7" ht="13.2" x14ac:dyDescent="0.25">
      <c r="B452" s="284"/>
      <c r="C452" s="119"/>
      <c r="D452" s="241"/>
      <c r="E452" s="119"/>
      <c r="G452" s="119"/>
    </row>
    <row r="453" spans="2:7" ht="13.2" x14ac:dyDescent="0.25">
      <c r="B453" s="284"/>
      <c r="C453" s="119"/>
      <c r="D453" s="241"/>
      <c r="E453" s="119"/>
      <c r="G453" s="119"/>
    </row>
    <row r="454" spans="2:7" ht="13.2" x14ac:dyDescent="0.25">
      <c r="B454" s="284"/>
      <c r="C454" s="119"/>
      <c r="D454" s="241"/>
      <c r="E454" s="119"/>
      <c r="G454" s="119"/>
    </row>
    <row r="455" spans="2:7" ht="13.2" x14ac:dyDescent="0.25">
      <c r="B455" s="284"/>
      <c r="C455" s="119"/>
      <c r="D455" s="241"/>
      <c r="E455" s="119"/>
      <c r="G455" s="119"/>
    </row>
    <row r="456" spans="2:7" ht="13.2" x14ac:dyDescent="0.25">
      <c r="B456" s="284"/>
      <c r="C456" s="119"/>
      <c r="D456" s="241"/>
      <c r="E456" s="119"/>
      <c r="G456" s="119"/>
    </row>
    <row r="457" spans="2:7" ht="13.2" x14ac:dyDescent="0.25">
      <c r="B457" s="284"/>
      <c r="C457" s="119"/>
      <c r="D457" s="241"/>
      <c r="E457" s="119"/>
      <c r="G457" s="119"/>
    </row>
    <row r="458" spans="2:7" ht="13.2" x14ac:dyDescent="0.25">
      <c r="B458" s="284"/>
      <c r="C458" s="119"/>
      <c r="D458" s="241"/>
      <c r="E458" s="119"/>
      <c r="G458" s="119"/>
    </row>
    <row r="459" spans="2:7" ht="13.2" x14ac:dyDescent="0.25">
      <c r="B459" s="284"/>
      <c r="C459" s="119"/>
      <c r="D459" s="241"/>
      <c r="E459" s="119"/>
      <c r="G459" s="119"/>
    </row>
    <row r="460" spans="2:7" ht="13.2" x14ac:dyDescent="0.25">
      <c r="B460" s="284"/>
      <c r="C460" s="119"/>
      <c r="D460" s="241"/>
      <c r="E460" s="119"/>
      <c r="G460" s="119"/>
    </row>
    <row r="461" spans="2:7" ht="13.2" x14ac:dyDescent="0.25">
      <c r="B461" s="284"/>
      <c r="C461" s="119"/>
      <c r="D461" s="241"/>
      <c r="E461" s="119"/>
      <c r="G461" s="119"/>
    </row>
    <row r="462" spans="2:7" ht="13.2" x14ac:dyDescent="0.25">
      <c r="B462" s="284"/>
      <c r="C462" s="119"/>
      <c r="D462" s="241"/>
      <c r="E462" s="119"/>
      <c r="G462" s="119"/>
    </row>
    <row r="463" spans="2:7" ht="13.2" x14ac:dyDescent="0.25">
      <c r="B463" s="284"/>
      <c r="C463" s="119"/>
      <c r="D463" s="241"/>
      <c r="E463" s="119"/>
      <c r="G463" s="119"/>
    </row>
    <row r="464" spans="2:7" ht="13.2" x14ac:dyDescent="0.25">
      <c r="B464" s="284"/>
      <c r="C464" s="119"/>
      <c r="D464" s="241"/>
      <c r="E464" s="119"/>
      <c r="G464" s="119"/>
    </row>
    <row r="465" spans="2:7" ht="13.2" x14ac:dyDescent="0.25">
      <c r="B465" s="284"/>
      <c r="C465" s="119"/>
      <c r="D465" s="241"/>
      <c r="E465" s="119"/>
      <c r="G465" s="119"/>
    </row>
    <row r="466" spans="2:7" ht="13.2" x14ac:dyDescent="0.25">
      <c r="B466" s="284"/>
      <c r="C466" s="119"/>
      <c r="D466" s="241"/>
      <c r="E466" s="119"/>
      <c r="G466" s="119"/>
    </row>
    <row r="467" spans="2:7" ht="13.2" x14ac:dyDescent="0.25">
      <c r="B467" s="284"/>
      <c r="C467" s="119"/>
      <c r="D467" s="241"/>
      <c r="E467" s="119"/>
      <c r="G467" s="119"/>
    </row>
    <row r="468" spans="2:7" ht="13.2" x14ac:dyDescent="0.25">
      <c r="B468" s="284"/>
      <c r="C468" s="119"/>
      <c r="D468" s="241"/>
      <c r="E468" s="119"/>
      <c r="G468" s="119"/>
    </row>
    <row r="469" spans="2:7" ht="13.2" x14ac:dyDescent="0.25">
      <c r="B469" s="284"/>
      <c r="C469" s="119"/>
      <c r="D469" s="241"/>
      <c r="E469" s="119"/>
      <c r="G469" s="119"/>
    </row>
    <row r="470" spans="2:7" ht="13.2" x14ac:dyDescent="0.25">
      <c r="B470" s="284"/>
      <c r="C470" s="119"/>
      <c r="D470" s="241"/>
      <c r="E470" s="119"/>
      <c r="G470" s="119"/>
    </row>
    <row r="471" spans="2:7" ht="13.2" x14ac:dyDescent="0.25">
      <c r="B471" s="284"/>
      <c r="C471" s="119"/>
      <c r="D471" s="241"/>
      <c r="E471" s="119"/>
      <c r="G471" s="119"/>
    </row>
    <row r="472" spans="2:7" ht="13.2" x14ac:dyDescent="0.25">
      <c r="B472" s="284"/>
      <c r="C472" s="119"/>
      <c r="D472" s="241"/>
      <c r="E472" s="119"/>
      <c r="G472" s="119"/>
    </row>
    <row r="473" spans="2:7" ht="13.2" x14ac:dyDescent="0.25">
      <c r="B473" s="284"/>
      <c r="C473" s="119"/>
      <c r="D473" s="241"/>
      <c r="E473" s="119"/>
      <c r="G473" s="119"/>
    </row>
    <row r="474" spans="2:7" ht="13.2" x14ac:dyDescent="0.25">
      <c r="B474" s="284"/>
      <c r="C474" s="119"/>
      <c r="D474" s="241"/>
      <c r="E474" s="119"/>
      <c r="G474" s="119"/>
    </row>
    <row r="475" spans="2:7" ht="13.2" x14ac:dyDescent="0.25">
      <c r="B475" s="284"/>
      <c r="C475" s="119"/>
      <c r="D475" s="241"/>
      <c r="E475" s="119"/>
      <c r="G475" s="119"/>
    </row>
    <row r="476" spans="2:7" ht="13.2" x14ac:dyDescent="0.25">
      <c r="B476" s="284"/>
      <c r="C476" s="119"/>
      <c r="D476" s="241"/>
      <c r="E476" s="119"/>
      <c r="G476" s="119"/>
    </row>
    <row r="477" spans="2:7" ht="13.2" x14ac:dyDescent="0.25">
      <c r="B477" s="284"/>
      <c r="C477" s="119"/>
      <c r="D477" s="241"/>
      <c r="E477" s="119"/>
      <c r="G477" s="119"/>
    </row>
    <row r="478" spans="2:7" ht="13.2" x14ac:dyDescent="0.25">
      <c r="B478" s="284"/>
      <c r="C478" s="119"/>
      <c r="D478" s="241"/>
      <c r="E478" s="119"/>
      <c r="G478" s="119"/>
    </row>
    <row r="479" spans="2:7" ht="13.2" x14ac:dyDescent="0.25">
      <c r="B479" s="284"/>
      <c r="C479" s="119"/>
      <c r="D479" s="241"/>
      <c r="E479" s="119"/>
      <c r="G479" s="119"/>
    </row>
    <row r="480" spans="2:7" ht="13.2" x14ac:dyDescent="0.25">
      <c r="B480" s="284"/>
      <c r="C480" s="119"/>
      <c r="D480" s="241"/>
      <c r="E480" s="119"/>
      <c r="G480" s="119"/>
    </row>
    <row r="481" spans="2:7" ht="13.2" x14ac:dyDescent="0.25">
      <c r="B481" s="284"/>
      <c r="C481" s="119"/>
      <c r="D481" s="241"/>
      <c r="E481" s="119"/>
      <c r="G481" s="119"/>
    </row>
    <row r="482" spans="2:7" ht="13.2" x14ac:dyDescent="0.25">
      <c r="B482" s="284"/>
      <c r="C482" s="119"/>
      <c r="D482" s="241"/>
      <c r="E482" s="119"/>
      <c r="G482" s="119"/>
    </row>
    <row r="483" spans="2:7" ht="13.2" x14ac:dyDescent="0.25">
      <c r="B483" s="284"/>
      <c r="C483" s="119"/>
      <c r="D483" s="241"/>
      <c r="E483" s="119"/>
      <c r="G483" s="119"/>
    </row>
    <row r="484" spans="2:7" ht="13.2" x14ac:dyDescent="0.25">
      <c r="B484" s="284"/>
      <c r="C484" s="119"/>
      <c r="D484" s="241"/>
      <c r="E484" s="119"/>
      <c r="G484" s="119"/>
    </row>
    <row r="485" spans="2:7" ht="13.2" x14ac:dyDescent="0.25">
      <c r="B485" s="284"/>
      <c r="C485" s="119"/>
      <c r="D485" s="241"/>
      <c r="E485" s="119"/>
      <c r="G485" s="119"/>
    </row>
    <row r="486" spans="2:7" ht="13.2" x14ac:dyDescent="0.25">
      <c r="B486" s="284"/>
      <c r="C486" s="119"/>
      <c r="D486" s="241"/>
      <c r="E486" s="119"/>
      <c r="G486" s="119"/>
    </row>
    <row r="487" spans="2:7" ht="13.2" x14ac:dyDescent="0.25">
      <c r="B487" s="284"/>
      <c r="C487" s="119"/>
      <c r="D487" s="241"/>
      <c r="E487" s="119"/>
      <c r="G487" s="119"/>
    </row>
    <row r="488" spans="2:7" ht="13.2" x14ac:dyDescent="0.25">
      <c r="B488" s="284"/>
      <c r="C488" s="119"/>
      <c r="D488" s="241"/>
      <c r="E488" s="119"/>
      <c r="G488" s="119"/>
    </row>
    <row r="489" spans="2:7" ht="13.2" x14ac:dyDescent="0.25">
      <c r="B489" s="284"/>
      <c r="C489" s="119"/>
      <c r="D489" s="241"/>
      <c r="E489" s="119"/>
      <c r="G489" s="119"/>
    </row>
    <row r="490" spans="2:7" ht="13.2" x14ac:dyDescent="0.25">
      <c r="B490" s="284"/>
      <c r="C490" s="119"/>
      <c r="D490" s="241"/>
      <c r="E490" s="119"/>
      <c r="G490" s="119"/>
    </row>
    <row r="491" spans="2:7" ht="13.2" x14ac:dyDescent="0.25">
      <c r="B491" s="284"/>
      <c r="C491" s="119"/>
      <c r="D491" s="241"/>
      <c r="E491" s="119"/>
      <c r="G491" s="119"/>
    </row>
    <row r="492" spans="2:7" ht="13.2" x14ac:dyDescent="0.25">
      <c r="B492" s="284"/>
      <c r="C492" s="119"/>
      <c r="D492" s="241"/>
      <c r="E492" s="119"/>
      <c r="G492" s="119"/>
    </row>
    <row r="493" spans="2:7" ht="13.2" x14ac:dyDescent="0.25">
      <c r="B493" s="284"/>
      <c r="C493" s="119"/>
      <c r="D493" s="241"/>
      <c r="E493" s="119"/>
      <c r="G493" s="119"/>
    </row>
    <row r="494" spans="2:7" ht="13.2" x14ac:dyDescent="0.25">
      <c r="B494" s="284"/>
      <c r="C494" s="119"/>
      <c r="D494" s="241"/>
      <c r="E494" s="119"/>
      <c r="G494" s="119"/>
    </row>
    <row r="495" spans="2:7" ht="13.2" x14ac:dyDescent="0.25">
      <c r="B495" s="284"/>
      <c r="C495" s="119"/>
      <c r="D495" s="241"/>
      <c r="E495" s="119"/>
      <c r="G495" s="119"/>
    </row>
    <row r="496" spans="2:7" ht="13.2" x14ac:dyDescent="0.25">
      <c r="B496" s="284"/>
      <c r="C496" s="119"/>
      <c r="D496" s="241"/>
      <c r="E496" s="119"/>
      <c r="G496" s="119"/>
    </row>
    <row r="497" spans="2:7" ht="13.2" x14ac:dyDescent="0.25">
      <c r="B497" s="284"/>
      <c r="C497" s="119"/>
      <c r="D497" s="241"/>
      <c r="E497" s="119"/>
      <c r="G497" s="119"/>
    </row>
    <row r="498" spans="2:7" ht="13.2" x14ac:dyDescent="0.25">
      <c r="B498" s="284"/>
      <c r="C498" s="119"/>
      <c r="D498" s="241"/>
      <c r="E498" s="119"/>
      <c r="G498" s="119"/>
    </row>
    <row r="499" spans="2:7" ht="13.2" x14ac:dyDescent="0.25">
      <c r="B499" s="284"/>
      <c r="C499" s="119"/>
      <c r="D499" s="241"/>
      <c r="E499" s="119"/>
      <c r="G499" s="119"/>
    </row>
    <row r="500" spans="2:7" ht="13.2" x14ac:dyDescent="0.25">
      <c r="B500" s="284"/>
      <c r="C500" s="119"/>
      <c r="D500" s="241"/>
      <c r="E500" s="119"/>
      <c r="G500" s="119"/>
    </row>
    <row r="501" spans="2:7" ht="13.2" x14ac:dyDescent="0.25">
      <c r="B501" s="284"/>
      <c r="C501" s="119"/>
      <c r="D501" s="241"/>
      <c r="E501" s="119"/>
      <c r="G501" s="119"/>
    </row>
    <row r="502" spans="2:7" ht="13.2" x14ac:dyDescent="0.25">
      <c r="B502" s="284"/>
      <c r="C502" s="119"/>
      <c r="D502" s="241"/>
      <c r="E502" s="119"/>
      <c r="G502" s="119"/>
    </row>
    <row r="503" spans="2:7" ht="13.2" x14ac:dyDescent="0.25">
      <c r="B503" s="284"/>
      <c r="C503" s="119"/>
      <c r="D503" s="241"/>
      <c r="E503" s="119"/>
      <c r="G503" s="119"/>
    </row>
    <row r="504" spans="2:7" ht="13.2" x14ac:dyDescent="0.25">
      <c r="B504" s="284"/>
      <c r="C504" s="119"/>
      <c r="D504" s="241"/>
      <c r="E504" s="119"/>
      <c r="G504" s="119"/>
    </row>
    <row r="505" spans="2:7" ht="13.2" x14ac:dyDescent="0.25">
      <c r="B505" s="284"/>
      <c r="C505" s="119"/>
      <c r="D505" s="241"/>
      <c r="E505" s="119"/>
      <c r="G505" s="119"/>
    </row>
    <row r="506" spans="2:7" ht="13.2" x14ac:dyDescent="0.25">
      <c r="B506" s="284"/>
      <c r="C506" s="119"/>
      <c r="D506" s="241"/>
      <c r="E506" s="119"/>
      <c r="G506" s="119"/>
    </row>
    <row r="507" spans="2:7" ht="13.2" x14ac:dyDescent="0.25">
      <c r="B507" s="284"/>
      <c r="C507" s="119"/>
      <c r="D507" s="241"/>
      <c r="E507" s="119"/>
      <c r="G507" s="119"/>
    </row>
    <row r="508" spans="2:7" ht="13.2" x14ac:dyDescent="0.25">
      <c r="B508" s="284"/>
      <c r="C508" s="119"/>
      <c r="D508" s="241"/>
      <c r="E508" s="119"/>
      <c r="G508" s="119"/>
    </row>
    <row r="509" spans="2:7" ht="13.2" x14ac:dyDescent="0.25">
      <c r="B509" s="284"/>
      <c r="C509" s="119"/>
      <c r="D509" s="241"/>
      <c r="E509" s="119"/>
      <c r="G509" s="119"/>
    </row>
    <row r="510" spans="2:7" ht="13.2" x14ac:dyDescent="0.25">
      <c r="B510" s="284"/>
      <c r="C510" s="119"/>
      <c r="D510" s="241"/>
      <c r="E510" s="119"/>
      <c r="G510" s="119"/>
    </row>
    <row r="511" spans="2:7" ht="13.2" x14ac:dyDescent="0.25">
      <c r="B511" s="284"/>
      <c r="C511" s="119"/>
      <c r="D511" s="241"/>
      <c r="E511" s="119"/>
      <c r="G511" s="119"/>
    </row>
    <row r="512" spans="2:7" ht="13.2" x14ac:dyDescent="0.25">
      <c r="B512" s="284"/>
      <c r="C512" s="119"/>
      <c r="D512" s="241"/>
      <c r="E512" s="119"/>
      <c r="G512" s="119"/>
    </row>
    <row r="513" spans="2:7" ht="13.2" x14ac:dyDescent="0.25">
      <c r="B513" s="284"/>
      <c r="C513" s="119"/>
      <c r="D513" s="241"/>
      <c r="E513" s="119"/>
      <c r="G513" s="119"/>
    </row>
    <row r="514" spans="2:7" ht="13.2" x14ac:dyDescent="0.25">
      <c r="B514" s="284"/>
      <c r="C514" s="119"/>
      <c r="D514" s="241"/>
      <c r="E514" s="119"/>
      <c r="G514" s="119"/>
    </row>
    <row r="515" spans="2:7" ht="13.2" x14ac:dyDescent="0.25">
      <c r="B515" s="284"/>
      <c r="C515" s="119"/>
      <c r="D515" s="241"/>
      <c r="E515" s="119"/>
      <c r="G515" s="119"/>
    </row>
    <row r="516" spans="2:7" ht="13.2" x14ac:dyDescent="0.25">
      <c r="B516" s="284"/>
      <c r="C516" s="119"/>
      <c r="D516" s="241"/>
      <c r="E516" s="119"/>
      <c r="G516" s="119"/>
    </row>
    <row r="517" spans="2:7" ht="13.2" x14ac:dyDescent="0.25">
      <c r="B517" s="284"/>
      <c r="C517" s="119"/>
      <c r="D517" s="241"/>
      <c r="E517" s="119"/>
      <c r="G517" s="119"/>
    </row>
    <row r="518" spans="2:7" ht="13.2" x14ac:dyDescent="0.25">
      <c r="B518" s="284"/>
      <c r="C518" s="119"/>
      <c r="D518" s="241"/>
      <c r="E518" s="119"/>
      <c r="G518" s="119"/>
    </row>
    <row r="519" spans="2:7" ht="13.2" x14ac:dyDescent="0.25">
      <c r="B519" s="284"/>
      <c r="C519" s="119"/>
      <c r="D519" s="241"/>
      <c r="E519" s="119"/>
      <c r="G519" s="119"/>
    </row>
    <row r="520" spans="2:7" ht="13.2" x14ac:dyDescent="0.25">
      <c r="B520" s="284"/>
      <c r="C520" s="119"/>
      <c r="D520" s="241"/>
      <c r="E520" s="119"/>
      <c r="G520" s="119"/>
    </row>
    <row r="521" spans="2:7" ht="13.2" x14ac:dyDescent="0.25">
      <c r="B521" s="284"/>
      <c r="C521" s="119"/>
      <c r="D521" s="241"/>
      <c r="E521" s="119"/>
      <c r="G521" s="119"/>
    </row>
    <row r="522" spans="2:7" ht="13.2" x14ac:dyDescent="0.25">
      <c r="B522" s="284"/>
      <c r="C522" s="119"/>
      <c r="D522" s="241"/>
      <c r="E522" s="119"/>
      <c r="G522" s="119"/>
    </row>
    <row r="523" spans="2:7" ht="13.2" x14ac:dyDescent="0.25">
      <c r="B523" s="284"/>
      <c r="C523" s="119"/>
      <c r="D523" s="241"/>
      <c r="E523" s="119"/>
      <c r="G523" s="119"/>
    </row>
    <row r="524" spans="2:7" ht="13.2" x14ac:dyDescent="0.25">
      <c r="B524" s="284"/>
      <c r="C524" s="119"/>
      <c r="D524" s="241"/>
      <c r="E524" s="119"/>
      <c r="G524" s="119"/>
    </row>
    <row r="525" spans="2:7" ht="13.2" x14ac:dyDescent="0.25">
      <c r="B525" s="284"/>
      <c r="C525" s="119"/>
      <c r="D525" s="241"/>
      <c r="E525" s="119"/>
      <c r="G525" s="119"/>
    </row>
    <row r="526" spans="2:7" ht="13.2" x14ac:dyDescent="0.25">
      <c r="B526" s="284"/>
      <c r="C526" s="119"/>
      <c r="D526" s="241"/>
      <c r="E526" s="119"/>
      <c r="G526" s="119"/>
    </row>
    <row r="527" spans="2:7" ht="13.2" x14ac:dyDescent="0.25">
      <c r="B527" s="284"/>
      <c r="C527" s="119"/>
      <c r="D527" s="241"/>
      <c r="E527" s="119"/>
      <c r="G527" s="119"/>
    </row>
    <row r="528" spans="2:7" ht="13.2" x14ac:dyDescent="0.25">
      <c r="B528" s="284"/>
      <c r="C528" s="119"/>
      <c r="D528" s="241"/>
      <c r="E528" s="119"/>
      <c r="G528" s="119"/>
    </row>
    <row r="529" spans="2:7" ht="13.2" x14ac:dyDescent="0.25">
      <c r="B529" s="284"/>
      <c r="C529" s="119"/>
      <c r="D529" s="241"/>
      <c r="E529" s="119"/>
      <c r="G529" s="119"/>
    </row>
    <row r="530" spans="2:7" ht="13.2" x14ac:dyDescent="0.25">
      <c r="B530" s="284"/>
      <c r="C530" s="119"/>
      <c r="D530" s="241"/>
      <c r="E530" s="119"/>
      <c r="G530" s="119"/>
    </row>
    <row r="531" spans="2:7" ht="13.2" x14ac:dyDescent="0.25">
      <c r="B531" s="284"/>
      <c r="C531" s="119"/>
      <c r="D531" s="241"/>
      <c r="E531" s="119"/>
      <c r="G531" s="119"/>
    </row>
    <row r="532" spans="2:7" ht="13.2" x14ac:dyDescent="0.25">
      <c r="B532" s="284"/>
      <c r="C532" s="119"/>
      <c r="D532" s="241"/>
      <c r="E532" s="119"/>
      <c r="G532" s="119"/>
    </row>
    <row r="533" spans="2:7" ht="13.2" x14ac:dyDescent="0.25">
      <c r="B533" s="284"/>
      <c r="C533" s="119"/>
      <c r="D533" s="241"/>
      <c r="E533" s="119"/>
      <c r="G533" s="119"/>
    </row>
    <row r="534" spans="2:7" ht="13.2" x14ac:dyDescent="0.25">
      <c r="B534" s="284"/>
      <c r="C534" s="119"/>
      <c r="D534" s="241"/>
      <c r="E534" s="119"/>
      <c r="G534" s="119"/>
    </row>
    <row r="535" spans="2:7" ht="13.2" x14ac:dyDescent="0.25">
      <c r="B535" s="284"/>
      <c r="C535" s="119"/>
      <c r="D535" s="241"/>
      <c r="E535" s="119"/>
      <c r="G535" s="119"/>
    </row>
    <row r="536" spans="2:7" ht="13.2" x14ac:dyDescent="0.25">
      <c r="B536" s="284"/>
      <c r="C536" s="119"/>
      <c r="D536" s="241"/>
      <c r="E536" s="119"/>
      <c r="G536" s="119"/>
    </row>
    <row r="537" spans="2:7" ht="13.2" x14ac:dyDescent="0.25">
      <c r="B537" s="284"/>
      <c r="C537" s="119"/>
      <c r="D537" s="241"/>
      <c r="E537" s="119"/>
      <c r="G537" s="119"/>
    </row>
    <row r="538" spans="2:7" ht="13.2" x14ac:dyDescent="0.25">
      <c r="B538" s="284"/>
      <c r="C538" s="119"/>
      <c r="D538" s="241"/>
      <c r="E538" s="119"/>
      <c r="G538" s="119"/>
    </row>
    <row r="539" spans="2:7" ht="13.2" x14ac:dyDescent="0.25">
      <c r="B539" s="284"/>
      <c r="C539" s="119"/>
      <c r="D539" s="241"/>
      <c r="E539" s="119"/>
      <c r="G539" s="119"/>
    </row>
    <row r="540" spans="2:7" ht="13.2" x14ac:dyDescent="0.25">
      <c r="B540" s="284"/>
      <c r="C540" s="119"/>
      <c r="D540" s="241"/>
      <c r="E540" s="119"/>
      <c r="G540" s="119"/>
    </row>
    <row r="541" spans="2:7" ht="13.2" x14ac:dyDescent="0.25">
      <c r="B541" s="284"/>
      <c r="C541" s="119"/>
      <c r="D541" s="241"/>
      <c r="E541" s="119"/>
      <c r="G541" s="119"/>
    </row>
    <row r="542" spans="2:7" ht="13.2" x14ac:dyDescent="0.25">
      <c r="B542" s="284"/>
      <c r="C542" s="119"/>
      <c r="D542" s="241"/>
      <c r="E542" s="119"/>
      <c r="G542" s="119"/>
    </row>
    <row r="543" spans="2:7" ht="13.2" x14ac:dyDescent="0.25">
      <c r="B543" s="284"/>
      <c r="C543" s="119"/>
      <c r="D543" s="241"/>
      <c r="E543" s="119"/>
      <c r="G543" s="119"/>
    </row>
    <row r="544" spans="2:7" ht="13.2" x14ac:dyDescent="0.25">
      <c r="B544" s="284"/>
      <c r="C544" s="119"/>
      <c r="D544" s="241"/>
      <c r="E544" s="119"/>
      <c r="G544" s="119"/>
    </row>
    <row r="545" spans="2:7" ht="13.2" x14ac:dyDescent="0.25">
      <c r="B545" s="284"/>
      <c r="C545" s="119"/>
      <c r="D545" s="241"/>
      <c r="E545" s="119"/>
      <c r="G545" s="119"/>
    </row>
    <row r="546" spans="2:7" ht="13.2" x14ac:dyDescent="0.25">
      <c r="B546" s="284"/>
      <c r="C546" s="119"/>
      <c r="D546" s="241"/>
      <c r="E546" s="119"/>
      <c r="G546" s="119"/>
    </row>
    <row r="547" spans="2:7" ht="13.2" x14ac:dyDescent="0.25">
      <c r="B547" s="284"/>
      <c r="C547" s="119"/>
      <c r="D547" s="241"/>
      <c r="E547" s="119"/>
      <c r="G547" s="119"/>
    </row>
    <row r="548" spans="2:7" ht="13.2" x14ac:dyDescent="0.25">
      <c r="B548" s="284"/>
      <c r="C548" s="119"/>
      <c r="D548" s="241"/>
      <c r="E548" s="119"/>
      <c r="G548" s="119"/>
    </row>
    <row r="549" spans="2:7" ht="13.2" x14ac:dyDescent="0.25">
      <c r="B549" s="284"/>
      <c r="C549" s="119"/>
      <c r="D549" s="241"/>
      <c r="E549" s="119"/>
      <c r="G549" s="119"/>
    </row>
    <row r="550" spans="2:7" ht="13.2" x14ac:dyDescent="0.25">
      <c r="B550" s="284"/>
      <c r="C550" s="119"/>
      <c r="D550" s="241"/>
      <c r="E550" s="119"/>
      <c r="G550" s="119"/>
    </row>
    <row r="551" spans="2:7" ht="13.2" x14ac:dyDescent="0.25">
      <c r="B551" s="284"/>
      <c r="C551" s="119"/>
      <c r="D551" s="241"/>
      <c r="E551" s="119"/>
      <c r="G551" s="119"/>
    </row>
    <row r="552" spans="2:7" ht="13.2" x14ac:dyDescent="0.25">
      <c r="B552" s="284"/>
      <c r="C552" s="119"/>
      <c r="D552" s="241"/>
      <c r="E552" s="119"/>
      <c r="G552" s="119"/>
    </row>
    <row r="553" spans="2:7" ht="13.2" x14ac:dyDescent="0.25">
      <c r="B553" s="284"/>
      <c r="C553" s="119"/>
      <c r="D553" s="241"/>
      <c r="E553" s="119"/>
      <c r="G553" s="119"/>
    </row>
    <row r="554" spans="2:7" ht="13.2" x14ac:dyDescent="0.25">
      <c r="B554" s="284"/>
      <c r="C554" s="119"/>
      <c r="D554" s="241"/>
      <c r="E554" s="119"/>
      <c r="G554" s="119"/>
    </row>
    <row r="555" spans="2:7" ht="13.2" x14ac:dyDescent="0.25">
      <c r="B555" s="284"/>
      <c r="C555" s="119"/>
      <c r="D555" s="241"/>
      <c r="E555" s="119"/>
      <c r="G555" s="119"/>
    </row>
    <row r="556" spans="2:7" ht="13.2" x14ac:dyDescent="0.25">
      <c r="B556" s="284"/>
      <c r="C556" s="119"/>
      <c r="D556" s="241"/>
      <c r="E556" s="119"/>
      <c r="G556" s="119"/>
    </row>
    <row r="557" spans="2:7" ht="13.2" x14ac:dyDescent="0.25">
      <c r="B557" s="284"/>
      <c r="C557" s="119"/>
      <c r="D557" s="241"/>
      <c r="E557" s="119"/>
      <c r="G557" s="119"/>
    </row>
    <row r="558" spans="2:7" ht="13.2" x14ac:dyDescent="0.25">
      <c r="B558" s="284"/>
      <c r="C558" s="119"/>
      <c r="D558" s="241"/>
      <c r="E558" s="119"/>
      <c r="G558" s="119"/>
    </row>
    <row r="559" spans="2:7" ht="13.2" x14ac:dyDescent="0.25">
      <c r="B559" s="284"/>
      <c r="C559" s="119"/>
      <c r="D559" s="241"/>
      <c r="E559" s="119"/>
      <c r="G559" s="119"/>
    </row>
    <row r="560" spans="2:7" ht="13.2" x14ac:dyDescent="0.25">
      <c r="B560" s="284"/>
      <c r="C560" s="119"/>
      <c r="D560" s="241"/>
      <c r="E560" s="119"/>
      <c r="G560" s="119"/>
    </row>
    <row r="561" spans="2:7" ht="13.2" x14ac:dyDescent="0.25">
      <c r="B561" s="284"/>
      <c r="C561" s="119"/>
      <c r="D561" s="241"/>
      <c r="E561" s="119"/>
      <c r="G561" s="119"/>
    </row>
    <row r="562" spans="2:7" ht="13.2" x14ac:dyDescent="0.25">
      <c r="B562" s="284"/>
      <c r="C562" s="119"/>
      <c r="D562" s="241"/>
      <c r="E562" s="119"/>
      <c r="G562" s="119"/>
    </row>
    <row r="563" spans="2:7" ht="13.2" x14ac:dyDescent="0.25">
      <c r="B563" s="284"/>
      <c r="C563" s="119"/>
      <c r="D563" s="241"/>
      <c r="E563" s="119"/>
      <c r="G563" s="119"/>
    </row>
    <row r="564" spans="2:7" ht="13.2" x14ac:dyDescent="0.25">
      <c r="B564" s="284"/>
      <c r="C564" s="119"/>
      <c r="D564" s="241"/>
      <c r="E564" s="119"/>
      <c r="G564" s="119"/>
    </row>
    <row r="565" spans="2:7" ht="13.2" x14ac:dyDescent="0.25">
      <c r="B565" s="284"/>
      <c r="C565" s="119"/>
      <c r="D565" s="241"/>
      <c r="E565" s="119"/>
      <c r="G565" s="119"/>
    </row>
    <row r="566" spans="2:7" ht="13.2" x14ac:dyDescent="0.25">
      <c r="B566" s="284"/>
      <c r="C566" s="119"/>
      <c r="D566" s="241"/>
      <c r="E566" s="119"/>
      <c r="G566" s="119"/>
    </row>
    <row r="567" spans="2:7" ht="13.2" x14ac:dyDescent="0.25">
      <c r="B567" s="284"/>
      <c r="C567" s="119"/>
      <c r="D567" s="241"/>
      <c r="E567" s="119"/>
      <c r="G567" s="119"/>
    </row>
    <row r="568" spans="2:7" ht="13.2" x14ac:dyDescent="0.25">
      <c r="B568" s="284"/>
      <c r="C568" s="119"/>
      <c r="D568" s="241"/>
      <c r="E568" s="119"/>
      <c r="G568" s="119"/>
    </row>
    <row r="569" spans="2:7" ht="13.2" x14ac:dyDescent="0.25">
      <c r="B569" s="284"/>
      <c r="C569" s="119"/>
      <c r="D569" s="241"/>
      <c r="E569" s="119"/>
      <c r="G569" s="119"/>
    </row>
    <row r="570" spans="2:7" ht="13.2" x14ac:dyDescent="0.25">
      <c r="B570" s="284"/>
      <c r="C570" s="119"/>
      <c r="D570" s="241"/>
      <c r="E570" s="119"/>
      <c r="G570" s="119"/>
    </row>
    <row r="571" spans="2:7" ht="13.2" x14ac:dyDescent="0.25">
      <c r="B571" s="284"/>
      <c r="C571" s="119"/>
      <c r="D571" s="241"/>
      <c r="E571" s="119"/>
      <c r="G571" s="119"/>
    </row>
    <row r="572" spans="2:7" ht="13.2" x14ac:dyDescent="0.25">
      <c r="B572" s="284"/>
      <c r="C572" s="119"/>
      <c r="D572" s="241"/>
      <c r="E572" s="119"/>
      <c r="G572" s="119"/>
    </row>
    <row r="573" spans="2:7" ht="13.2" x14ac:dyDescent="0.25">
      <c r="B573" s="284"/>
      <c r="C573" s="119"/>
      <c r="D573" s="241"/>
      <c r="E573" s="119"/>
      <c r="G573" s="119"/>
    </row>
    <row r="574" spans="2:7" ht="13.2" x14ac:dyDescent="0.25">
      <c r="B574" s="284"/>
      <c r="C574" s="119"/>
      <c r="D574" s="241"/>
      <c r="E574" s="119"/>
      <c r="G574" s="119"/>
    </row>
    <row r="575" spans="2:7" ht="13.2" x14ac:dyDescent="0.25">
      <c r="B575" s="284"/>
      <c r="C575" s="119"/>
      <c r="D575" s="241"/>
      <c r="E575" s="119"/>
      <c r="G575" s="119"/>
    </row>
    <row r="576" spans="2:7" ht="13.2" x14ac:dyDescent="0.25">
      <c r="B576" s="284"/>
      <c r="C576" s="119"/>
      <c r="D576" s="241"/>
      <c r="E576" s="119"/>
      <c r="G576" s="119"/>
    </row>
    <row r="577" spans="2:7" ht="13.2" x14ac:dyDescent="0.25">
      <c r="B577" s="284"/>
      <c r="C577" s="119"/>
      <c r="D577" s="241"/>
      <c r="E577" s="119"/>
      <c r="G577" s="119"/>
    </row>
    <row r="578" spans="2:7" ht="13.2" x14ac:dyDescent="0.25">
      <c r="B578" s="284"/>
      <c r="C578" s="119"/>
      <c r="D578" s="241"/>
      <c r="E578" s="119"/>
      <c r="G578" s="119"/>
    </row>
    <row r="579" spans="2:7" ht="13.2" x14ac:dyDescent="0.25">
      <c r="B579" s="284"/>
      <c r="C579" s="119"/>
      <c r="D579" s="241"/>
      <c r="E579" s="119"/>
      <c r="G579" s="119"/>
    </row>
    <row r="580" spans="2:7" ht="13.2" x14ac:dyDescent="0.25">
      <c r="B580" s="284"/>
      <c r="C580" s="119"/>
      <c r="D580" s="241"/>
      <c r="E580" s="119"/>
      <c r="G580" s="119"/>
    </row>
    <row r="581" spans="2:7" ht="13.2" x14ac:dyDescent="0.25">
      <c r="B581" s="284"/>
      <c r="C581" s="119"/>
      <c r="D581" s="241"/>
      <c r="E581" s="119"/>
      <c r="G581" s="119"/>
    </row>
    <row r="582" spans="2:7" ht="13.2" x14ac:dyDescent="0.25">
      <c r="B582" s="284"/>
      <c r="C582" s="119"/>
      <c r="D582" s="241"/>
      <c r="E582" s="119"/>
      <c r="G582" s="119"/>
    </row>
    <row r="583" spans="2:7" ht="13.2" x14ac:dyDescent="0.25">
      <c r="B583" s="284"/>
      <c r="C583" s="119"/>
      <c r="D583" s="241"/>
      <c r="E583" s="119"/>
      <c r="G583" s="119"/>
    </row>
    <row r="584" spans="2:7" ht="13.2" x14ac:dyDescent="0.25">
      <c r="B584" s="284"/>
      <c r="C584" s="119"/>
      <c r="D584" s="241"/>
      <c r="E584" s="119"/>
      <c r="G584" s="119"/>
    </row>
    <row r="585" spans="2:7" ht="13.2" x14ac:dyDescent="0.25">
      <c r="B585" s="284"/>
      <c r="C585" s="119"/>
      <c r="D585" s="241"/>
      <c r="E585" s="119"/>
      <c r="G585" s="119"/>
    </row>
    <row r="586" spans="2:7" ht="13.2" x14ac:dyDescent="0.25">
      <c r="B586" s="284"/>
      <c r="C586" s="119"/>
      <c r="D586" s="241"/>
      <c r="E586" s="119"/>
      <c r="G586" s="119"/>
    </row>
    <row r="587" spans="2:7" ht="13.2" x14ac:dyDescent="0.25">
      <c r="B587" s="284"/>
      <c r="C587" s="119"/>
      <c r="D587" s="241"/>
      <c r="E587" s="119"/>
      <c r="G587" s="119"/>
    </row>
    <row r="588" spans="2:7" ht="13.2" x14ac:dyDescent="0.25">
      <c r="B588" s="284"/>
      <c r="C588" s="119"/>
      <c r="D588" s="241"/>
      <c r="E588" s="119"/>
      <c r="G588" s="119"/>
    </row>
    <row r="589" spans="2:7" ht="13.2" x14ac:dyDescent="0.25">
      <c r="B589" s="284"/>
      <c r="C589" s="119"/>
      <c r="D589" s="241"/>
      <c r="E589" s="119"/>
      <c r="G589" s="119"/>
    </row>
    <row r="590" spans="2:7" ht="13.2" x14ac:dyDescent="0.25">
      <c r="B590" s="284"/>
      <c r="C590" s="119"/>
      <c r="D590" s="241"/>
      <c r="E590" s="119"/>
      <c r="G590" s="119"/>
    </row>
    <row r="591" spans="2:7" ht="13.2" x14ac:dyDescent="0.25">
      <c r="B591" s="284"/>
      <c r="C591" s="119"/>
      <c r="D591" s="241"/>
      <c r="E591" s="119"/>
      <c r="G591" s="119"/>
    </row>
    <row r="592" spans="2:7" ht="13.2" x14ac:dyDescent="0.25">
      <c r="B592" s="284"/>
      <c r="C592" s="119"/>
      <c r="D592" s="241"/>
      <c r="E592" s="119"/>
      <c r="G592" s="119"/>
    </row>
    <row r="593" spans="2:7" ht="13.2" x14ac:dyDescent="0.25">
      <c r="B593" s="284"/>
      <c r="C593" s="119"/>
      <c r="D593" s="241"/>
      <c r="E593" s="119"/>
      <c r="G593" s="119"/>
    </row>
    <row r="594" spans="2:7" ht="13.2" x14ac:dyDescent="0.25">
      <c r="B594" s="284"/>
      <c r="C594" s="119"/>
      <c r="D594" s="241"/>
      <c r="E594" s="119"/>
      <c r="G594" s="119"/>
    </row>
    <row r="595" spans="2:7" ht="13.2" x14ac:dyDescent="0.25">
      <c r="B595" s="284"/>
      <c r="C595" s="119"/>
      <c r="D595" s="241"/>
      <c r="E595" s="119"/>
      <c r="G595" s="119"/>
    </row>
    <row r="596" spans="2:7" ht="13.2" x14ac:dyDescent="0.25">
      <c r="B596" s="284"/>
      <c r="C596" s="119"/>
      <c r="D596" s="241"/>
      <c r="E596" s="119"/>
      <c r="G596" s="119"/>
    </row>
    <row r="597" spans="2:7" ht="13.2" x14ac:dyDescent="0.25">
      <c r="B597" s="284"/>
      <c r="C597" s="119"/>
      <c r="D597" s="241"/>
      <c r="E597" s="119"/>
      <c r="G597" s="119"/>
    </row>
    <row r="598" spans="2:7" ht="13.2" x14ac:dyDescent="0.25">
      <c r="B598" s="284"/>
      <c r="C598" s="119"/>
      <c r="D598" s="241"/>
      <c r="E598" s="119"/>
      <c r="G598" s="119"/>
    </row>
    <row r="599" spans="2:7" ht="13.2" x14ac:dyDescent="0.25">
      <c r="B599" s="284"/>
      <c r="C599" s="119"/>
      <c r="D599" s="241"/>
      <c r="E599" s="119"/>
      <c r="G599" s="119"/>
    </row>
    <row r="600" spans="2:7" ht="13.2" x14ac:dyDescent="0.25">
      <c r="B600" s="284"/>
      <c r="C600" s="119"/>
      <c r="D600" s="241"/>
      <c r="E600" s="119"/>
      <c r="G600" s="119"/>
    </row>
    <row r="601" spans="2:7" ht="13.2" x14ac:dyDescent="0.25">
      <c r="B601" s="284"/>
      <c r="C601" s="119"/>
      <c r="D601" s="241"/>
      <c r="E601" s="119"/>
      <c r="G601" s="119"/>
    </row>
    <row r="602" spans="2:7" ht="13.2" x14ac:dyDescent="0.25">
      <c r="B602" s="284"/>
      <c r="C602" s="119"/>
      <c r="D602" s="241"/>
      <c r="E602" s="119"/>
      <c r="G602" s="119"/>
    </row>
    <row r="603" spans="2:7" ht="13.2" x14ac:dyDescent="0.25">
      <c r="B603" s="284"/>
      <c r="C603" s="119"/>
      <c r="D603" s="241"/>
      <c r="E603" s="119"/>
      <c r="G603" s="119"/>
    </row>
    <row r="604" spans="2:7" ht="13.2" x14ac:dyDescent="0.25">
      <c r="B604" s="284"/>
      <c r="C604" s="119"/>
      <c r="D604" s="241"/>
      <c r="E604" s="119"/>
      <c r="G604" s="119"/>
    </row>
    <row r="605" spans="2:7" ht="13.2" x14ac:dyDescent="0.25">
      <c r="B605" s="284"/>
      <c r="C605" s="119"/>
      <c r="D605" s="241"/>
      <c r="E605" s="119"/>
      <c r="G605" s="119"/>
    </row>
    <row r="606" spans="2:7" ht="13.2" x14ac:dyDescent="0.25">
      <c r="B606" s="284"/>
      <c r="C606" s="119"/>
      <c r="D606" s="241"/>
      <c r="E606" s="119"/>
      <c r="G606" s="119"/>
    </row>
    <row r="607" spans="2:7" ht="13.2" x14ac:dyDescent="0.25">
      <c r="B607" s="284"/>
      <c r="C607" s="119"/>
      <c r="D607" s="241"/>
      <c r="E607" s="119"/>
      <c r="G607" s="119"/>
    </row>
    <row r="608" spans="2:7" ht="13.2" x14ac:dyDescent="0.25">
      <c r="B608" s="284"/>
      <c r="C608" s="119"/>
      <c r="D608" s="241"/>
      <c r="E608" s="119"/>
      <c r="G608" s="119"/>
    </row>
    <row r="609" spans="2:7" ht="13.2" x14ac:dyDescent="0.25">
      <c r="B609" s="284"/>
      <c r="C609" s="119"/>
      <c r="D609" s="241"/>
      <c r="E609" s="119"/>
      <c r="G609" s="119"/>
    </row>
    <row r="610" spans="2:7" ht="13.2" x14ac:dyDescent="0.25">
      <c r="B610" s="284"/>
      <c r="C610" s="119"/>
      <c r="D610" s="241"/>
      <c r="E610" s="119"/>
      <c r="G610" s="119"/>
    </row>
    <row r="611" spans="2:7" ht="13.2" x14ac:dyDescent="0.25">
      <c r="B611" s="284"/>
      <c r="C611" s="119"/>
      <c r="D611" s="241"/>
      <c r="E611" s="119"/>
      <c r="G611" s="119"/>
    </row>
    <row r="612" spans="2:7" ht="13.2" x14ac:dyDescent="0.25">
      <c r="B612" s="284"/>
      <c r="C612" s="119"/>
      <c r="D612" s="241"/>
      <c r="E612" s="119"/>
      <c r="G612" s="119"/>
    </row>
    <row r="613" spans="2:7" ht="13.2" x14ac:dyDescent="0.25">
      <c r="B613" s="284"/>
      <c r="C613" s="119"/>
      <c r="D613" s="241"/>
      <c r="E613" s="119"/>
      <c r="G613" s="119"/>
    </row>
    <row r="614" spans="2:7" ht="13.2" x14ac:dyDescent="0.25">
      <c r="B614" s="284"/>
      <c r="C614" s="119"/>
      <c r="D614" s="241"/>
      <c r="E614" s="119"/>
      <c r="G614" s="119"/>
    </row>
    <row r="615" spans="2:7" ht="13.2" x14ac:dyDescent="0.25">
      <c r="B615" s="284"/>
      <c r="C615" s="119"/>
      <c r="D615" s="241"/>
      <c r="E615" s="119"/>
      <c r="G615" s="119"/>
    </row>
    <row r="616" spans="2:7" ht="13.2" x14ac:dyDescent="0.25">
      <c r="B616" s="284"/>
      <c r="C616" s="119"/>
      <c r="D616" s="241"/>
      <c r="E616" s="119"/>
      <c r="G616" s="119"/>
    </row>
    <row r="617" spans="2:7" ht="13.2" x14ac:dyDescent="0.25">
      <c r="B617" s="284"/>
      <c r="C617" s="119"/>
      <c r="D617" s="241"/>
      <c r="E617" s="119"/>
      <c r="G617" s="119"/>
    </row>
    <row r="618" spans="2:7" ht="13.2" x14ac:dyDescent="0.25">
      <c r="B618" s="284"/>
      <c r="C618" s="119"/>
      <c r="D618" s="241"/>
      <c r="E618" s="119"/>
      <c r="G618" s="119"/>
    </row>
    <row r="619" spans="2:7" ht="13.2" x14ac:dyDescent="0.25">
      <c r="B619" s="284"/>
      <c r="C619" s="119"/>
      <c r="D619" s="241"/>
      <c r="E619" s="119"/>
      <c r="G619" s="119"/>
    </row>
    <row r="620" spans="2:7" ht="13.2" x14ac:dyDescent="0.25">
      <c r="B620" s="284"/>
      <c r="C620" s="119"/>
      <c r="D620" s="241"/>
      <c r="E620" s="119"/>
      <c r="G620" s="119"/>
    </row>
    <row r="621" spans="2:7" ht="13.2" x14ac:dyDescent="0.25">
      <c r="B621" s="284"/>
      <c r="C621" s="119"/>
      <c r="D621" s="241"/>
      <c r="E621" s="119"/>
      <c r="G621" s="119"/>
    </row>
    <row r="622" spans="2:7" ht="13.2" x14ac:dyDescent="0.25">
      <c r="B622" s="284"/>
      <c r="C622" s="119"/>
      <c r="D622" s="241"/>
      <c r="E622" s="119"/>
      <c r="G622" s="119"/>
    </row>
    <row r="623" spans="2:7" ht="13.2" x14ac:dyDescent="0.25">
      <c r="B623" s="284"/>
      <c r="C623" s="119"/>
      <c r="D623" s="241"/>
      <c r="E623" s="119"/>
      <c r="G623" s="119"/>
    </row>
    <row r="624" spans="2:7" ht="13.2" x14ac:dyDescent="0.25">
      <c r="B624" s="284"/>
      <c r="C624" s="119"/>
      <c r="D624" s="241"/>
      <c r="E624" s="119"/>
      <c r="G624" s="119"/>
    </row>
    <row r="625" spans="2:7" ht="13.2" x14ac:dyDescent="0.25">
      <c r="B625" s="284"/>
      <c r="C625" s="119"/>
      <c r="D625" s="241"/>
      <c r="E625" s="119"/>
      <c r="G625" s="119"/>
    </row>
    <row r="626" spans="2:7" ht="13.2" x14ac:dyDescent="0.25">
      <c r="B626" s="284"/>
      <c r="C626" s="119"/>
      <c r="D626" s="241"/>
      <c r="E626" s="119"/>
      <c r="G626" s="119"/>
    </row>
    <row r="627" spans="2:7" ht="13.2" x14ac:dyDescent="0.25">
      <c r="B627" s="284"/>
      <c r="C627" s="119"/>
      <c r="D627" s="241"/>
      <c r="E627" s="119"/>
      <c r="G627" s="119"/>
    </row>
    <row r="628" spans="2:7" ht="13.2" x14ac:dyDescent="0.25">
      <c r="B628" s="284"/>
      <c r="C628" s="119"/>
      <c r="D628" s="241"/>
      <c r="E628" s="119"/>
      <c r="G628" s="119"/>
    </row>
    <row r="629" spans="2:7" ht="13.2" x14ac:dyDescent="0.25">
      <c r="B629" s="284"/>
      <c r="C629" s="119"/>
      <c r="D629" s="241"/>
      <c r="E629" s="119"/>
      <c r="G629" s="119"/>
    </row>
    <row r="630" spans="2:7" ht="13.2" x14ac:dyDescent="0.25">
      <c r="B630" s="284"/>
      <c r="C630" s="119"/>
      <c r="D630" s="241"/>
      <c r="E630" s="119"/>
      <c r="G630" s="119"/>
    </row>
    <row r="631" spans="2:7" ht="13.2" x14ac:dyDescent="0.25">
      <c r="B631" s="284"/>
      <c r="C631" s="119"/>
      <c r="D631" s="241"/>
      <c r="E631" s="119"/>
      <c r="G631" s="119"/>
    </row>
    <row r="632" spans="2:7" ht="13.2" x14ac:dyDescent="0.25">
      <c r="B632" s="284"/>
      <c r="C632" s="119"/>
      <c r="D632" s="241"/>
      <c r="E632" s="119"/>
      <c r="G632" s="119"/>
    </row>
    <row r="633" spans="2:7" ht="13.2" x14ac:dyDescent="0.25">
      <c r="B633" s="284"/>
      <c r="C633" s="119"/>
      <c r="D633" s="241"/>
      <c r="E633" s="119"/>
      <c r="G633" s="119"/>
    </row>
    <row r="634" spans="2:7" ht="13.2" x14ac:dyDescent="0.25">
      <c r="B634" s="284"/>
      <c r="C634" s="119"/>
      <c r="D634" s="241"/>
      <c r="E634" s="119"/>
      <c r="G634" s="119"/>
    </row>
    <row r="635" spans="2:7" ht="13.2" x14ac:dyDescent="0.25">
      <c r="B635" s="284"/>
      <c r="C635" s="119"/>
      <c r="D635" s="241"/>
      <c r="E635" s="119"/>
      <c r="G635" s="119"/>
    </row>
    <row r="636" spans="2:7" ht="13.2" x14ac:dyDescent="0.25">
      <c r="B636" s="284"/>
      <c r="C636" s="119"/>
      <c r="D636" s="241"/>
      <c r="E636" s="119"/>
      <c r="G636" s="119"/>
    </row>
    <row r="637" spans="2:7" ht="13.2" x14ac:dyDescent="0.25">
      <c r="B637" s="284"/>
      <c r="C637" s="119"/>
      <c r="D637" s="241"/>
      <c r="E637" s="119"/>
      <c r="G637" s="119"/>
    </row>
    <row r="638" spans="2:7" ht="13.2" x14ac:dyDescent="0.25">
      <c r="B638" s="284"/>
      <c r="C638" s="119"/>
      <c r="D638" s="241"/>
      <c r="E638" s="119"/>
      <c r="G638" s="119"/>
    </row>
    <row r="639" spans="2:7" ht="13.2" x14ac:dyDescent="0.25">
      <c r="B639" s="284"/>
      <c r="C639" s="119"/>
      <c r="D639" s="241"/>
      <c r="E639" s="119"/>
      <c r="G639" s="119"/>
    </row>
    <row r="640" spans="2:7" ht="13.2" x14ac:dyDescent="0.25">
      <c r="B640" s="284"/>
      <c r="C640" s="119"/>
      <c r="D640" s="241"/>
      <c r="E640" s="119"/>
      <c r="G640" s="119"/>
    </row>
    <row r="641" spans="2:7" ht="13.2" x14ac:dyDescent="0.25">
      <c r="B641" s="284"/>
      <c r="C641" s="119"/>
      <c r="D641" s="241"/>
      <c r="E641" s="119"/>
      <c r="G641" s="119"/>
    </row>
    <row r="642" spans="2:7" ht="13.2" x14ac:dyDescent="0.25">
      <c r="B642" s="284"/>
      <c r="C642" s="119"/>
      <c r="D642" s="241"/>
      <c r="E642" s="119"/>
      <c r="G642" s="119"/>
    </row>
    <row r="643" spans="2:7" ht="13.2" x14ac:dyDescent="0.25">
      <c r="B643" s="284"/>
      <c r="C643" s="119"/>
      <c r="D643" s="241"/>
      <c r="E643" s="119"/>
      <c r="G643" s="119"/>
    </row>
    <row r="644" spans="2:7" ht="13.2" x14ac:dyDescent="0.25">
      <c r="B644" s="284"/>
      <c r="C644" s="119"/>
      <c r="D644" s="241"/>
      <c r="E644" s="119"/>
      <c r="G644" s="119"/>
    </row>
    <row r="645" spans="2:7" ht="13.2" x14ac:dyDescent="0.25">
      <c r="B645" s="284"/>
      <c r="C645" s="119"/>
      <c r="D645" s="241"/>
      <c r="E645" s="119"/>
      <c r="G645" s="119"/>
    </row>
    <row r="646" spans="2:7" ht="13.2" x14ac:dyDescent="0.25">
      <c r="B646" s="284"/>
      <c r="C646" s="119"/>
      <c r="D646" s="241"/>
      <c r="E646" s="119"/>
      <c r="G646" s="119"/>
    </row>
    <row r="647" spans="2:7" ht="13.2" x14ac:dyDescent="0.25">
      <c r="B647" s="284"/>
      <c r="C647" s="119"/>
      <c r="D647" s="241"/>
      <c r="E647" s="119"/>
      <c r="G647" s="119"/>
    </row>
    <row r="648" spans="2:7" ht="13.2" x14ac:dyDescent="0.25">
      <c r="B648" s="284"/>
      <c r="C648" s="119"/>
      <c r="D648" s="241"/>
      <c r="E648" s="119"/>
      <c r="G648" s="119"/>
    </row>
    <row r="649" spans="2:7" ht="13.2" x14ac:dyDescent="0.25">
      <c r="B649" s="284"/>
      <c r="C649" s="119"/>
      <c r="D649" s="241"/>
      <c r="E649" s="119"/>
      <c r="G649" s="119"/>
    </row>
    <row r="650" spans="2:7" ht="13.2" x14ac:dyDescent="0.25">
      <c r="B650" s="284"/>
      <c r="C650" s="119"/>
      <c r="D650" s="241"/>
      <c r="E650" s="119"/>
      <c r="G650" s="119"/>
    </row>
    <row r="651" spans="2:7" ht="13.2" x14ac:dyDescent="0.25">
      <c r="B651" s="284"/>
      <c r="C651" s="119"/>
      <c r="D651" s="241"/>
      <c r="E651" s="119"/>
      <c r="G651" s="119"/>
    </row>
    <row r="652" spans="2:7" ht="13.2" x14ac:dyDescent="0.25">
      <c r="B652" s="284"/>
      <c r="C652" s="119"/>
      <c r="D652" s="241"/>
      <c r="E652" s="119"/>
      <c r="G652" s="119"/>
    </row>
    <row r="653" spans="2:7" ht="13.2" x14ac:dyDescent="0.25">
      <c r="B653" s="284"/>
      <c r="C653" s="119"/>
      <c r="D653" s="241"/>
      <c r="E653" s="119"/>
      <c r="G653" s="119"/>
    </row>
    <row r="654" spans="2:7" ht="13.2" x14ac:dyDescent="0.25">
      <c r="B654" s="284"/>
      <c r="C654" s="119"/>
      <c r="D654" s="241"/>
      <c r="E654" s="119"/>
      <c r="G654" s="119"/>
    </row>
    <row r="655" spans="2:7" ht="13.2" x14ac:dyDescent="0.25">
      <c r="B655" s="284"/>
      <c r="C655" s="119"/>
      <c r="D655" s="241"/>
      <c r="E655" s="119"/>
      <c r="G655" s="119"/>
    </row>
    <row r="656" spans="2:7" ht="13.2" x14ac:dyDescent="0.25">
      <c r="B656" s="284"/>
      <c r="C656" s="119"/>
      <c r="D656" s="241"/>
      <c r="E656" s="119"/>
      <c r="G656" s="119"/>
    </row>
    <row r="657" spans="2:7" ht="13.2" x14ac:dyDescent="0.25">
      <c r="B657" s="284"/>
      <c r="C657" s="119"/>
      <c r="D657" s="241"/>
      <c r="E657" s="119"/>
      <c r="G657" s="119"/>
    </row>
    <row r="658" spans="2:7" ht="13.2" x14ac:dyDescent="0.25">
      <c r="B658" s="284"/>
      <c r="C658" s="119"/>
      <c r="D658" s="241"/>
      <c r="E658" s="119"/>
      <c r="G658" s="119"/>
    </row>
    <row r="659" spans="2:7" ht="13.2" x14ac:dyDescent="0.25">
      <c r="B659" s="284"/>
      <c r="C659" s="119"/>
      <c r="D659" s="241"/>
      <c r="E659" s="119"/>
      <c r="G659" s="119"/>
    </row>
    <row r="660" spans="2:7" ht="13.2" x14ac:dyDescent="0.25">
      <c r="B660" s="284"/>
      <c r="C660" s="119"/>
      <c r="D660" s="241"/>
      <c r="E660" s="119"/>
      <c r="G660" s="119"/>
    </row>
    <row r="661" spans="2:7" ht="13.2" x14ac:dyDescent="0.25">
      <c r="B661" s="284"/>
      <c r="C661" s="119"/>
      <c r="D661" s="241"/>
      <c r="E661" s="119"/>
      <c r="G661" s="119"/>
    </row>
    <row r="662" spans="2:7" ht="13.2" x14ac:dyDescent="0.25">
      <c r="B662" s="284"/>
      <c r="C662" s="119"/>
      <c r="D662" s="241"/>
      <c r="E662" s="119"/>
      <c r="G662" s="119"/>
    </row>
    <row r="663" spans="2:7" ht="13.2" x14ac:dyDescent="0.25">
      <c r="B663" s="284"/>
      <c r="C663" s="119"/>
      <c r="D663" s="241"/>
      <c r="E663" s="119"/>
      <c r="G663" s="119"/>
    </row>
    <row r="664" spans="2:7" ht="13.2" x14ac:dyDescent="0.25">
      <c r="B664" s="284"/>
      <c r="C664" s="119"/>
      <c r="D664" s="241"/>
      <c r="E664" s="119"/>
      <c r="G664" s="119"/>
    </row>
    <row r="665" spans="2:7" ht="13.2" x14ac:dyDescent="0.25">
      <c r="B665" s="284"/>
      <c r="C665" s="119"/>
      <c r="D665" s="241"/>
      <c r="E665" s="119"/>
      <c r="G665" s="119"/>
    </row>
    <row r="666" spans="2:7" ht="13.2" x14ac:dyDescent="0.25">
      <c r="B666" s="284"/>
      <c r="C666" s="119"/>
      <c r="D666" s="241"/>
      <c r="E666" s="119"/>
      <c r="G666" s="119"/>
    </row>
    <row r="667" spans="2:7" ht="13.2" x14ac:dyDescent="0.25">
      <c r="B667" s="284"/>
      <c r="C667" s="119"/>
      <c r="D667" s="241"/>
      <c r="E667" s="119"/>
      <c r="G667" s="119"/>
    </row>
    <row r="668" spans="2:7" ht="13.2" x14ac:dyDescent="0.25">
      <c r="B668" s="284"/>
      <c r="C668" s="119"/>
      <c r="D668" s="241"/>
      <c r="E668" s="119"/>
      <c r="G668" s="119"/>
    </row>
    <row r="669" spans="2:7" ht="13.2" x14ac:dyDescent="0.25">
      <c r="B669" s="284"/>
      <c r="C669" s="119"/>
      <c r="D669" s="241"/>
      <c r="E669" s="119"/>
      <c r="G669" s="119"/>
    </row>
    <row r="670" spans="2:7" ht="13.2" x14ac:dyDescent="0.25">
      <c r="B670" s="284"/>
      <c r="C670" s="119"/>
      <c r="D670" s="241"/>
      <c r="E670" s="119"/>
      <c r="G670" s="119"/>
    </row>
    <row r="671" spans="2:7" ht="13.2" x14ac:dyDescent="0.25">
      <c r="B671" s="284"/>
      <c r="C671" s="119"/>
      <c r="D671" s="241"/>
      <c r="E671" s="119"/>
      <c r="G671" s="119"/>
    </row>
    <row r="672" spans="2:7" ht="13.2" x14ac:dyDescent="0.25">
      <c r="B672" s="284"/>
      <c r="C672" s="119"/>
      <c r="D672" s="241"/>
      <c r="E672" s="119"/>
      <c r="G672" s="119"/>
    </row>
    <row r="673" spans="2:7" ht="13.2" x14ac:dyDescent="0.25">
      <c r="B673" s="284"/>
      <c r="C673" s="119"/>
      <c r="D673" s="241"/>
      <c r="E673" s="119"/>
      <c r="G673" s="119"/>
    </row>
    <row r="674" spans="2:7" ht="13.2" x14ac:dyDescent="0.25">
      <c r="B674" s="284"/>
      <c r="C674" s="119"/>
      <c r="D674" s="241"/>
      <c r="E674" s="119"/>
      <c r="G674" s="119"/>
    </row>
    <row r="675" spans="2:7" ht="13.2" x14ac:dyDescent="0.25">
      <c r="B675" s="284"/>
      <c r="C675" s="119"/>
      <c r="D675" s="241"/>
      <c r="E675" s="119"/>
      <c r="G675" s="119"/>
    </row>
    <row r="676" spans="2:7" ht="13.2" x14ac:dyDescent="0.25">
      <c r="B676" s="284"/>
      <c r="C676" s="119"/>
      <c r="D676" s="241"/>
      <c r="E676" s="119"/>
      <c r="G676" s="119"/>
    </row>
    <row r="677" spans="2:7" ht="13.2" x14ac:dyDescent="0.25">
      <c r="B677" s="284"/>
      <c r="C677" s="119"/>
      <c r="D677" s="241"/>
      <c r="E677" s="119"/>
      <c r="G677" s="119"/>
    </row>
    <row r="678" spans="2:7" ht="13.2" x14ac:dyDescent="0.25">
      <c r="B678" s="284"/>
      <c r="C678" s="119"/>
      <c r="D678" s="241"/>
      <c r="E678" s="119"/>
      <c r="G678" s="119"/>
    </row>
    <row r="679" spans="2:7" ht="13.2" x14ac:dyDescent="0.25">
      <c r="B679" s="284"/>
      <c r="C679" s="119"/>
      <c r="D679" s="241"/>
      <c r="E679" s="119"/>
      <c r="G679" s="119"/>
    </row>
    <row r="680" spans="2:7" ht="13.2" x14ac:dyDescent="0.25">
      <c r="B680" s="284"/>
      <c r="C680" s="119"/>
      <c r="D680" s="241"/>
      <c r="E680" s="119"/>
      <c r="G680" s="119"/>
    </row>
    <row r="681" spans="2:7" ht="13.2" x14ac:dyDescent="0.25">
      <c r="B681" s="284"/>
      <c r="C681" s="119"/>
      <c r="D681" s="241"/>
      <c r="E681" s="119"/>
      <c r="G681" s="119"/>
    </row>
    <row r="682" spans="2:7" ht="13.2" x14ac:dyDescent="0.25">
      <c r="B682" s="284"/>
      <c r="C682" s="119"/>
      <c r="D682" s="241"/>
      <c r="E682" s="119"/>
      <c r="G682" s="119"/>
    </row>
    <row r="683" spans="2:7" ht="13.2" x14ac:dyDescent="0.25">
      <c r="B683" s="284"/>
      <c r="C683" s="119"/>
      <c r="D683" s="241"/>
      <c r="E683" s="119"/>
      <c r="G683" s="119"/>
    </row>
    <row r="684" spans="2:7" ht="13.2" x14ac:dyDescent="0.25">
      <c r="B684" s="284"/>
      <c r="C684" s="119"/>
      <c r="D684" s="241"/>
      <c r="E684" s="119"/>
      <c r="G684" s="119"/>
    </row>
    <row r="685" spans="2:7" ht="13.2" x14ac:dyDescent="0.25">
      <c r="B685" s="284"/>
      <c r="C685" s="119"/>
      <c r="D685" s="241"/>
      <c r="E685" s="119"/>
      <c r="G685" s="119"/>
    </row>
    <row r="686" spans="2:7" ht="13.2" x14ac:dyDescent="0.25">
      <c r="B686" s="284"/>
      <c r="C686" s="119"/>
      <c r="D686" s="241"/>
      <c r="E686" s="119"/>
      <c r="G686" s="119"/>
    </row>
    <row r="687" spans="2:7" ht="13.2" x14ac:dyDescent="0.25">
      <c r="B687" s="284"/>
      <c r="C687" s="119"/>
      <c r="D687" s="241"/>
      <c r="E687" s="119"/>
      <c r="G687" s="119"/>
    </row>
    <row r="688" spans="2:7" ht="13.2" x14ac:dyDescent="0.25">
      <c r="B688" s="284"/>
      <c r="C688" s="119"/>
      <c r="D688" s="241"/>
      <c r="E688" s="119"/>
      <c r="G688" s="119"/>
    </row>
    <row r="689" spans="2:7" ht="13.2" x14ac:dyDescent="0.25">
      <c r="B689" s="284"/>
      <c r="C689" s="119"/>
      <c r="D689" s="241"/>
      <c r="E689" s="119"/>
      <c r="G689" s="119"/>
    </row>
    <row r="690" spans="2:7" ht="13.2" x14ac:dyDescent="0.25">
      <c r="B690" s="284"/>
      <c r="C690" s="119"/>
      <c r="D690" s="241"/>
      <c r="E690" s="119"/>
      <c r="G690" s="119"/>
    </row>
    <row r="691" spans="2:7" ht="13.2" x14ac:dyDescent="0.25">
      <c r="B691" s="284"/>
      <c r="C691" s="119"/>
      <c r="D691" s="241"/>
      <c r="E691" s="119"/>
      <c r="G691" s="119"/>
    </row>
    <row r="692" spans="2:7" ht="13.2" x14ac:dyDescent="0.25">
      <c r="B692" s="284"/>
      <c r="C692" s="119"/>
      <c r="D692" s="241"/>
      <c r="E692" s="119"/>
      <c r="G692" s="119"/>
    </row>
    <row r="693" spans="2:7" ht="13.2" x14ac:dyDescent="0.25">
      <c r="B693" s="284"/>
      <c r="C693" s="119"/>
      <c r="D693" s="241"/>
      <c r="E693" s="119"/>
      <c r="G693" s="119"/>
    </row>
    <row r="694" spans="2:7" ht="13.2" x14ac:dyDescent="0.25">
      <c r="B694" s="284"/>
      <c r="C694" s="119"/>
      <c r="D694" s="241"/>
      <c r="E694" s="119"/>
      <c r="G694" s="119"/>
    </row>
    <row r="695" spans="2:7" ht="13.2" x14ac:dyDescent="0.25">
      <c r="B695" s="284"/>
      <c r="C695" s="119"/>
      <c r="D695" s="241"/>
      <c r="E695" s="119"/>
      <c r="G695" s="119"/>
    </row>
    <row r="696" spans="2:7" ht="13.2" x14ac:dyDescent="0.25">
      <c r="B696" s="284"/>
      <c r="C696" s="119"/>
      <c r="D696" s="241"/>
      <c r="E696" s="119"/>
      <c r="G696" s="119"/>
    </row>
    <row r="697" spans="2:7" ht="13.2" x14ac:dyDescent="0.25">
      <c r="B697" s="284"/>
      <c r="C697" s="119"/>
      <c r="D697" s="241"/>
      <c r="E697" s="119"/>
      <c r="G697" s="119"/>
    </row>
    <row r="698" spans="2:7" ht="13.2" x14ac:dyDescent="0.25">
      <c r="B698" s="284"/>
      <c r="C698" s="119"/>
      <c r="D698" s="241"/>
      <c r="E698" s="119"/>
      <c r="G698" s="119"/>
    </row>
    <row r="699" spans="2:7" ht="13.2" x14ac:dyDescent="0.25">
      <c r="B699" s="284"/>
      <c r="C699" s="119"/>
      <c r="D699" s="241"/>
      <c r="E699" s="119"/>
      <c r="G699" s="119"/>
    </row>
    <row r="700" spans="2:7" ht="13.2" x14ac:dyDescent="0.25">
      <c r="B700" s="284"/>
      <c r="C700" s="119"/>
      <c r="D700" s="241"/>
      <c r="E700" s="119"/>
      <c r="G700" s="119"/>
    </row>
    <row r="701" spans="2:7" ht="13.2" x14ac:dyDescent="0.25">
      <c r="B701" s="284"/>
      <c r="C701" s="119"/>
      <c r="D701" s="241"/>
      <c r="E701" s="119"/>
      <c r="G701" s="119"/>
    </row>
    <row r="702" spans="2:7" ht="13.2" x14ac:dyDescent="0.25">
      <c r="B702" s="284"/>
      <c r="C702" s="119"/>
      <c r="D702" s="241"/>
      <c r="E702" s="119"/>
      <c r="G702" s="119"/>
    </row>
    <row r="703" spans="2:7" ht="13.2" x14ac:dyDescent="0.25">
      <c r="B703" s="284"/>
      <c r="C703" s="119"/>
      <c r="D703" s="241"/>
      <c r="E703" s="119"/>
      <c r="G703" s="119"/>
    </row>
    <row r="704" spans="2:7" ht="13.2" x14ac:dyDescent="0.25">
      <c r="B704" s="284"/>
      <c r="C704" s="119"/>
      <c r="D704" s="241"/>
      <c r="E704" s="119"/>
      <c r="G704" s="119"/>
    </row>
    <row r="705" spans="2:7" ht="13.2" x14ac:dyDescent="0.25">
      <c r="B705" s="284"/>
      <c r="C705" s="119"/>
      <c r="D705" s="241"/>
      <c r="E705" s="119"/>
      <c r="G705" s="119"/>
    </row>
    <row r="706" spans="2:7" ht="13.2" x14ac:dyDescent="0.25">
      <c r="B706" s="284"/>
      <c r="C706" s="119"/>
      <c r="D706" s="241"/>
      <c r="E706" s="119"/>
      <c r="G706" s="119"/>
    </row>
    <row r="707" spans="2:7" ht="13.2" x14ac:dyDescent="0.25">
      <c r="B707" s="284"/>
      <c r="C707" s="119"/>
      <c r="D707" s="241"/>
      <c r="E707" s="119"/>
      <c r="G707" s="119"/>
    </row>
    <row r="708" spans="2:7" ht="13.2" x14ac:dyDescent="0.25">
      <c r="B708" s="284"/>
      <c r="C708" s="119"/>
      <c r="D708" s="241"/>
      <c r="E708" s="119"/>
      <c r="G708" s="119"/>
    </row>
    <row r="709" spans="2:7" ht="13.2" x14ac:dyDescent="0.25">
      <c r="B709" s="284"/>
      <c r="C709" s="119"/>
      <c r="D709" s="241"/>
      <c r="E709" s="119"/>
      <c r="G709" s="119"/>
    </row>
    <row r="710" spans="2:7" ht="13.2" x14ac:dyDescent="0.25">
      <c r="B710" s="284"/>
      <c r="C710" s="119"/>
      <c r="D710" s="241"/>
      <c r="E710" s="119"/>
      <c r="G710" s="119"/>
    </row>
    <row r="711" spans="2:7" ht="13.2" x14ac:dyDescent="0.25">
      <c r="B711" s="284"/>
      <c r="C711" s="119"/>
      <c r="D711" s="241"/>
      <c r="E711" s="119"/>
      <c r="G711" s="119"/>
    </row>
    <row r="712" spans="2:7" ht="13.2" x14ac:dyDescent="0.25">
      <c r="B712" s="284"/>
      <c r="C712" s="119"/>
      <c r="D712" s="241"/>
      <c r="E712" s="119"/>
      <c r="G712" s="119"/>
    </row>
    <row r="713" spans="2:7" ht="13.2" x14ac:dyDescent="0.25">
      <c r="B713" s="284"/>
      <c r="C713" s="119"/>
      <c r="D713" s="241"/>
      <c r="E713" s="119"/>
      <c r="G713" s="119"/>
    </row>
    <row r="714" spans="2:7" ht="13.2" x14ac:dyDescent="0.25">
      <c r="B714" s="284"/>
      <c r="C714" s="119"/>
      <c r="D714" s="241"/>
      <c r="E714" s="119"/>
      <c r="G714" s="119"/>
    </row>
    <row r="715" spans="2:7" ht="13.2" x14ac:dyDescent="0.25">
      <c r="B715" s="284"/>
      <c r="C715" s="119"/>
      <c r="D715" s="241"/>
      <c r="E715" s="119"/>
      <c r="G715" s="119"/>
    </row>
    <row r="716" spans="2:7" ht="13.2" x14ac:dyDescent="0.25">
      <c r="B716" s="284"/>
      <c r="C716" s="119"/>
      <c r="D716" s="241"/>
      <c r="E716" s="119"/>
      <c r="G716" s="119"/>
    </row>
    <row r="717" spans="2:7" ht="13.2" x14ac:dyDescent="0.25">
      <c r="B717" s="284"/>
      <c r="C717" s="119"/>
      <c r="D717" s="241"/>
      <c r="E717" s="119"/>
      <c r="G717" s="119"/>
    </row>
    <row r="718" spans="2:7" ht="13.2" x14ac:dyDescent="0.25">
      <c r="B718" s="284"/>
      <c r="C718" s="119"/>
      <c r="D718" s="241"/>
      <c r="E718" s="119"/>
      <c r="G718" s="119"/>
    </row>
    <row r="719" spans="2:7" ht="13.2" x14ac:dyDescent="0.25">
      <c r="B719" s="284"/>
      <c r="C719" s="119"/>
      <c r="D719" s="241"/>
      <c r="E719" s="119"/>
      <c r="G719" s="119"/>
    </row>
    <row r="720" spans="2:7" ht="13.2" x14ac:dyDescent="0.25">
      <c r="B720" s="284"/>
      <c r="C720" s="119"/>
      <c r="D720" s="241"/>
      <c r="E720" s="119"/>
      <c r="G720" s="119"/>
    </row>
    <row r="721" spans="2:7" ht="13.2" x14ac:dyDescent="0.25">
      <c r="B721" s="284"/>
      <c r="C721" s="119"/>
      <c r="D721" s="241"/>
      <c r="E721" s="119"/>
      <c r="G721" s="119"/>
    </row>
    <row r="722" spans="2:7" ht="13.2" x14ac:dyDescent="0.25">
      <c r="B722" s="284"/>
      <c r="C722" s="119"/>
      <c r="D722" s="241"/>
      <c r="E722" s="119"/>
      <c r="G722" s="119"/>
    </row>
    <row r="723" spans="2:7" ht="13.2" x14ac:dyDescent="0.25">
      <c r="B723" s="284"/>
      <c r="C723" s="119"/>
      <c r="D723" s="241"/>
      <c r="E723" s="119"/>
      <c r="G723" s="119"/>
    </row>
    <row r="724" spans="2:7" ht="13.2" x14ac:dyDescent="0.25">
      <c r="B724" s="284"/>
      <c r="C724" s="119"/>
      <c r="D724" s="241"/>
      <c r="E724" s="119"/>
      <c r="G724" s="119"/>
    </row>
    <row r="725" spans="2:7" ht="13.2" x14ac:dyDescent="0.25">
      <c r="B725" s="284"/>
      <c r="C725" s="119"/>
      <c r="D725" s="241"/>
      <c r="E725" s="119"/>
      <c r="G725" s="119"/>
    </row>
    <row r="726" spans="2:7" ht="13.2" x14ac:dyDescent="0.25">
      <c r="B726" s="284"/>
      <c r="C726" s="119"/>
      <c r="D726" s="241"/>
      <c r="E726" s="119"/>
      <c r="G726" s="119"/>
    </row>
    <row r="727" spans="2:7" ht="13.2" x14ac:dyDescent="0.25">
      <c r="B727" s="284"/>
      <c r="C727" s="119"/>
      <c r="D727" s="241"/>
      <c r="E727" s="119"/>
      <c r="G727" s="119"/>
    </row>
    <row r="728" spans="2:7" ht="13.2" x14ac:dyDescent="0.25">
      <c r="B728" s="284"/>
      <c r="C728" s="119"/>
      <c r="D728" s="241"/>
      <c r="E728" s="119"/>
      <c r="G728" s="119"/>
    </row>
    <row r="729" spans="2:7" ht="13.2" x14ac:dyDescent="0.25">
      <c r="B729" s="284"/>
      <c r="C729" s="119"/>
      <c r="D729" s="241"/>
      <c r="E729" s="119"/>
      <c r="G729" s="119"/>
    </row>
    <row r="730" spans="2:7" ht="13.2" x14ac:dyDescent="0.25">
      <c r="B730" s="284"/>
      <c r="C730" s="119"/>
      <c r="D730" s="241"/>
      <c r="E730" s="119"/>
      <c r="G730" s="119"/>
    </row>
    <row r="731" spans="2:7" ht="13.2" x14ac:dyDescent="0.25">
      <c r="B731" s="284"/>
      <c r="C731" s="119"/>
      <c r="D731" s="241"/>
      <c r="E731" s="119"/>
      <c r="G731" s="119"/>
    </row>
    <row r="732" spans="2:7" ht="13.2" x14ac:dyDescent="0.25">
      <c r="B732" s="284"/>
      <c r="C732" s="119"/>
      <c r="D732" s="241"/>
      <c r="E732" s="119"/>
      <c r="G732" s="119"/>
    </row>
    <row r="733" spans="2:7" ht="13.2" x14ac:dyDescent="0.25">
      <c r="B733" s="284"/>
      <c r="C733" s="119"/>
      <c r="D733" s="241"/>
      <c r="E733" s="119"/>
      <c r="G733" s="119"/>
    </row>
    <row r="734" spans="2:7" ht="13.2" x14ac:dyDescent="0.25">
      <c r="B734" s="284"/>
      <c r="C734" s="119"/>
      <c r="D734" s="241"/>
      <c r="E734" s="119"/>
      <c r="G734" s="119"/>
    </row>
    <row r="735" spans="2:7" ht="13.2" x14ac:dyDescent="0.25">
      <c r="B735" s="284"/>
      <c r="C735" s="119"/>
      <c r="D735" s="241"/>
      <c r="E735" s="119"/>
      <c r="G735" s="119"/>
    </row>
    <row r="736" spans="2:7" ht="13.2" x14ac:dyDescent="0.25">
      <c r="B736" s="284"/>
      <c r="C736" s="119"/>
      <c r="D736" s="241"/>
      <c r="E736" s="119"/>
      <c r="G736" s="119"/>
    </row>
    <row r="737" spans="2:7" ht="13.2" x14ac:dyDescent="0.25">
      <c r="B737" s="284"/>
      <c r="C737" s="119"/>
      <c r="D737" s="241"/>
      <c r="E737" s="119"/>
      <c r="G737" s="119"/>
    </row>
    <row r="738" spans="2:7" ht="13.2" x14ac:dyDescent="0.25">
      <c r="B738" s="284"/>
      <c r="C738" s="119"/>
      <c r="D738" s="241"/>
      <c r="E738" s="119"/>
      <c r="G738" s="119"/>
    </row>
    <row r="739" spans="2:7" ht="13.2" x14ac:dyDescent="0.25">
      <c r="B739" s="284"/>
      <c r="C739" s="119"/>
      <c r="D739" s="241"/>
      <c r="E739" s="119"/>
      <c r="G739" s="119"/>
    </row>
    <row r="740" spans="2:7" ht="13.2" x14ac:dyDescent="0.25">
      <c r="B740" s="284"/>
      <c r="C740" s="119"/>
      <c r="D740" s="241"/>
      <c r="E740" s="119"/>
      <c r="G740" s="119"/>
    </row>
    <row r="741" spans="2:7" ht="13.2" x14ac:dyDescent="0.25">
      <c r="B741" s="284"/>
      <c r="C741" s="119"/>
      <c r="D741" s="241"/>
      <c r="E741" s="119"/>
      <c r="G741" s="119"/>
    </row>
    <row r="742" spans="2:7" ht="13.2" x14ac:dyDescent="0.25">
      <c r="B742" s="284"/>
      <c r="C742" s="119"/>
      <c r="D742" s="241"/>
      <c r="E742" s="119"/>
      <c r="G742" s="119"/>
    </row>
    <row r="743" spans="2:7" ht="13.2" x14ac:dyDescent="0.25">
      <c r="B743" s="284"/>
      <c r="C743" s="119"/>
      <c r="D743" s="241"/>
      <c r="E743" s="119"/>
      <c r="G743" s="119"/>
    </row>
    <row r="744" spans="2:7" ht="13.2" x14ac:dyDescent="0.25">
      <c r="B744" s="284"/>
      <c r="C744" s="119"/>
      <c r="D744" s="241"/>
      <c r="E744" s="119"/>
      <c r="G744" s="119"/>
    </row>
    <row r="745" spans="2:7" ht="13.2" x14ac:dyDescent="0.25">
      <c r="B745" s="284"/>
      <c r="C745" s="119"/>
      <c r="D745" s="241"/>
      <c r="E745" s="119"/>
      <c r="G745" s="119"/>
    </row>
    <row r="746" spans="2:7" ht="13.2" x14ac:dyDescent="0.25">
      <c r="B746" s="284"/>
      <c r="C746" s="119"/>
      <c r="D746" s="241"/>
      <c r="E746" s="119"/>
      <c r="G746" s="119"/>
    </row>
    <row r="747" spans="2:7" ht="13.2" x14ac:dyDescent="0.25">
      <c r="B747" s="284"/>
      <c r="C747" s="119"/>
      <c r="D747" s="241"/>
      <c r="E747" s="119"/>
      <c r="G747" s="119"/>
    </row>
    <row r="748" spans="2:7" ht="13.2" x14ac:dyDescent="0.25">
      <c r="B748" s="284"/>
      <c r="C748" s="119"/>
      <c r="D748" s="241"/>
      <c r="E748" s="119"/>
      <c r="G748" s="119"/>
    </row>
    <row r="749" spans="2:7" ht="13.2" x14ac:dyDescent="0.25">
      <c r="B749" s="284"/>
      <c r="C749" s="119"/>
      <c r="D749" s="241"/>
      <c r="E749" s="119"/>
      <c r="G749" s="119"/>
    </row>
    <row r="750" spans="2:7" ht="13.2" x14ac:dyDescent="0.25">
      <c r="B750" s="284"/>
      <c r="C750" s="119"/>
      <c r="D750" s="241"/>
      <c r="E750" s="119"/>
      <c r="G750" s="119"/>
    </row>
    <row r="751" spans="2:7" ht="13.2" x14ac:dyDescent="0.25">
      <c r="B751" s="284"/>
      <c r="C751" s="119"/>
      <c r="D751" s="241"/>
      <c r="E751" s="119"/>
      <c r="G751" s="119"/>
    </row>
    <row r="752" spans="2:7" ht="13.2" x14ac:dyDescent="0.25">
      <c r="B752" s="284"/>
      <c r="C752" s="119"/>
      <c r="D752" s="241"/>
      <c r="E752" s="119"/>
      <c r="G752" s="119"/>
    </row>
    <row r="753" spans="2:7" ht="13.2" x14ac:dyDescent="0.25">
      <c r="B753" s="284"/>
      <c r="C753" s="119"/>
      <c r="D753" s="241"/>
      <c r="E753" s="119"/>
      <c r="G753" s="119"/>
    </row>
    <row r="754" spans="2:7" ht="13.2" x14ac:dyDescent="0.25">
      <c r="B754" s="284"/>
      <c r="C754" s="119"/>
      <c r="D754" s="241"/>
      <c r="E754" s="119"/>
      <c r="G754" s="119"/>
    </row>
    <row r="755" spans="2:7" ht="13.2" x14ac:dyDescent="0.25">
      <c r="B755" s="284"/>
      <c r="C755" s="119"/>
      <c r="D755" s="241"/>
      <c r="E755" s="119"/>
      <c r="G755" s="119"/>
    </row>
    <row r="756" spans="2:7" ht="13.2" x14ac:dyDescent="0.25">
      <c r="B756" s="284"/>
      <c r="C756" s="119"/>
      <c r="D756" s="241"/>
      <c r="E756" s="119"/>
      <c r="G756" s="119"/>
    </row>
    <row r="757" spans="2:7" ht="13.2" x14ac:dyDescent="0.25">
      <c r="B757" s="284"/>
      <c r="C757" s="119"/>
      <c r="D757" s="241"/>
      <c r="E757" s="119"/>
      <c r="G757" s="119"/>
    </row>
    <row r="758" spans="2:7" ht="13.2" x14ac:dyDescent="0.25">
      <c r="B758" s="284"/>
      <c r="C758" s="119"/>
      <c r="D758" s="241"/>
      <c r="E758" s="119"/>
      <c r="G758" s="119"/>
    </row>
    <row r="759" spans="2:7" ht="13.2" x14ac:dyDescent="0.25">
      <c r="B759" s="284"/>
      <c r="C759" s="119"/>
      <c r="D759" s="241"/>
      <c r="E759" s="119"/>
      <c r="G759" s="119"/>
    </row>
    <row r="760" spans="2:7" ht="13.2" x14ac:dyDescent="0.25">
      <c r="B760" s="284"/>
      <c r="C760" s="119"/>
      <c r="D760" s="241"/>
      <c r="E760" s="119"/>
      <c r="G760" s="119"/>
    </row>
    <row r="761" spans="2:7" ht="13.2" x14ac:dyDescent="0.25">
      <c r="B761" s="284"/>
      <c r="C761" s="119"/>
      <c r="D761" s="241"/>
      <c r="E761" s="119"/>
      <c r="G761" s="119"/>
    </row>
    <row r="762" spans="2:7" ht="13.2" x14ac:dyDescent="0.25">
      <c r="B762" s="284"/>
      <c r="C762" s="119"/>
      <c r="D762" s="241"/>
      <c r="E762" s="119"/>
      <c r="G762" s="119"/>
    </row>
    <row r="763" spans="2:7" ht="13.2" x14ac:dyDescent="0.25">
      <c r="B763" s="284"/>
      <c r="C763" s="119"/>
      <c r="D763" s="241"/>
      <c r="E763" s="119"/>
      <c r="G763" s="119"/>
    </row>
    <row r="764" spans="2:7" ht="13.2" x14ac:dyDescent="0.25">
      <c r="B764" s="284"/>
      <c r="C764" s="119"/>
      <c r="D764" s="241"/>
      <c r="E764" s="119"/>
      <c r="G764" s="119"/>
    </row>
    <row r="765" spans="2:7" ht="13.2" x14ac:dyDescent="0.25">
      <c r="B765" s="284"/>
      <c r="C765" s="119"/>
      <c r="D765" s="241"/>
      <c r="E765" s="119"/>
      <c r="G765" s="119"/>
    </row>
    <row r="766" spans="2:7" ht="13.2" x14ac:dyDescent="0.25">
      <c r="B766" s="284"/>
      <c r="C766" s="119"/>
      <c r="D766" s="241"/>
      <c r="E766" s="119"/>
      <c r="G766" s="119"/>
    </row>
    <row r="767" spans="2:7" ht="13.2" x14ac:dyDescent="0.25">
      <c r="B767" s="284"/>
      <c r="C767" s="119"/>
      <c r="D767" s="241"/>
      <c r="E767" s="119"/>
      <c r="G767" s="119"/>
    </row>
    <row r="768" spans="2:7" ht="13.2" x14ac:dyDescent="0.25">
      <c r="B768" s="284"/>
      <c r="C768" s="119"/>
      <c r="D768" s="241"/>
      <c r="E768" s="119"/>
      <c r="G768" s="119"/>
    </row>
    <row r="769" spans="2:7" ht="13.2" x14ac:dyDescent="0.25">
      <c r="B769" s="284"/>
      <c r="C769" s="119"/>
      <c r="D769" s="241"/>
      <c r="E769" s="119"/>
      <c r="G769" s="119"/>
    </row>
    <row r="770" spans="2:7" ht="13.2" x14ac:dyDescent="0.25">
      <c r="B770" s="284"/>
      <c r="C770" s="119"/>
      <c r="D770" s="241"/>
      <c r="E770" s="119"/>
      <c r="G770" s="119"/>
    </row>
    <row r="771" spans="2:7" ht="13.2" x14ac:dyDescent="0.25">
      <c r="B771" s="284"/>
      <c r="C771" s="119"/>
      <c r="D771" s="241"/>
      <c r="E771" s="119"/>
      <c r="G771" s="119"/>
    </row>
    <row r="772" spans="2:7" ht="13.2" x14ac:dyDescent="0.25">
      <c r="B772" s="284"/>
      <c r="C772" s="119"/>
      <c r="D772" s="241"/>
      <c r="E772" s="119"/>
      <c r="G772" s="119"/>
    </row>
    <row r="773" spans="2:7" ht="13.2" x14ac:dyDescent="0.25">
      <c r="B773" s="284"/>
      <c r="C773" s="119"/>
      <c r="D773" s="241"/>
      <c r="E773" s="119"/>
      <c r="G773" s="119"/>
    </row>
    <row r="774" spans="2:7" ht="13.2" x14ac:dyDescent="0.25">
      <c r="B774" s="284"/>
      <c r="C774" s="119"/>
      <c r="D774" s="241"/>
      <c r="E774" s="119"/>
      <c r="G774" s="119"/>
    </row>
    <row r="775" spans="2:7" ht="13.2" x14ac:dyDescent="0.25">
      <c r="B775" s="284"/>
      <c r="C775" s="119"/>
      <c r="D775" s="241"/>
      <c r="E775" s="119"/>
      <c r="G775" s="119"/>
    </row>
    <row r="776" spans="2:7" ht="13.2" x14ac:dyDescent="0.25">
      <c r="B776" s="284"/>
      <c r="C776" s="119"/>
      <c r="D776" s="241"/>
      <c r="E776" s="119"/>
      <c r="G776" s="119"/>
    </row>
    <row r="777" spans="2:7" ht="13.2" x14ac:dyDescent="0.25">
      <c r="B777" s="284"/>
      <c r="C777" s="119"/>
      <c r="D777" s="241"/>
      <c r="E777" s="119"/>
      <c r="G777" s="119"/>
    </row>
    <row r="778" spans="2:7" ht="13.2" x14ac:dyDescent="0.25">
      <c r="B778" s="284"/>
      <c r="C778" s="119"/>
      <c r="D778" s="241"/>
      <c r="E778" s="119"/>
      <c r="G778" s="119"/>
    </row>
    <row r="779" spans="2:7" ht="13.2" x14ac:dyDescent="0.25">
      <c r="B779" s="284"/>
      <c r="C779" s="119"/>
      <c r="D779" s="241"/>
      <c r="E779" s="119"/>
      <c r="G779" s="119"/>
    </row>
    <row r="780" spans="2:7" ht="13.2" x14ac:dyDescent="0.25">
      <c r="B780" s="284"/>
      <c r="C780" s="119"/>
      <c r="D780" s="241"/>
      <c r="E780" s="119"/>
      <c r="G780" s="119"/>
    </row>
    <row r="781" spans="2:7" ht="13.2" x14ac:dyDescent="0.25">
      <c r="B781" s="284"/>
      <c r="C781" s="119"/>
      <c r="D781" s="241"/>
      <c r="E781" s="119"/>
      <c r="G781" s="119"/>
    </row>
    <row r="782" spans="2:7" ht="13.2" x14ac:dyDescent="0.25">
      <c r="B782" s="284"/>
      <c r="C782" s="119"/>
      <c r="D782" s="241"/>
      <c r="E782" s="119"/>
      <c r="G782" s="119"/>
    </row>
    <row r="783" spans="2:7" ht="13.2" x14ac:dyDescent="0.25">
      <c r="B783" s="284"/>
      <c r="C783" s="119"/>
      <c r="D783" s="241"/>
      <c r="E783" s="119"/>
      <c r="G783" s="119"/>
    </row>
    <row r="784" spans="2:7" ht="13.2" x14ac:dyDescent="0.25">
      <c r="B784" s="284"/>
      <c r="C784" s="119"/>
      <c r="D784" s="241"/>
      <c r="E784" s="119"/>
      <c r="G784" s="119"/>
    </row>
    <row r="785" spans="2:7" ht="13.2" x14ac:dyDescent="0.25">
      <c r="B785" s="284"/>
      <c r="C785" s="119"/>
      <c r="D785" s="241"/>
      <c r="E785" s="119"/>
      <c r="G785" s="119"/>
    </row>
    <row r="786" spans="2:7" ht="13.2" x14ac:dyDescent="0.25">
      <c r="B786" s="284"/>
      <c r="C786" s="119"/>
      <c r="D786" s="241"/>
      <c r="E786" s="119"/>
      <c r="G786" s="119"/>
    </row>
    <row r="787" spans="2:7" ht="13.2" x14ac:dyDescent="0.25">
      <c r="B787" s="284"/>
      <c r="C787" s="119"/>
      <c r="D787" s="241"/>
      <c r="E787" s="119"/>
      <c r="G787" s="119"/>
    </row>
    <row r="788" spans="2:7" ht="13.2" x14ac:dyDescent="0.25">
      <c r="B788" s="284"/>
      <c r="C788" s="119"/>
      <c r="D788" s="241"/>
      <c r="E788" s="119"/>
      <c r="G788" s="119"/>
    </row>
    <row r="789" spans="2:7" ht="13.2" x14ac:dyDescent="0.25">
      <c r="B789" s="284"/>
      <c r="C789" s="119"/>
      <c r="D789" s="241"/>
      <c r="E789" s="119"/>
      <c r="G789" s="119"/>
    </row>
    <row r="790" spans="2:7" ht="13.2" x14ac:dyDescent="0.25">
      <c r="B790" s="284"/>
      <c r="C790" s="119"/>
      <c r="D790" s="241"/>
      <c r="E790" s="119"/>
      <c r="G790" s="119"/>
    </row>
    <row r="791" spans="2:7" ht="13.2" x14ac:dyDescent="0.25">
      <c r="B791" s="284"/>
      <c r="C791" s="119"/>
      <c r="D791" s="241"/>
      <c r="E791" s="119"/>
      <c r="G791" s="119"/>
    </row>
    <row r="792" spans="2:7" ht="13.2" x14ac:dyDescent="0.25">
      <c r="B792" s="284"/>
      <c r="C792" s="119"/>
      <c r="D792" s="241"/>
      <c r="E792" s="119"/>
      <c r="G792" s="119"/>
    </row>
    <row r="793" spans="2:7" ht="13.2" x14ac:dyDescent="0.25">
      <c r="B793" s="284"/>
      <c r="C793" s="119"/>
      <c r="D793" s="241"/>
      <c r="E793" s="119"/>
      <c r="G793" s="119"/>
    </row>
    <row r="794" spans="2:7" ht="13.2" x14ac:dyDescent="0.25">
      <c r="B794" s="284"/>
      <c r="C794" s="119"/>
      <c r="D794" s="241"/>
      <c r="E794" s="119"/>
      <c r="G794" s="119"/>
    </row>
    <row r="795" spans="2:7" ht="13.2" x14ac:dyDescent="0.25">
      <c r="B795" s="284"/>
      <c r="C795" s="119"/>
      <c r="D795" s="241"/>
      <c r="E795" s="119"/>
      <c r="G795" s="119"/>
    </row>
    <row r="796" spans="2:7" ht="13.2" x14ac:dyDescent="0.25">
      <c r="B796" s="284"/>
      <c r="C796" s="119"/>
      <c r="D796" s="241"/>
      <c r="E796" s="119"/>
      <c r="G796" s="119"/>
    </row>
    <row r="797" spans="2:7" ht="13.2" x14ac:dyDescent="0.25">
      <c r="B797" s="284"/>
      <c r="C797" s="119"/>
      <c r="D797" s="241"/>
      <c r="E797" s="119"/>
      <c r="G797" s="119"/>
    </row>
    <row r="798" spans="2:7" ht="13.2" x14ac:dyDescent="0.25">
      <c r="B798" s="284"/>
      <c r="C798" s="119"/>
      <c r="D798" s="241"/>
      <c r="E798" s="119"/>
      <c r="G798" s="119"/>
    </row>
    <row r="799" spans="2:7" ht="13.2" x14ac:dyDescent="0.25">
      <c r="B799" s="284"/>
      <c r="C799" s="119"/>
      <c r="D799" s="241"/>
      <c r="E799" s="119"/>
      <c r="G799" s="119"/>
    </row>
    <row r="800" spans="2:7" ht="13.2" x14ac:dyDescent="0.25">
      <c r="B800" s="284"/>
      <c r="C800" s="119"/>
      <c r="D800" s="241"/>
      <c r="E800" s="119"/>
      <c r="G800" s="119"/>
    </row>
    <row r="801" spans="2:7" ht="13.2" x14ac:dyDescent="0.25">
      <c r="B801" s="284"/>
      <c r="C801" s="119"/>
      <c r="D801" s="241"/>
      <c r="E801" s="119"/>
      <c r="G801" s="119"/>
    </row>
    <row r="802" spans="2:7" ht="13.2" x14ac:dyDescent="0.25">
      <c r="B802" s="284"/>
      <c r="C802" s="119"/>
      <c r="D802" s="241"/>
      <c r="E802" s="119"/>
      <c r="G802" s="119"/>
    </row>
    <row r="803" spans="2:7" ht="13.2" x14ac:dyDescent="0.25">
      <c r="B803" s="284"/>
      <c r="C803" s="119"/>
      <c r="D803" s="241"/>
      <c r="E803" s="119"/>
      <c r="G803" s="119"/>
    </row>
    <row r="804" spans="2:7" ht="13.2" x14ac:dyDescent="0.25">
      <c r="B804" s="284"/>
      <c r="C804" s="119"/>
      <c r="D804" s="241"/>
      <c r="E804" s="119"/>
      <c r="G804" s="119"/>
    </row>
    <row r="805" spans="2:7" ht="13.2" x14ac:dyDescent="0.25">
      <c r="B805" s="284"/>
      <c r="C805" s="119"/>
      <c r="D805" s="241"/>
      <c r="E805" s="119"/>
      <c r="G805" s="119"/>
    </row>
    <row r="806" spans="2:7" ht="13.2" x14ac:dyDescent="0.25">
      <c r="B806" s="284"/>
      <c r="C806" s="119"/>
      <c r="D806" s="241"/>
      <c r="E806" s="119"/>
      <c r="G806" s="119"/>
    </row>
    <row r="807" spans="2:7" ht="13.2" x14ac:dyDescent="0.25">
      <c r="B807" s="284"/>
      <c r="C807" s="119"/>
      <c r="D807" s="241"/>
      <c r="E807" s="119"/>
      <c r="G807" s="119"/>
    </row>
    <row r="808" spans="2:7" ht="13.2" x14ac:dyDescent="0.25">
      <c r="B808" s="284"/>
      <c r="C808" s="119"/>
      <c r="D808" s="241"/>
      <c r="E808" s="119"/>
      <c r="G808" s="119"/>
    </row>
    <row r="809" spans="2:7" ht="13.2" x14ac:dyDescent="0.25">
      <c r="B809" s="284"/>
      <c r="C809" s="119"/>
      <c r="D809" s="241"/>
      <c r="E809" s="119"/>
      <c r="G809" s="119"/>
    </row>
    <row r="810" spans="2:7" ht="13.2" x14ac:dyDescent="0.25">
      <c r="B810" s="284"/>
      <c r="C810" s="119"/>
      <c r="D810" s="241"/>
      <c r="E810" s="119"/>
      <c r="G810" s="119"/>
    </row>
    <row r="811" spans="2:7" ht="13.2" x14ac:dyDescent="0.25">
      <c r="B811" s="284"/>
      <c r="C811" s="119"/>
      <c r="D811" s="241"/>
      <c r="E811" s="119"/>
      <c r="G811" s="119"/>
    </row>
    <row r="812" spans="2:7" ht="13.2" x14ac:dyDescent="0.25">
      <c r="B812" s="284"/>
      <c r="C812" s="119"/>
      <c r="D812" s="241"/>
      <c r="E812" s="119"/>
      <c r="G812" s="119"/>
    </row>
    <row r="813" spans="2:7" ht="13.2" x14ac:dyDescent="0.25">
      <c r="B813" s="284"/>
      <c r="C813" s="119"/>
      <c r="D813" s="241"/>
      <c r="E813" s="119"/>
      <c r="G813" s="119"/>
    </row>
    <row r="814" spans="2:7" ht="13.2" x14ac:dyDescent="0.25">
      <c r="B814" s="284"/>
      <c r="C814" s="119"/>
      <c r="D814" s="241"/>
      <c r="E814" s="119"/>
      <c r="G814" s="119"/>
    </row>
    <row r="815" spans="2:7" ht="13.2" x14ac:dyDescent="0.25">
      <c r="B815" s="284"/>
      <c r="C815" s="119"/>
      <c r="D815" s="241"/>
      <c r="E815" s="119"/>
      <c r="G815" s="119"/>
    </row>
    <row r="816" spans="2:7" ht="13.2" x14ac:dyDescent="0.25">
      <c r="B816" s="284"/>
      <c r="C816" s="119"/>
      <c r="D816" s="241"/>
      <c r="E816" s="119"/>
      <c r="G816" s="119"/>
    </row>
    <row r="817" spans="2:7" ht="13.2" x14ac:dyDescent="0.25">
      <c r="B817" s="284"/>
      <c r="C817" s="119"/>
      <c r="D817" s="241"/>
      <c r="E817" s="119"/>
      <c r="G817" s="119"/>
    </row>
    <row r="818" spans="2:7" ht="13.2" x14ac:dyDescent="0.25">
      <c r="B818" s="284"/>
      <c r="C818" s="119"/>
      <c r="D818" s="241"/>
      <c r="E818" s="119"/>
      <c r="G818" s="119"/>
    </row>
    <row r="819" spans="2:7" ht="13.2" x14ac:dyDescent="0.25">
      <c r="B819" s="284"/>
      <c r="C819" s="119"/>
      <c r="D819" s="241"/>
      <c r="E819" s="119"/>
      <c r="G819" s="119"/>
    </row>
    <row r="820" spans="2:7" ht="13.2" x14ac:dyDescent="0.25">
      <c r="B820" s="284"/>
      <c r="C820" s="119"/>
      <c r="D820" s="241"/>
      <c r="E820" s="119"/>
      <c r="G820" s="119"/>
    </row>
    <row r="821" spans="2:7" ht="13.2" x14ac:dyDescent="0.25">
      <c r="B821" s="284"/>
      <c r="C821" s="119"/>
      <c r="D821" s="241"/>
      <c r="E821" s="119"/>
      <c r="G821" s="119"/>
    </row>
    <row r="822" spans="2:7" ht="13.2" x14ac:dyDescent="0.25">
      <c r="B822" s="284"/>
      <c r="C822" s="119"/>
      <c r="D822" s="241"/>
      <c r="E822" s="119"/>
      <c r="G822" s="119"/>
    </row>
    <row r="823" spans="2:7" ht="13.2" x14ac:dyDescent="0.25">
      <c r="B823" s="284"/>
      <c r="C823" s="119"/>
      <c r="D823" s="241"/>
      <c r="E823" s="119"/>
      <c r="G823" s="119"/>
    </row>
    <row r="824" spans="2:7" ht="13.2" x14ac:dyDescent="0.25">
      <c r="B824" s="284"/>
      <c r="C824" s="119"/>
      <c r="D824" s="241"/>
      <c r="E824" s="119"/>
      <c r="G824" s="119"/>
    </row>
    <row r="825" spans="2:7" ht="13.2" x14ac:dyDescent="0.25">
      <c r="B825" s="284"/>
      <c r="C825" s="119"/>
      <c r="D825" s="241"/>
      <c r="E825" s="119"/>
      <c r="G825" s="119"/>
    </row>
    <row r="826" spans="2:7" ht="13.2" x14ac:dyDescent="0.25">
      <c r="B826" s="284"/>
      <c r="C826" s="119"/>
      <c r="D826" s="241"/>
      <c r="E826" s="119"/>
      <c r="G826" s="119"/>
    </row>
    <row r="827" spans="2:7" ht="13.2" x14ac:dyDescent="0.25">
      <c r="B827" s="284"/>
      <c r="C827" s="119"/>
      <c r="D827" s="241"/>
      <c r="E827" s="119"/>
      <c r="G827" s="119"/>
    </row>
    <row r="828" spans="2:7" ht="13.2" x14ac:dyDescent="0.25">
      <c r="B828" s="284"/>
      <c r="C828" s="119"/>
      <c r="D828" s="241"/>
      <c r="E828" s="119"/>
      <c r="G828" s="119"/>
    </row>
    <row r="829" spans="2:7" ht="13.2" x14ac:dyDescent="0.25">
      <c r="B829" s="284"/>
      <c r="C829" s="119"/>
      <c r="D829" s="241"/>
      <c r="E829" s="119"/>
      <c r="G829" s="119"/>
    </row>
    <row r="830" spans="2:7" ht="13.2" x14ac:dyDescent="0.25">
      <c r="B830" s="284"/>
      <c r="C830" s="119"/>
      <c r="D830" s="241"/>
      <c r="E830" s="119"/>
      <c r="G830" s="119"/>
    </row>
    <row r="831" spans="2:7" ht="13.2" x14ac:dyDescent="0.25">
      <c r="B831" s="284"/>
      <c r="C831" s="119"/>
      <c r="D831" s="241"/>
      <c r="E831" s="119"/>
      <c r="G831" s="119"/>
    </row>
    <row r="832" spans="2:7" ht="13.2" x14ac:dyDescent="0.25">
      <c r="B832" s="284"/>
      <c r="C832" s="119"/>
      <c r="D832" s="241"/>
      <c r="E832" s="119"/>
      <c r="G832" s="119"/>
    </row>
    <row r="833" spans="2:7" ht="13.2" x14ac:dyDescent="0.25">
      <c r="B833" s="284"/>
      <c r="C833" s="119"/>
      <c r="D833" s="241"/>
      <c r="E833" s="119"/>
      <c r="G833" s="119"/>
    </row>
    <row r="834" spans="2:7" ht="13.2" x14ac:dyDescent="0.25">
      <c r="B834" s="284"/>
      <c r="C834" s="119"/>
      <c r="D834" s="241"/>
      <c r="E834" s="119"/>
      <c r="G834" s="119"/>
    </row>
    <row r="835" spans="2:7" ht="13.2" x14ac:dyDescent="0.25">
      <c r="B835" s="284"/>
      <c r="C835" s="119"/>
      <c r="D835" s="241"/>
      <c r="E835" s="119"/>
      <c r="G835" s="119"/>
    </row>
    <row r="836" spans="2:7" ht="13.2" x14ac:dyDescent="0.25">
      <c r="B836" s="284"/>
      <c r="C836" s="119"/>
      <c r="D836" s="241"/>
      <c r="E836" s="119"/>
      <c r="G836" s="119"/>
    </row>
    <row r="837" spans="2:7" ht="13.2" x14ac:dyDescent="0.25">
      <c r="B837" s="284"/>
      <c r="C837" s="119"/>
      <c r="D837" s="241"/>
      <c r="E837" s="119"/>
      <c r="G837" s="119"/>
    </row>
    <row r="838" spans="2:7" ht="13.2" x14ac:dyDescent="0.25">
      <c r="B838" s="284"/>
      <c r="C838" s="119"/>
      <c r="D838" s="241"/>
      <c r="E838" s="119"/>
      <c r="G838" s="119"/>
    </row>
    <row r="839" spans="2:7" ht="13.2" x14ac:dyDescent="0.25">
      <c r="B839" s="284"/>
      <c r="C839" s="119"/>
      <c r="D839" s="241"/>
      <c r="E839" s="119"/>
      <c r="G839" s="119"/>
    </row>
    <row r="840" spans="2:7" ht="13.2" x14ac:dyDescent="0.25">
      <c r="B840" s="284"/>
      <c r="C840" s="119"/>
      <c r="D840" s="241"/>
      <c r="E840" s="119"/>
      <c r="G840" s="119"/>
    </row>
    <row r="841" spans="2:7" ht="13.2" x14ac:dyDescent="0.25">
      <c r="B841" s="284"/>
      <c r="C841" s="119"/>
      <c r="D841" s="241"/>
      <c r="E841" s="119"/>
      <c r="G841" s="119"/>
    </row>
    <row r="842" spans="2:7" ht="13.2" x14ac:dyDescent="0.25">
      <c r="B842" s="284"/>
      <c r="C842" s="119"/>
      <c r="D842" s="241"/>
      <c r="E842" s="119"/>
      <c r="G842" s="119"/>
    </row>
    <row r="843" spans="2:7" ht="13.2" x14ac:dyDescent="0.25">
      <c r="B843" s="284"/>
      <c r="C843" s="119"/>
      <c r="D843" s="241"/>
      <c r="E843" s="119"/>
      <c r="G843" s="119"/>
    </row>
    <row r="844" spans="2:7" ht="13.2" x14ac:dyDescent="0.25">
      <c r="B844" s="284"/>
      <c r="C844" s="119"/>
      <c r="D844" s="241"/>
      <c r="E844" s="119"/>
      <c r="G844" s="119"/>
    </row>
    <row r="845" spans="2:7" ht="13.2" x14ac:dyDescent="0.25">
      <c r="B845" s="284"/>
      <c r="C845" s="119"/>
      <c r="D845" s="241"/>
      <c r="E845" s="119"/>
      <c r="G845" s="119"/>
    </row>
    <row r="846" spans="2:7" ht="13.2" x14ac:dyDescent="0.25">
      <c r="B846" s="284"/>
      <c r="C846" s="119"/>
      <c r="D846" s="241"/>
      <c r="E846" s="119"/>
      <c r="G846" s="119"/>
    </row>
    <row r="847" spans="2:7" ht="13.2" x14ac:dyDescent="0.25">
      <c r="B847" s="284"/>
      <c r="C847" s="119"/>
      <c r="D847" s="241"/>
      <c r="E847" s="119"/>
      <c r="G847" s="119"/>
    </row>
    <row r="848" spans="2:7" ht="13.2" x14ac:dyDescent="0.25">
      <c r="B848" s="284"/>
      <c r="C848" s="119"/>
      <c r="D848" s="241"/>
      <c r="E848" s="119"/>
      <c r="G848" s="119"/>
    </row>
    <row r="849" spans="2:7" ht="13.2" x14ac:dyDescent="0.25">
      <c r="B849" s="284"/>
      <c r="C849" s="119"/>
      <c r="D849" s="241"/>
      <c r="E849" s="119"/>
      <c r="G849" s="119"/>
    </row>
    <row r="850" spans="2:7" ht="13.2" x14ac:dyDescent="0.25">
      <c r="B850" s="284"/>
      <c r="C850" s="119"/>
      <c r="D850" s="241"/>
      <c r="E850" s="119"/>
      <c r="G850" s="119"/>
    </row>
    <row r="851" spans="2:7" ht="13.2" x14ac:dyDescent="0.25">
      <c r="B851" s="284"/>
      <c r="C851" s="119"/>
      <c r="D851" s="241"/>
      <c r="E851" s="119"/>
      <c r="G851" s="119"/>
    </row>
    <row r="852" spans="2:7" ht="13.2" x14ac:dyDescent="0.25">
      <c r="B852" s="284"/>
      <c r="C852" s="119"/>
      <c r="D852" s="241"/>
      <c r="E852" s="119"/>
      <c r="G852" s="119"/>
    </row>
    <row r="853" spans="2:7" ht="13.2" x14ac:dyDescent="0.25">
      <c r="B853" s="284"/>
      <c r="C853" s="119"/>
      <c r="D853" s="241"/>
      <c r="E853" s="119"/>
      <c r="G853" s="119"/>
    </row>
    <row r="854" spans="2:7" ht="13.2" x14ac:dyDescent="0.25">
      <c r="B854" s="284"/>
      <c r="C854" s="119"/>
      <c r="D854" s="241"/>
      <c r="E854" s="119"/>
      <c r="G854" s="119"/>
    </row>
    <row r="855" spans="2:7" ht="13.2" x14ac:dyDescent="0.25">
      <c r="B855" s="284"/>
      <c r="C855" s="119"/>
      <c r="D855" s="241"/>
      <c r="E855" s="119"/>
      <c r="G855" s="119"/>
    </row>
    <row r="856" spans="2:7" ht="13.2" x14ac:dyDescent="0.25">
      <c r="B856" s="284"/>
      <c r="C856" s="119"/>
      <c r="D856" s="241"/>
      <c r="E856" s="119"/>
      <c r="G856" s="119"/>
    </row>
    <row r="857" spans="2:7" ht="13.2" x14ac:dyDescent="0.25">
      <c r="B857" s="284"/>
      <c r="C857" s="119"/>
      <c r="D857" s="241"/>
      <c r="E857" s="119"/>
      <c r="G857" s="119"/>
    </row>
    <row r="858" spans="2:7" ht="13.2" x14ac:dyDescent="0.25">
      <c r="B858" s="284"/>
      <c r="C858" s="119"/>
      <c r="D858" s="241"/>
      <c r="E858" s="119"/>
      <c r="G858" s="119"/>
    </row>
    <row r="859" spans="2:7" ht="13.2" x14ac:dyDescent="0.25">
      <c r="B859" s="284"/>
      <c r="C859" s="119"/>
      <c r="D859" s="241"/>
      <c r="E859" s="119"/>
      <c r="G859" s="119"/>
    </row>
    <row r="860" spans="2:7" ht="13.2" x14ac:dyDescent="0.25">
      <c r="B860" s="284"/>
      <c r="C860" s="119"/>
      <c r="D860" s="241"/>
      <c r="E860" s="119"/>
      <c r="G860" s="119"/>
    </row>
    <row r="861" spans="2:7" ht="13.2" x14ac:dyDescent="0.25">
      <c r="B861" s="284"/>
      <c r="C861" s="119"/>
      <c r="D861" s="241"/>
      <c r="E861" s="119"/>
      <c r="G861" s="119"/>
    </row>
    <row r="862" spans="2:7" ht="13.2" x14ac:dyDescent="0.25">
      <c r="B862" s="284"/>
      <c r="C862" s="119"/>
      <c r="D862" s="241"/>
      <c r="E862" s="119"/>
      <c r="G862" s="119"/>
    </row>
    <row r="863" spans="2:7" ht="13.2" x14ac:dyDescent="0.25">
      <c r="B863" s="284"/>
      <c r="C863" s="119"/>
      <c r="D863" s="241"/>
      <c r="E863" s="119"/>
      <c r="G863" s="119"/>
    </row>
    <row r="864" spans="2:7" ht="13.2" x14ac:dyDescent="0.25">
      <c r="B864" s="284"/>
      <c r="C864" s="119"/>
      <c r="D864" s="241"/>
      <c r="E864" s="119"/>
      <c r="G864" s="119"/>
    </row>
    <row r="865" spans="2:7" ht="13.2" x14ac:dyDescent="0.25">
      <c r="B865" s="284"/>
      <c r="C865" s="119"/>
      <c r="D865" s="241"/>
      <c r="E865" s="119"/>
      <c r="G865" s="119"/>
    </row>
    <row r="866" spans="2:7" ht="13.2" x14ac:dyDescent="0.25">
      <c r="B866" s="284"/>
      <c r="C866" s="119"/>
      <c r="D866" s="241"/>
      <c r="E866" s="119"/>
      <c r="G866" s="119"/>
    </row>
    <row r="867" spans="2:7" ht="13.2" x14ac:dyDescent="0.25">
      <c r="B867" s="284"/>
      <c r="C867" s="119"/>
      <c r="D867" s="241"/>
      <c r="E867" s="119"/>
      <c r="G867" s="119"/>
    </row>
    <row r="868" spans="2:7" ht="13.2" x14ac:dyDescent="0.25">
      <c r="B868" s="284"/>
      <c r="C868" s="119"/>
      <c r="D868" s="241"/>
      <c r="E868" s="119"/>
      <c r="G868" s="119"/>
    </row>
    <row r="869" spans="2:7" ht="13.2" x14ac:dyDescent="0.25">
      <c r="B869" s="284"/>
      <c r="C869" s="119"/>
      <c r="D869" s="241"/>
      <c r="E869" s="119"/>
      <c r="G869" s="119"/>
    </row>
    <row r="870" spans="2:7" ht="13.2" x14ac:dyDescent="0.25">
      <c r="B870" s="284"/>
      <c r="C870" s="119"/>
      <c r="D870" s="241"/>
      <c r="E870" s="119"/>
      <c r="G870" s="119"/>
    </row>
    <row r="871" spans="2:7" ht="13.2" x14ac:dyDescent="0.25">
      <c r="B871" s="284"/>
      <c r="C871" s="119"/>
      <c r="D871" s="241"/>
      <c r="E871" s="119"/>
      <c r="G871" s="119"/>
    </row>
    <row r="872" spans="2:7" ht="13.2" x14ac:dyDescent="0.25">
      <c r="B872" s="284"/>
      <c r="C872" s="119"/>
      <c r="D872" s="241"/>
      <c r="E872" s="119"/>
      <c r="G872" s="119"/>
    </row>
    <row r="873" spans="2:7" ht="13.2" x14ac:dyDescent="0.25">
      <c r="B873" s="284"/>
      <c r="C873" s="119"/>
      <c r="D873" s="241"/>
      <c r="E873" s="119"/>
      <c r="G873" s="119"/>
    </row>
    <row r="874" spans="2:7" ht="13.2" x14ac:dyDescent="0.25">
      <c r="B874" s="284"/>
      <c r="C874" s="119"/>
      <c r="D874" s="241"/>
      <c r="E874" s="119"/>
      <c r="G874" s="119"/>
    </row>
    <row r="875" spans="2:7" ht="13.2" x14ac:dyDescent="0.25">
      <c r="B875" s="284"/>
      <c r="C875" s="119"/>
      <c r="D875" s="241"/>
      <c r="E875" s="119"/>
      <c r="G875" s="119"/>
    </row>
    <row r="876" spans="2:7" ht="13.2" x14ac:dyDescent="0.25">
      <c r="B876" s="284"/>
      <c r="C876" s="119"/>
      <c r="D876" s="241"/>
      <c r="E876" s="119"/>
      <c r="G876" s="119"/>
    </row>
    <row r="877" spans="2:7" ht="13.2" x14ac:dyDescent="0.25">
      <c r="B877" s="284"/>
      <c r="C877" s="119"/>
      <c r="D877" s="241"/>
      <c r="E877" s="119"/>
      <c r="G877" s="119"/>
    </row>
    <row r="878" spans="2:7" ht="13.2" x14ac:dyDescent="0.25">
      <c r="B878" s="284"/>
      <c r="C878" s="119"/>
      <c r="D878" s="241"/>
      <c r="E878" s="119"/>
      <c r="G878" s="119"/>
    </row>
    <row r="879" spans="2:7" ht="13.2" x14ac:dyDescent="0.25">
      <c r="B879" s="284"/>
      <c r="C879" s="119"/>
      <c r="D879" s="241"/>
      <c r="E879" s="119"/>
      <c r="G879" s="119"/>
    </row>
    <row r="880" spans="2:7" ht="13.2" x14ac:dyDescent="0.25">
      <c r="B880" s="284"/>
      <c r="C880" s="119"/>
      <c r="D880" s="241"/>
      <c r="E880" s="119"/>
      <c r="G880" s="119"/>
    </row>
    <row r="881" spans="2:7" ht="13.2" x14ac:dyDescent="0.25">
      <c r="B881" s="284"/>
      <c r="C881" s="119"/>
      <c r="D881" s="241"/>
      <c r="E881" s="119"/>
      <c r="G881" s="119"/>
    </row>
    <row r="882" spans="2:7" ht="13.2" x14ac:dyDescent="0.25">
      <c r="B882" s="284"/>
      <c r="C882" s="119"/>
      <c r="D882" s="241"/>
      <c r="E882" s="119"/>
      <c r="G882" s="119"/>
    </row>
    <row r="883" spans="2:7" ht="13.2" x14ac:dyDescent="0.25">
      <c r="B883" s="284"/>
      <c r="C883" s="119"/>
      <c r="D883" s="241"/>
      <c r="E883" s="119"/>
      <c r="G883" s="119"/>
    </row>
    <row r="884" spans="2:7" ht="13.2" x14ac:dyDescent="0.25">
      <c r="B884" s="284"/>
      <c r="C884" s="119"/>
      <c r="D884" s="241"/>
      <c r="E884" s="119"/>
      <c r="G884" s="119"/>
    </row>
    <row r="885" spans="2:7" ht="13.2" x14ac:dyDescent="0.25">
      <c r="B885" s="284"/>
      <c r="C885" s="119"/>
      <c r="D885" s="241"/>
      <c r="E885" s="119"/>
      <c r="G885" s="119"/>
    </row>
    <row r="886" spans="2:7" ht="13.2" x14ac:dyDescent="0.25">
      <c r="B886" s="284"/>
      <c r="C886" s="119"/>
      <c r="D886" s="241"/>
      <c r="E886" s="119"/>
      <c r="G886" s="119"/>
    </row>
    <row r="887" spans="2:7" ht="13.2" x14ac:dyDescent="0.25">
      <c r="B887" s="284"/>
      <c r="C887" s="119"/>
      <c r="D887" s="241"/>
      <c r="E887" s="119"/>
      <c r="G887" s="119"/>
    </row>
    <row r="888" spans="2:7" ht="13.2" x14ac:dyDescent="0.25">
      <c r="B888" s="284"/>
      <c r="C888" s="119"/>
      <c r="D888" s="241"/>
      <c r="E888" s="119"/>
      <c r="G888" s="119"/>
    </row>
    <row r="889" spans="2:7" ht="13.2" x14ac:dyDescent="0.25">
      <c r="B889" s="284"/>
      <c r="C889" s="119"/>
      <c r="D889" s="241"/>
      <c r="E889" s="119"/>
      <c r="G889" s="119"/>
    </row>
    <row r="890" spans="2:7" ht="13.2" x14ac:dyDescent="0.25">
      <c r="B890" s="284"/>
      <c r="C890" s="119"/>
      <c r="D890" s="241"/>
      <c r="E890" s="119"/>
      <c r="G890" s="119"/>
    </row>
    <row r="891" spans="2:7" ht="13.2" x14ac:dyDescent="0.25">
      <c r="B891" s="284"/>
      <c r="C891" s="119"/>
      <c r="D891" s="241"/>
      <c r="E891" s="119"/>
      <c r="G891" s="119"/>
    </row>
    <row r="892" spans="2:7" ht="13.2" x14ac:dyDescent="0.25">
      <c r="B892" s="284"/>
      <c r="C892" s="119"/>
      <c r="D892" s="241"/>
      <c r="E892" s="119"/>
      <c r="G892" s="119"/>
    </row>
    <row r="893" spans="2:7" ht="13.2" x14ac:dyDescent="0.25">
      <c r="B893" s="284"/>
      <c r="C893" s="119"/>
      <c r="D893" s="241"/>
      <c r="E893" s="119"/>
      <c r="G893" s="119"/>
    </row>
    <row r="894" spans="2:7" ht="13.2" x14ac:dyDescent="0.25">
      <c r="B894" s="284"/>
      <c r="C894" s="119"/>
      <c r="D894" s="241"/>
      <c r="E894" s="119"/>
      <c r="G894" s="119"/>
    </row>
    <row r="895" spans="2:7" ht="13.2" x14ac:dyDescent="0.25">
      <c r="B895" s="284"/>
      <c r="C895" s="119"/>
      <c r="D895" s="241"/>
      <c r="E895" s="119"/>
      <c r="G895" s="119"/>
    </row>
    <row r="896" spans="2:7" ht="13.2" x14ac:dyDescent="0.25">
      <c r="B896" s="284"/>
      <c r="C896" s="119"/>
      <c r="D896" s="241"/>
      <c r="E896" s="119"/>
      <c r="G896" s="119"/>
    </row>
    <row r="897" spans="2:7" ht="13.2" x14ac:dyDescent="0.25">
      <c r="B897" s="284"/>
      <c r="C897" s="119"/>
      <c r="D897" s="241"/>
      <c r="E897" s="119"/>
      <c r="G897" s="119"/>
    </row>
    <row r="898" spans="2:7" ht="13.2" x14ac:dyDescent="0.25">
      <c r="B898" s="284"/>
      <c r="C898" s="119"/>
      <c r="D898" s="241"/>
      <c r="E898" s="119"/>
      <c r="G898" s="119"/>
    </row>
    <row r="899" spans="2:7" ht="13.2" x14ac:dyDescent="0.25">
      <c r="B899" s="284"/>
      <c r="C899" s="119"/>
      <c r="D899" s="241"/>
      <c r="E899" s="119"/>
      <c r="G899" s="119"/>
    </row>
    <row r="900" spans="2:7" ht="13.2" x14ac:dyDescent="0.25">
      <c r="B900" s="284"/>
      <c r="C900" s="119"/>
      <c r="D900" s="241"/>
      <c r="E900" s="119"/>
      <c r="G900" s="119"/>
    </row>
    <row r="901" spans="2:7" ht="13.2" x14ac:dyDescent="0.25">
      <c r="B901" s="284"/>
      <c r="C901" s="119"/>
      <c r="D901" s="241"/>
      <c r="E901" s="119"/>
      <c r="G901" s="119"/>
    </row>
    <row r="902" spans="2:7" ht="13.2" x14ac:dyDescent="0.25">
      <c r="B902" s="284"/>
      <c r="C902" s="119"/>
      <c r="D902" s="241"/>
      <c r="E902" s="119"/>
      <c r="G902" s="119"/>
    </row>
    <row r="903" spans="2:7" ht="13.2" x14ac:dyDescent="0.25">
      <c r="B903" s="284"/>
      <c r="C903" s="119"/>
      <c r="D903" s="241"/>
      <c r="E903" s="119"/>
      <c r="G903" s="119"/>
    </row>
    <row r="904" spans="2:7" ht="13.2" x14ac:dyDescent="0.25">
      <c r="B904" s="284"/>
      <c r="C904" s="119"/>
      <c r="D904" s="241"/>
      <c r="E904" s="119"/>
      <c r="G904" s="119"/>
    </row>
    <row r="905" spans="2:7" ht="13.2" x14ac:dyDescent="0.25">
      <c r="B905" s="284"/>
      <c r="C905" s="119"/>
      <c r="D905" s="241"/>
      <c r="E905" s="119"/>
      <c r="G905" s="119"/>
    </row>
    <row r="906" spans="2:7" ht="13.2" x14ac:dyDescent="0.25">
      <c r="B906" s="284"/>
      <c r="C906" s="119"/>
      <c r="D906" s="241"/>
      <c r="E906" s="119"/>
      <c r="G906" s="119"/>
    </row>
    <row r="907" spans="2:7" ht="13.2" x14ac:dyDescent="0.25">
      <c r="B907" s="284"/>
      <c r="C907" s="119"/>
      <c r="D907" s="241"/>
      <c r="E907" s="119"/>
      <c r="G907" s="119"/>
    </row>
    <row r="908" spans="2:7" ht="13.2" x14ac:dyDescent="0.25">
      <c r="B908" s="284"/>
      <c r="C908" s="119"/>
      <c r="D908" s="241"/>
      <c r="E908" s="119"/>
      <c r="G908" s="119"/>
    </row>
    <row r="909" spans="2:7" ht="13.2" x14ac:dyDescent="0.25">
      <c r="B909" s="284"/>
      <c r="C909" s="119"/>
      <c r="D909" s="241"/>
      <c r="E909" s="119"/>
      <c r="G909" s="119"/>
    </row>
    <row r="910" spans="2:7" ht="13.2" x14ac:dyDescent="0.25">
      <c r="B910" s="284"/>
      <c r="C910" s="119"/>
      <c r="D910" s="241"/>
      <c r="E910" s="119"/>
      <c r="G910" s="119"/>
    </row>
    <row r="911" spans="2:7" ht="13.2" x14ac:dyDescent="0.25">
      <c r="B911" s="284"/>
      <c r="C911" s="119"/>
      <c r="D911" s="241"/>
      <c r="E911" s="119"/>
      <c r="G911" s="119"/>
    </row>
    <row r="912" spans="2:7" ht="13.2" x14ac:dyDescent="0.25">
      <c r="B912" s="284"/>
      <c r="C912" s="119"/>
      <c r="D912" s="241"/>
      <c r="E912" s="119"/>
      <c r="G912" s="119"/>
    </row>
    <row r="913" spans="2:7" ht="13.2" x14ac:dyDescent="0.25">
      <c r="B913" s="284"/>
      <c r="C913" s="119"/>
      <c r="D913" s="241"/>
      <c r="E913" s="119"/>
      <c r="G913" s="119"/>
    </row>
    <row r="914" spans="2:7" ht="13.2" x14ac:dyDescent="0.25">
      <c r="B914" s="284"/>
      <c r="C914" s="119"/>
      <c r="D914" s="241"/>
      <c r="E914" s="119"/>
      <c r="G914" s="119"/>
    </row>
    <row r="915" spans="2:7" ht="13.2" x14ac:dyDescent="0.25">
      <c r="B915" s="284"/>
      <c r="C915" s="119"/>
      <c r="D915" s="241"/>
      <c r="E915" s="119"/>
      <c r="G915" s="119"/>
    </row>
    <row r="916" spans="2:7" ht="13.2" x14ac:dyDescent="0.25">
      <c r="B916" s="284"/>
      <c r="C916" s="119"/>
      <c r="D916" s="241"/>
      <c r="E916" s="119"/>
      <c r="G916" s="119"/>
    </row>
    <row r="917" spans="2:7" ht="13.2" x14ac:dyDescent="0.25">
      <c r="B917" s="284"/>
      <c r="C917" s="119"/>
      <c r="D917" s="241"/>
      <c r="E917" s="119"/>
      <c r="G917" s="119"/>
    </row>
    <row r="918" spans="2:7" ht="13.2" x14ac:dyDescent="0.25">
      <c r="B918" s="284"/>
      <c r="C918" s="119"/>
      <c r="D918" s="241"/>
      <c r="E918" s="119"/>
      <c r="G918" s="119"/>
    </row>
    <row r="919" spans="2:7" ht="13.2" x14ac:dyDescent="0.25">
      <c r="B919" s="284"/>
      <c r="C919" s="119"/>
      <c r="D919" s="241"/>
      <c r="E919" s="119"/>
      <c r="G919" s="119"/>
    </row>
    <row r="920" spans="2:7" ht="13.2" x14ac:dyDescent="0.25">
      <c r="B920" s="284"/>
      <c r="C920" s="119"/>
      <c r="D920" s="241"/>
      <c r="E920" s="119"/>
      <c r="G920" s="119"/>
    </row>
    <row r="921" spans="2:7" ht="13.2" x14ac:dyDescent="0.25">
      <c r="B921" s="284"/>
      <c r="C921" s="119"/>
      <c r="D921" s="241"/>
      <c r="E921" s="119"/>
      <c r="G921" s="119"/>
    </row>
    <row r="922" spans="2:7" ht="13.2" x14ac:dyDescent="0.25">
      <c r="B922" s="284"/>
      <c r="C922" s="119"/>
      <c r="D922" s="241"/>
      <c r="E922" s="119"/>
      <c r="G922" s="119"/>
    </row>
    <row r="923" spans="2:7" ht="13.2" x14ac:dyDescent="0.25">
      <c r="B923" s="284"/>
      <c r="C923" s="119"/>
      <c r="D923" s="241"/>
      <c r="E923" s="119"/>
      <c r="G923" s="119"/>
    </row>
    <row r="924" spans="2:7" ht="13.2" x14ac:dyDescent="0.25">
      <c r="B924" s="284"/>
      <c r="C924" s="119"/>
      <c r="D924" s="241"/>
      <c r="E924" s="119"/>
      <c r="G924" s="119"/>
    </row>
    <row r="925" spans="2:7" ht="13.2" x14ac:dyDescent="0.25">
      <c r="B925" s="284"/>
      <c r="C925" s="119"/>
      <c r="D925" s="241"/>
      <c r="E925" s="119"/>
      <c r="G925" s="119"/>
    </row>
    <row r="926" spans="2:7" ht="13.2" x14ac:dyDescent="0.25">
      <c r="B926" s="284"/>
      <c r="C926" s="119"/>
      <c r="D926" s="241"/>
      <c r="E926" s="119"/>
      <c r="G926" s="119"/>
    </row>
    <row r="927" spans="2:7" ht="13.2" x14ac:dyDescent="0.25">
      <c r="B927" s="284"/>
      <c r="C927" s="119"/>
      <c r="D927" s="241"/>
      <c r="E927" s="119"/>
      <c r="G927" s="119"/>
    </row>
    <row r="928" spans="2:7" ht="13.2" x14ac:dyDescent="0.25">
      <c r="B928" s="284"/>
      <c r="C928" s="119"/>
      <c r="D928" s="241"/>
      <c r="E928" s="119"/>
      <c r="G928" s="119"/>
    </row>
    <row r="929" spans="2:7" ht="13.2" x14ac:dyDescent="0.25">
      <c r="B929" s="284"/>
      <c r="C929" s="119"/>
      <c r="D929" s="241"/>
      <c r="E929" s="119"/>
      <c r="G929" s="119"/>
    </row>
    <row r="930" spans="2:7" ht="13.2" x14ac:dyDescent="0.25">
      <c r="B930" s="284"/>
      <c r="C930" s="119"/>
      <c r="D930" s="241"/>
      <c r="E930" s="119"/>
      <c r="G930" s="119"/>
    </row>
    <row r="931" spans="2:7" ht="13.2" x14ac:dyDescent="0.25">
      <c r="B931" s="284"/>
      <c r="C931" s="119"/>
      <c r="D931" s="241"/>
      <c r="E931" s="119"/>
      <c r="G931" s="119"/>
    </row>
    <row r="932" spans="2:7" ht="13.2" x14ac:dyDescent="0.25">
      <c r="B932" s="284"/>
      <c r="C932" s="119"/>
      <c r="D932" s="241"/>
      <c r="E932" s="119"/>
      <c r="G932" s="119"/>
    </row>
    <row r="933" spans="2:7" ht="13.2" x14ac:dyDescent="0.25">
      <c r="B933" s="284"/>
      <c r="C933" s="119"/>
      <c r="D933" s="241"/>
      <c r="E933" s="119"/>
      <c r="G933" s="119"/>
    </row>
    <row r="934" spans="2:7" ht="13.2" x14ac:dyDescent="0.25">
      <c r="B934" s="284"/>
      <c r="C934" s="119"/>
      <c r="D934" s="241"/>
      <c r="E934" s="119"/>
      <c r="G934" s="119"/>
    </row>
    <row r="935" spans="2:7" ht="13.2" x14ac:dyDescent="0.25">
      <c r="B935" s="284"/>
      <c r="C935" s="119"/>
      <c r="D935" s="241"/>
      <c r="E935" s="119"/>
      <c r="G935" s="119"/>
    </row>
    <row r="936" spans="2:7" ht="13.2" x14ac:dyDescent="0.25">
      <c r="B936" s="284"/>
      <c r="C936" s="119"/>
      <c r="D936" s="241"/>
      <c r="E936" s="119"/>
      <c r="G936" s="119"/>
    </row>
    <row r="937" spans="2:7" ht="13.2" x14ac:dyDescent="0.25">
      <c r="B937" s="284"/>
      <c r="C937" s="119"/>
      <c r="D937" s="241"/>
      <c r="E937" s="119"/>
      <c r="G937" s="119"/>
    </row>
    <row r="938" spans="2:7" ht="13.2" x14ac:dyDescent="0.25">
      <c r="B938" s="284"/>
      <c r="C938" s="119"/>
      <c r="D938" s="241"/>
      <c r="E938" s="119"/>
      <c r="G938" s="119"/>
    </row>
    <row r="939" spans="2:7" ht="13.2" x14ac:dyDescent="0.25">
      <c r="B939" s="284"/>
      <c r="C939" s="119"/>
      <c r="D939" s="241"/>
      <c r="E939" s="119"/>
      <c r="G939" s="119"/>
    </row>
    <row r="940" spans="2:7" ht="13.2" x14ac:dyDescent="0.25">
      <c r="B940" s="284"/>
      <c r="C940" s="119"/>
      <c r="D940" s="241"/>
      <c r="E940" s="119"/>
      <c r="G940" s="119"/>
    </row>
    <row r="941" spans="2:7" ht="13.2" x14ac:dyDescent="0.25">
      <c r="B941" s="284"/>
      <c r="C941" s="119"/>
      <c r="D941" s="241"/>
      <c r="E941" s="119"/>
      <c r="G941" s="119"/>
    </row>
    <row r="942" spans="2:7" ht="13.2" x14ac:dyDescent="0.25">
      <c r="B942" s="284"/>
      <c r="C942" s="119"/>
      <c r="D942" s="241"/>
      <c r="E942" s="119"/>
      <c r="G942" s="119"/>
    </row>
    <row r="943" spans="2:7" ht="13.2" x14ac:dyDescent="0.25">
      <c r="B943" s="284"/>
      <c r="C943" s="119"/>
      <c r="D943" s="241"/>
      <c r="E943" s="119"/>
      <c r="G943" s="119"/>
    </row>
    <row r="944" spans="2:7" ht="13.2" x14ac:dyDescent="0.25">
      <c r="B944" s="284"/>
      <c r="C944" s="119"/>
      <c r="D944" s="241"/>
      <c r="E944" s="119"/>
      <c r="G944" s="119"/>
    </row>
    <row r="945" spans="2:7" ht="13.2" x14ac:dyDescent="0.25">
      <c r="B945" s="284"/>
      <c r="C945" s="119"/>
      <c r="D945" s="241"/>
      <c r="E945" s="119"/>
      <c r="G945" s="119"/>
    </row>
    <row r="946" spans="2:7" ht="13.2" x14ac:dyDescent="0.25">
      <c r="B946" s="284"/>
      <c r="C946" s="119"/>
      <c r="D946" s="241"/>
      <c r="E946" s="119"/>
      <c r="G946" s="119"/>
    </row>
    <row r="947" spans="2:7" ht="13.2" x14ac:dyDescent="0.25">
      <c r="B947" s="284"/>
      <c r="C947" s="119"/>
      <c r="D947" s="241"/>
      <c r="E947" s="119"/>
      <c r="G947" s="119"/>
    </row>
    <row r="948" spans="2:7" ht="13.2" x14ac:dyDescent="0.25">
      <c r="B948" s="284"/>
      <c r="C948" s="119"/>
      <c r="D948" s="241"/>
      <c r="E948" s="119"/>
      <c r="G948" s="119"/>
    </row>
    <row r="949" spans="2:7" ht="13.2" x14ac:dyDescent="0.25">
      <c r="B949" s="284"/>
      <c r="C949" s="119"/>
      <c r="D949" s="241"/>
      <c r="E949" s="119"/>
      <c r="G949" s="119"/>
    </row>
    <row r="950" spans="2:7" ht="13.2" x14ac:dyDescent="0.25">
      <c r="B950" s="284"/>
      <c r="C950" s="119"/>
      <c r="D950" s="241"/>
      <c r="E950" s="119"/>
      <c r="G950" s="119"/>
    </row>
    <row r="951" spans="2:7" ht="13.2" x14ac:dyDescent="0.25">
      <c r="B951" s="284"/>
      <c r="C951" s="119"/>
      <c r="D951" s="241"/>
      <c r="E951" s="119"/>
      <c r="G951" s="119"/>
    </row>
    <row r="952" spans="2:7" ht="13.2" x14ac:dyDescent="0.25">
      <c r="B952" s="284"/>
      <c r="C952" s="119"/>
      <c r="D952" s="241"/>
      <c r="E952" s="119"/>
      <c r="G952" s="119"/>
    </row>
    <row r="953" spans="2:7" ht="13.2" x14ac:dyDescent="0.25">
      <c r="B953" s="284"/>
      <c r="C953" s="119"/>
      <c r="D953" s="241"/>
      <c r="E953" s="119"/>
      <c r="G953" s="119"/>
    </row>
    <row r="954" spans="2:7" ht="13.2" x14ac:dyDescent="0.25">
      <c r="B954" s="284"/>
      <c r="C954" s="119"/>
      <c r="D954" s="241"/>
      <c r="E954" s="119"/>
      <c r="G954" s="119"/>
    </row>
    <row r="955" spans="2:7" ht="13.2" x14ac:dyDescent="0.25">
      <c r="B955" s="284"/>
      <c r="C955" s="119"/>
      <c r="D955" s="241"/>
      <c r="E955" s="119"/>
      <c r="G955" s="119"/>
    </row>
    <row r="956" spans="2:7" ht="13.2" x14ac:dyDescent="0.25">
      <c r="B956" s="284"/>
      <c r="C956" s="119"/>
      <c r="D956" s="241"/>
      <c r="E956" s="119"/>
      <c r="G956" s="119"/>
    </row>
    <row r="957" spans="2:7" ht="13.2" x14ac:dyDescent="0.25">
      <c r="B957" s="284"/>
      <c r="C957" s="119"/>
      <c r="D957" s="241"/>
      <c r="E957" s="119"/>
      <c r="G957" s="119"/>
    </row>
    <row r="958" spans="2:7" ht="13.2" x14ac:dyDescent="0.25">
      <c r="B958" s="284"/>
      <c r="C958" s="119"/>
      <c r="D958" s="241"/>
      <c r="E958" s="119"/>
      <c r="G958" s="119"/>
    </row>
    <row r="959" spans="2:7" ht="13.2" x14ac:dyDescent="0.25">
      <c r="B959" s="284"/>
      <c r="C959" s="119"/>
      <c r="D959" s="241"/>
      <c r="E959" s="119"/>
      <c r="G959" s="119"/>
    </row>
    <row r="960" spans="2:7" ht="13.2" x14ac:dyDescent="0.25">
      <c r="B960" s="284"/>
      <c r="C960" s="119"/>
      <c r="D960" s="241"/>
      <c r="E960" s="119"/>
      <c r="G960" s="119"/>
    </row>
    <row r="961" spans="2:7" ht="13.2" x14ac:dyDescent="0.25">
      <c r="B961" s="284"/>
      <c r="C961" s="119"/>
      <c r="D961" s="241"/>
      <c r="E961" s="119"/>
      <c r="G961" s="119"/>
    </row>
    <row r="962" spans="2:7" ht="13.2" x14ac:dyDescent="0.25">
      <c r="B962" s="284"/>
      <c r="C962" s="119"/>
      <c r="D962" s="241"/>
      <c r="E962" s="119"/>
      <c r="G962" s="119"/>
    </row>
    <row r="963" spans="2:7" ht="13.2" x14ac:dyDescent="0.25">
      <c r="B963" s="284"/>
      <c r="C963" s="119"/>
      <c r="D963" s="241"/>
      <c r="E963" s="119"/>
      <c r="G963" s="119"/>
    </row>
    <row r="964" spans="2:7" ht="13.2" x14ac:dyDescent="0.25">
      <c r="B964" s="284"/>
      <c r="C964" s="119"/>
      <c r="D964" s="241"/>
      <c r="E964" s="119"/>
      <c r="G964" s="119"/>
    </row>
    <row r="965" spans="2:7" ht="13.2" x14ac:dyDescent="0.25">
      <c r="B965" s="284"/>
      <c r="C965" s="119"/>
      <c r="D965" s="241"/>
      <c r="E965" s="119"/>
      <c r="G965" s="119"/>
    </row>
    <row r="966" spans="2:7" ht="13.2" x14ac:dyDescent="0.25">
      <c r="B966" s="284"/>
      <c r="C966" s="119"/>
      <c r="D966" s="241"/>
      <c r="E966" s="119"/>
      <c r="G966" s="119"/>
    </row>
    <row r="967" spans="2:7" ht="13.2" x14ac:dyDescent="0.25">
      <c r="B967" s="284"/>
      <c r="C967" s="119"/>
      <c r="D967" s="241"/>
      <c r="E967" s="119"/>
      <c r="G967" s="119"/>
    </row>
    <row r="968" spans="2:7" ht="13.2" x14ac:dyDescent="0.25">
      <c r="B968" s="284"/>
      <c r="C968" s="119"/>
      <c r="D968" s="241"/>
      <c r="E968" s="119"/>
      <c r="G968" s="119"/>
    </row>
    <row r="969" spans="2:7" ht="13.2" x14ac:dyDescent="0.25">
      <c r="B969" s="284"/>
      <c r="C969" s="119"/>
      <c r="D969" s="241"/>
      <c r="E969" s="119"/>
      <c r="G969" s="119"/>
    </row>
    <row r="970" spans="2:7" ht="13.2" x14ac:dyDescent="0.25">
      <c r="B970" s="284"/>
      <c r="C970" s="119"/>
      <c r="D970" s="241"/>
      <c r="E970" s="119"/>
      <c r="G970" s="119"/>
    </row>
    <row r="971" spans="2:7" ht="13.2" x14ac:dyDescent="0.25">
      <c r="B971" s="284"/>
      <c r="C971" s="119"/>
      <c r="D971" s="241"/>
      <c r="E971" s="119"/>
      <c r="G971" s="119"/>
    </row>
    <row r="972" spans="2:7" ht="13.2" x14ac:dyDescent="0.25">
      <c r="B972" s="284"/>
      <c r="C972" s="119"/>
      <c r="D972" s="241"/>
      <c r="E972" s="119"/>
      <c r="G972" s="119"/>
    </row>
    <row r="973" spans="2:7" ht="13.2" x14ac:dyDescent="0.25">
      <c r="B973" s="284"/>
      <c r="C973" s="119"/>
      <c r="D973" s="241"/>
      <c r="E973" s="119"/>
      <c r="G973" s="119"/>
    </row>
    <row r="974" spans="2:7" ht="13.2" x14ac:dyDescent="0.25">
      <c r="B974" s="284"/>
      <c r="C974" s="119"/>
      <c r="D974" s="241"/>
      <c r="E974" s="119"/>
      <c r="G974" s="119"/>
    </row>
    <row r="975" spans="2:7" ht="13.2" x14ac:dyDescent="0.25">
      <c r="B975" s="284"/>
      <c r="C975" s="119"/>
      <c r="D975" s="241"/>
      <c r="E975" s="119"/>
      <c r="G975" s="119"/>
    </row>
    <row r="976" spans="2:7" ht="13.2" x14ac:dyDescent="0.25">
      <c r="B976" s="284"/>
      <c r="C976" s="119"/>
      <c r="D976" s="241"/>
      <c r="E976" s="119"/>
      <c r="G976" s="119"/>
    </row>
    <row r="977" spans="2:7" ht="13.2" x14ac:dyDescent="0.25">
      <c r="B977" s="284"/>
      <c r="C977" s="119"/>
      <c r="D977" s="241"/>
      <c r="E977" s="119"/>
      <c r="G977" s="119"/>
    </row>
    <row r="978" spans="2:7" ht="13.2" x14ac:dyDescent="0.25">
      <c r="B978" s="284"/>
      <c r="C978" s="119"/>
      <c r="D978" s="241"/>
      <c r="E978" s="119"/>
      <c r="G978" s="119"/>
    </row>
    <row r="979" spans="2:7" ht="13.2" x14ac:dyDescent="0.25">
      <c r="B979" s="284"/>
      <c r="C979" s="119"/>
      <c r="D979" s="241"/>
      <c r="E979" s="119"/>
      <c r="G979" s="119"/>
    </row>
    <row r="980" spans="2:7" ht="13.2" x14ac:dyDescent="0.25">
      <c r="B980" s="284"/>
      <c r="C980" s="119"/>
      <c r="D980" s="241"/>
      <c r="E980" s="119"/>
      <c r="G980" s="119"/>
    </row>
    <row r="981" spans="2:7" ht="13.2" x14ac:dyDescent="0.25">
      <c r="B981" s="284"/>
      <c r="C981" s="119"/>
      <c r="D981" s="241"/>
      <c r="E981" s="119"/>
      <c r="G981" s="119"/>
    </row>
    <row r="982" spans="2:7" ht="13.2" x14ac:dyDescent="0.25">
      <c r="B982" s="284"/>
      <c r="C982" s="119"/>
      <c r="D982" s="241"/>
      <c r="E982" s="119"/>
      <c r="G982" s="119"/>
    </row>
    <row r="983" spans="2:7" ht="13.2" x14ac:dyDescent="0.25">
      <c r="B983" s="284"/>
      <c r="C983" s="119"/>
      <c r="D983" s="241"/>
      <c r="E983" s="119"/>
      <c r="G983" s="119"/>
    </row>
    <row r="984" spans="2:7" ht="13.2" x14ac:dyDescent="0.25">
      <c r="B984" s="284"/>
      <c r="C984" s="119"/>
      <c r="D984" s="241"/>
      <c r="E984" s="119"/>
      <c r="G984" s="119"/>
    </row>
    <row r="985" spans="2:7" ht="13.2" x14ac:dyDescent="0.25">
      <c r="B985" s="284"/>
      <c r="C985" s="119"/>
      <c r="D985" s="241"/>
      <c r="E985" s="119"/>
      <c r="G985" s="119"/>
    </row>
    <row r="986" spans="2:7" ht="13.2" x14ac:dyDescent="0.25">
      <c r="B986" s="284"/>
      <c r="C986" s="119"/>
      <c r="D986" s="241"/>
      <c r="E986" s="119"/>
      <c r="G986" s="119"/>
    </row>
    <row r="987" spans="2:7" ht="13.2" x14ac:dyDescent="0.25">
      <c r="B987" s="284"/>
      <c r="C987" s="119"/>
      <c r="D987" s="241"/>
      <c r="E987" s="119"/>
      <c r="G987" s="119"/>
    </row>
    <row r="988" spans="2:7" ht="13.2" x14ac:dyDescent="0.25">
      <c r="B988" s="284"/>
      <c r="C988" s="119"/>
      <c r="D988" s="241"/>
      <c r="E988" s="119"/>
      <c r="G988" s="119"/>
    </row>
    <row r="989" spans="2:7" ht="13.2" x14ac:dyDescent="0.25">
      <c r="B989" s="284"/>
      <c r="C989" s="119"/>
      <c r="D989" s="241"/>
      <c r="E989" s="119"/>
      <c r="G989" s="119"/>
    </row>
    <row r="990" spans="2:7" ht="13.2" x14ac:dyDescent="0.25">
      <c r="B990" s="284"/>
      <c r="C990" s="119"/>
      <c r="D990" s="241"/>
      <c r="E990" s="119"/>
      <c r="G990" s="119"/>
    </row>
    <row r="991" spans="2:7" ht="13.2" x14ac:dyDescent="0.25">
      <c r="B991" s="284"/>
      <c r="C991" s="119"/>
      <c r="D991" s="241"/>
      <c r="E991" s="119"/>
      <c r="G991" s="119"/>
    </row>
    <row r="992" spans="2:7" ht="13.2" x14ac:dyDescent="0.25">
      <c r="B992" s="284"/>
      <c r="C992" s="119"/>
      <c r="D992" s="241"/>
      <c r="E992" s="119"/>
      <c r="G992" s="119"/>
    </row>
    <row r="993" spans="2:7" ht="13.2" x14ac:dyDescent="0.25">
      <c r="B993" s="284"/>
      <c r="C993" s="119"/>
      <c r="D993" s="241"/>
      <c r="E993" s="119"/>
      <c r="G993" s="119"/>
    </row>
    <row r="994" spans="2:7" ht="13.2" x14ac:dyDescent="0.25">
      <c r="B994" s="284"/>
      <c r="C994" s="119"/>
      <c r="D994" s="241"/>
      <c r="E994" s="119"/>
      <c r="G994" s="119"/>
    </row>
    <row r="995" spans="2:7" ht="13.2" x14ac:dyDescent="0.25">
      <c r="B995" s="284"/>
      <c r="C995" s="119"/>
      <c r="D995" s="241"/>
      <c r="E995" s="119"/>
      <c r="G995" s="119"/>
    </row>
    <row r="996" spans="2:7" ht="13.2" x14ac:dyDescent="0.25">
      <c r="B996" s="284"/>
      <c r="C996" s="119"/>
      <c r="D996" s="241"/>
      <c r="E996" s="119"/>
      <c r="G996" s="119"/>
    </row>
    <row r="997" spans="2:7" ht="13.2" x14ac:dyDescent="0.25">
      <c r="B997" s="284"/>
      <c r="C997" s="119"/>
      <c r="D997" s="241"/>
      <c r="E997" s="119"/>
      <c r="G997" s="119"/>
    </row>
    <row r="998" spans="2:7" ht="13.2" x14ac:dyDescent="0.25">
      <c r="B998" s="284"/>
      <c r="C998" s="119"/>
      <c r="D998" s="241"/>
      <c r="E998" s="119"/>
      <c r="G998" s="119"/>
    </row>
    <row r="999" spans="2:7" ht="13.2" x14ac:dyDescent="0.25">
      <c r="B999" s="284"/>
      <c r="C999" s="119"/>
      <c r="D999" s="241"/>
      <c r="E999" s="119"/>
      <c r="G999" s="119"/>
    </row>
    <row r="1000" spans="2:7" ht="13.2" x14ac:dyDescent="0.25">
      <c r="B1000" s="284"/>
      <c r="C1000" s="119"/>
      <c r="D1000" s="241"/>
      <c r="E1000" s="119"/>
      <c r="G1000" s="119"/>
    </row>
    <row r="1001" spans="2:7" ht="13.2" x14ac:dyDescent="0.25">
      <c r="B1001" s="284"/>
      <c r="C1001" s="119"/>
      <c r="D1001" s="241"/>
      <c r="E1001" s="119"/>
      <c r="G1001" s="119"/>
    </row>
    <row r="1002" spans="2:7" ht="13.2" x14ac:dyDescent="0.25">
      <c r="B1002" s="284"/>
      <c r="C1002" s="119"/>
      <c r="D1002" s="241"/>
      <c r="E1002" s="119"/>
      <c r="G1002" s="119"/>
    </row>
    <row r="1003" spans="2:7" ht="13.2" x14ac:dyDescent="0.25">
      <c r="B1003" s="284"/>
      <c r="C1003" s="119"/>
      <c r="D1003" s="241"/>
      <c r="E1003" s="119"/>
      <c r="G1003" s="119"/>
    </row>
    <row r="1004" spans="2:7" ht="13.2" x14ac:dyDescent="0.25">
      <c r="B1004" s="284"/>
      <c r="C1004" s="119"/>
      <c r="D1004" s="241"/>
      <c r="E1004" s="119"/>
      <c r="G1004" s="119"/>
    </row>
    <row r="1005" spans="2:7" ht="13.2" x14ac:dyDescent="0.25">
      <c r="B1005" s="284"/>
      <c r="C1005" s="119"/>
      <c r="D1005" s="241"/>
      <c r="E1005" s="119"/>
      <c r="G1005" s="119"/>
    </row>
    <row r="1006" spans="2:7" ht="13.2" x14ac:dyDescent="0.25">
      <c r="B1006" s="284"/>
      <c r="C1006" s="119"/>
      <c r="D1006" s="241"/>
      <c r="E1006" s="119"/>
      <c r="G1006" s="119"/>
    </row>
    <row r="1007" spans="2:7" ht="13.2" x14ac:dyDescent="0.25">
      <c r="B1007" s="284"/>
      <c r="C1007" s="119"/>
      <c r="D1007" s="241"/>
      <c r="E1007" s="119"/>
      <c r="G1007" s="119"/>
    </row>
    <row r="1008" spans="2:7" ht="13.2" x14ac:dyDescent="0.25">
      <c r="B1008" s="284"/>
      <c r="C1008" s="119"/>
      <c r="D1008" s="241"/>
      <c r="E1008" s="119"/>
      <c r="G1008" s="119"/>
    </row>
    <row r="1009" spans="2:7" ht="13.2" x14ac:dyDescent="0.25">
      <c r="B1009" s="284"/>
      <c r="C1009" s="119"/>
      <c r="D1009" s="241"/>
      <c r="E1009" s="119"/>
      <c r="G1009" s="119"/>
    </row>
    <row r="1010" spans="2:7" ht="13.2" x14ac:dyDescent="0.25">
      <c r="B1010" s="284"/>
      <c r="C1010" s="119"/>
      <c r="D1010" s="241"/>
      <c r="E1010" s="119"/>
      <c r="G1010" s="119"/>
    </row>
    <row r="1011" spans="2:7" ht="13.2" x14ac:dyDescent="0.25">
      <c r="B1011" s="284"/>
      <c r="C1011" s="119"/>
      <c r="D1011" s="241"/>
      <c r="E1011" s="119"/>
      <c r="G1011" s="119"/>
    </row>
    <row r="1012" spans="2:7" ht="13.2" x14ac:dyDescent="0.25">
      <c r="B1012" s="284"/>
      <c r="C1012" s="119"/>
      <c r="D1012" s="241"/>
      <c r="E1012" s="119"/>
      <c r="G1012" s="119"/>
    </row>
    <row r="1013" spans="2:7" ht="13.2" x14ac:dyDescent="0.25">
      <c r="B1013" s="284"/>
      <c r="C1013" s="119"/>
      <c r="D1013" s="241"/>
      <c r="E1013" s="119"/>
      <c r="G1013" s="119"/>
    </row>
    <row r="1014" spans="2:7" ht="13.2" x14ac:dyDescent="0.25">
      <c r="B1014" s="284"/>
      <c r="C1014" s="119"/>
      <c r="D1014" s="241"/>
      <c r="E1014" s="119"/>
      <c r="G1014" s="119"/>
    </row>
    <row r="1015" spans="2:7" ht="13.2" x14ac:dyDescent="0.25">
      <c r="B1015" s="284"/>
      <c r="C1015" s="119"/>
      <c r="D1015" s="241"/>
      <c r="E1015" s="119"/>
      <c r="G1015" s="119"/>
    </row>
    <row r="1016" spans="2:7" ht="13.2" x14ac:dyDescent="0.25">
      <c r="B1016" s="284"/>
      <c r="C1016" s="119"/>
      <c r="D1016" s="241"/>
      <c r="E1016" s="119"/>
      <c r="G1016" s="119"/>
    </row>
    <row r="1017" spans="2:7" ht="13.2" x14ac:dyDescent="0.25">
      <c r="B1017" s="284"/>
      <c r="C1017" s="119"/>
      <c r="D1017" s="241"/>
      <c r="E1017" s="119"/>
      <c r="G1017" s="119"/>
    </row>
    <row r="1018" spans="2:7" ht="13.2" x14ac:dyDescent="0.25">
      <c r="B1018" s="284"/>
      <c r="C1018" s="119"/>
      <c r="D1018" s="241"/>
      <c r="E1018" s="119"/>
      <c r="G1018" s="119"/>
    </row>
    <row r="1019" spans="2:7" ht="13.2" x14ac:dyDescent="0.25">
      <c r="B1019" s="284"/>
      <c r="C1019" s="119"/>
      <c r="D1019" s="241"/>
      <c r="E1019" s="119"/>
      <c r="G1019" s="119"/>
    </row>
    <row r="1020" spans="2:7" ht="13.2" x14ac:dyDescent="0.25">
      <c r="B1020" s="284"/>
      <c r="C1020" s="119"/>
      <c r="D1020" s="241"/>
      <c r="E1020" s="119"/>
      <c r="G1020" s="119"/>
    </row>
    <row r="1021" spans="2:7" ht="13.2" x14ac:dyDescent="0.25">
      <c r="B1021" s="284"/>
      <c r="C1021" s="119"/>
      <c r="D1021" s="241"/>
      <c r="E1021" s="119"/>
      <c r="G1021" s="119"/>
    </row>
    <row r="1022" spans="2:7" ht="13.2" x14ac:dyDescent="0.25">
      <c r="B1022" s="284"/>
      <c r="C1022" s="119"/>
      <c r="D1022" s="241"/>
      <c r="E1022" s="119"/>
      <c r="G1022" s="119"/>
    </row>
    <row r="1023" spans="2:7" ht="13.2" x14ac:dyDescent="0.25">
      <c r="B1023" s="284"/>
      <c r="C1023" s="119"/>
      <c r="D1023" s="241"/>
      <c r="E1023" s="119"/>
      <c r="G1023" s="119"/>
    </row>
    <row r="1024" spans="2:7" ht="13.2" x14ac:dyDescent="0.25">
      <c r="B1024" s="284"/>
      <c r="C1024" s="119"/>
      <c r="D1024" s="241"/>
      <c r="E1024" s="119"/>
      <c r="G1024" s="119"/>
    </row>
    <row r="1025" spans="2:7" ht="13.2" x14ac:dyDescent="0.25">
      <c r="B1025" s="284"/>
      <c r="C1025" s="119"/>
      <c r="D1025" s="241"/>
      <c r="E1025" s="119"/>
      <c r="G1025" s="119"/>
    </row>
    <row r="1026" spans="2:7" ht="13.2" x14ac:dyDescent="0.25">
      <c r="B1026" s="284"/>
      <c r="C1026" s="119"/>
      <c r="D1026" s="241"/>
      <c r="E1026" s="119"/>
      <c r="G1026" s="119"/>
    </row>
    <row r="1027" spans="2:7" ht="13.2" x14ac:dyDescent="0.25">
      <c r="B1027" s="284"/>
      <c r="C1027" s="119"/>
      <c r="D1027" s="241"/>
      <c r="E1027" s="119"/>
      <c r="G1027" s="119"/>
    </row>
    <row r="1028" spans="2:7" ht="13.2" x14ac:dyDescent="0.25">
      <c r="B1028" s="284"/>
      <c r="C1028" s="119"/>
      <c r="D1028" s="241"/>
      <c r="E1028" s="119"/>
      <c r="G1028" s="119"/>
    </row>
    <row r="1029" spans="2:7" ht="13.2" x14ac:dyDescent="0.25">
      <c r="B1029" s="284"/>
      <c r="C1029" s="119"/>
      <c r="D1029" s="241"/>
      <c r="E1029" s="119"/>
      <c r="G1029" s="119"/>
    </row>
    <row r="1030" spans="2:7" ht="13.2" x14ac:dyDescent="0.25">
      <c r="B1030" s="284"/>
      <c r="C1030" s="119"/>
      <c r="D1030" s="241"/>
      <c r="E1030" s="119"/>
      <c r="G1030" s="119"/>
    </row>
    <row r="1031" spans="2:7" ht="13.2" x14ac:dyDescent="0.25">
      <c r="B1031" s="284"/>
      <c r="C1031" s="119"/>
      <c r="D1031" s="241"/>
      <c r="E1031" s="119"/>
      <c r="G1031" s="119"/>
    </row>
    <row r="1032" spans="2:7" ht="13.2" x14ac:dyDescent="0.25">
      <c r="B1032" s="284"/>
      <c r="C1032" s="119"/>
      <c r="D1032" s="241"/>
      <c r="E1032" s="119"/>
      <c r="G1032" s="119"/>
    </row>
    <row r="1033" spans="2:7" ht="13.2" x14ac:dyDescent="0.25">
      <c r="B1033" s="284"/>
      <c r="C1033" s="119"/>
      <c r="D1033" s="241"/>
      <c r="E1033" s="119"/>
      <c r="G1033" s="119"/>
    </row>
    <row r="1034" spans="2:7" ht="13.2" x14ac:dyDescent="0.25">
      <c r="B1034" s="284"/>
      <c r="C1034" s="119"/>
      <c r="D1034" s="241"/>
      <c r="E1034" s="119"/>
      <c r="G1034" s="119"/>
    </row>
    <row r="1035" spans="2:7" ht="13.2" x14ac:dyDescent="0.25">
      <c r="B1035" s="284"/>
      <c r="C1035" s="119"/>
      <c r="D1035" s="241"/>
      <c r="E1035" s="119"/>
      <c r="G1035" s="119"/>
    </row>
    <row r="1036" spans="2:7" ht="13.2" x14ac:dyDescent="0.25">
      <c r="B1036" s="284"/>
      <c r="C1036" s="119"/>
      <c r="D1036" s="241"/>
      <c r="E1036" s="119"/>
      <c r="G1036" s="119"/>
    </row>
    <row r="1037" spans="2:7" ht="13.2" x14ac:dyDescent="0.25">
      <c r="B1037" s="284"/>
      <c r="C1037" s="119"/>
      <c r="D1037" s="241"/>
      <c r="E1037" s="119"/>
      <c r="G1037" s="119"/>
    </row>
    <row r="1038" spans="2:7" ht="13.2" x14ac:dyDescent="0.25">
      <c r="B1038" s="284"/>
      <c r="C1038" s="119"/>
      <c r="D1038" s="241"/>
      <c r="E1038" s="119"/>
      <c r="G1038" s="119"/>
    </row>
    <row r="1039" spans="2:7" ht="13.2" x14ac:dyDescent="0.25">
      <c r="B1039" s="284"/>
      <c r="C1039" s="119"/>
      <c r="D1039" s="241"/>
      <c r="E1039" s="119"/>
      <c r="G1039" s="119"/>
    </row>
    <row r="1040" spans="2:7" ht="13.2" x14ac:dyDescent="0.25">
      <c r="B1040" s="284"/>
      <c r="C1040" s="119"/>
      <c r="D1040" s="241"/>
      <c r="E1040" s="119"/>
      <c r="G1040" s="119"/>
    </row>
    <row r="1041" spans="2:7" ht="13.2" x14ac:dyDescent="0.25">
      <c r="B1041" s="284"/>
      <c r="C1041" s="119"/>
      <c r="D1041" s="241"/>
      <c r="E1041" s="119"/>
      <c r="G1041" s="119"/>
    </row>
    <row r="1042" spans="2:7" ht="13.2" x14ac:dyDescent="0.25">
      <c r="B1042" s="284"/>
      <c r="C1042" s="119"/>
      <c r="D1042" s="241"/>
      <c r="E1042" s="119"/>
      <c r="G1042" s="119"/>
    </row>
    <row r="1043" spans="2:7" ht="13.2" x14ac:dyDescent="0.25">
      <c r="B1043" s="284"/>
      <c r="C1043" s="119"/>
      <c r="D1043" s="241"/>
      <c r="E1043" s="119"/>
      <c r="G1043" s="119"/>
    </row>
    <row r="1044" spans="2:7" ht="13.2" x14ac:dyDescent="0.25">
      <c r="B1044" s="284"/>
      <c r="C1044" s="119"/>
      <c r="D1044" s="241"/>
      <c r="E1044" s="119"/>
      <c r="G1044" s="119"/>
    </row>
    <row r="1045" spans="2:7" ht="13.2" x14ac:dyDescent="0.25">
      <c r="B1045" s="284"/>
      <c r="C1045" s="119"/>
      <c r="D1045" s="241"/>
      <c r="E1045" s="119"/>
      <c r="G1045" s="119"/>
    </row>
    <row r="1046" spans="2:7" ht="13.2" x14ac:dyDescent="0.25">
      <c r="B1046" s="284"/>
      <c r="C1046" s="119"/>
      <c r="D1046" s="241"/>
      <c r="E1046" s="119"/>
      <c r="G1046" s="119"/>
    </row>
    <row r="1047" spans="2:7" ht="13.2" x14ac:dyDescent="0.25">
      <c r="B1047" s="284"/>
      <c r="C1047" s="119"/>
      <c r="D1047" s="241"/>
      <c r="E1047" s="119"/>
      <c r="G1047" s="119"/>
    </row>
    <row r="1048" spans="2:7" ht="13.2" x14ac:dyDescent="0.25">
      <c r="B1048" s="284"/>
      <c r="C1048" s="119"/>
      <c r="D1048" s="241"/>
      <c r="E1048" s="119"/>
      <c r="G1048" s="119"/>
    </row>
    <row r="1049" spans="2:7" ht="13.2" x14ac:dyDescent="0.25">
      <c r="B1049" s="284"/>
      <c r="C1049" s="119"/>
      <c r="D1049" s="241"/>
      <c r="E1049" s="119"/>
      <c r="G1049" s="119"/>
    </row>
    <row r="1050" spans="2:7" ht="13.2" x14ac:dyDescent="0.25">
      <c r="B1050" s="284"/>
      <c r="C1050" s="119"/>
      <c r="D1050" s="241"/>
      <c r="E1050" s="119"/>
      <c r="G1050" s="119"/>
    </row>
    <row r="1051" spans="2:7" ht="13.2" x14ac:dyDescent="0.25">
      <c r="B1051" s="284"/>
      <c r="C1051" s="119"/>
      <c r="D1051" s="241"/>
      <c r="E1051" s="119"/>
      <c r="G1051" s="119"/>
    </row>
    <row r="1052" spans="2:7" ht="13.2" x14ac:dyDescent="0.25">
      <c r="B1052" s="284"/>
      <c r="C1052" s="119"/>
      <c r="D1052" s="241"/>
      <c r="E1052" s="119"/>
      <c r="G1052" s="119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929"/>
  <sheetViews>
    <sheetView workbookViewId="0">
      <pane ySplit="2" topLeftCell="A6" activePane="bottomLeft" state="frozen"/>
      <selection pane="bottomLeft" activeCell="I5" sqref="I5"/>
    </sheetView>
  </sheetViews>
  <sheetFormatPr defaultColWidth="12.6640625" defaultRowHeight="15.75" customHeight="1" x14ac:dyDescent="0.25"/>
  <cols>
    <col min="1" max="1" width="2.21875" customWidth="1"/>
    <col min="2" max="2" width="40.77734375" customWidth="1"/>
    <col min="4" max="4" width="15.33203125" customWidth="1"/>
  </cols>
  <sheetData>
    <row r="1" spans="1:42" x14ac:dyDescent="0.25">
      <c r="A1" s="457" t="s">
        <v>144</v>
      </c>
      <c r="B1" s="442"/>
      <c r="C1" s="66"/>
      <c r="D1" s="66"/>
      <c r="E1" s="66"/>
      <c r="F1" s="65"/>
      <c r="G1" s="66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</row>
    <row r="2" spans="1:42" x14ac:dyDescent="0.25">
      <c r="A2" s="67"/>
      <c r="B2" s="67"/>
      <c r="C2" s="69" t="s">
        <v>108</v>
      </c>
      <c r="D2" s="69" t="s">
        <v>109</v>
      </c>
      <c r="E2" s="69" t="s">
        <v>110</v>
      </c>
      <c r="F2" s="120" t="s">
        <v>145</v>
      </c>
      <c r="G2" s="22" t="s">
        <v>20</v>
      </c>
      <c r="H2" s="22" t="s">
        <v>21</v>
      </c>
      <c r="I2" s="22" t="s">
        <v>22</v>
      </c>
      <c r="J2" s="22" t="s">
        <v>23</v>
      </c>
      <c r="K2" s="22" t="s">
        <v>24</v>
      </c>
      <c r="L2" s="22" t="s">
        <v>25</v>
      </c>
      <c r="M2" s="22" t="s">
        <v>26</v>
      </c>
      <c r="N2" s="22" t="s">
        <v>27</v>
      </c>
      <c r="O2" s="22" t="s">
        <v>28</v>
      </c>
      <c r="P2" s="22" t="s">
        <v>29</v>
      </c>
      <c r="Q2" s="22" t="s">
        <v>30</v>
      </c>
      <c r="R2" s="22" t="s">
        <v>31</v>
      </c>
      <c r="S2" s="22" t="s">
        <v>32</v>
      </c>
      <c r="T2" s="22" t="s">
        <v>33</v>
      </c>
      <c r="U2" s="22" t="s">
        <v>34</v>
      </c>
      <c r="V2" s="22" t="s">
        <v>35</v>
      </c>
      <c r="W2" s="22" t="s">
        <v>36</v>
      </c>
      <c r="X2" s="22" t="s">
        <v>37</v>
      </c>
      <c r="Y2" s="22" t="s">
        <v>38</v>
      </c>
      <c r="Z2" s="22" t="s">
        <v>39</v>
      </c>
      <c r="AA2" s="22" t="s">
        <v>40</v>
      </c>
      <c r="AB2" s="22" t="s">
        <v>41</v>
      </c>
      <c r="AC2" s="22" t="s">
        <v>42</v>
      </c>
      <c r="AD2" s="22" t="s">
        <v>43</v>
      </c>
      <c r="AE2" s="22" t="s">
        <v>44</v>
      </c>
      <c r="AF2" s="22" t="s">
        <v>45</v>
      </c>
      <c r="AG2" s="22" t="s">
        <v>46</v>
      </c>
      <c r="AH2" s="22" t="s">
        <v>47</v>
      </c>
      <c r="AI2" s="22" t="s">
        <v>48</v>
      </c>
      <c r="AJ2" s="22" t="s">
        <v>49</v>
      </c>
      <c r="AK2" s="22" t="s">
        <v>50</v>
      </c>
      <c r="AL2" s="314"/>
      <c r="AM2" s="314"/>
      <c r="AN2" s="314"/>
      <c r="AO2" s="314"/>
      <c r="AP2" s="314"/>
    </row>
    <row r="3" spans="1:42" x14ac:dyDescent="0.25">
      <c r="A3" s="71"/>
      <c r="B3" s="124"/>
      <c r="C3" s="73"/>
      <c r="D3" s="71"/>
      <c r="E3" s="124"/>
      <c r="F3" s="71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</row>
    <row r="4" spans="1:42" x14ac:dyDescent="0.25">
      <c r="B4" s="315" t="s">
        <v>252</v>
      </c>
      <c r="C4" s="78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31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3"/>
      <c r="AM4" s="73"/>
      <c r="AN4" s="73"/>
      <c r="AO4" s="73"/>
      <c r="AP4" s="73"/>
    </row>
    <row r="5" spans="1:42" x14ac:dyDescent="0.25">
      <c r="A5" s="317"/>
      <c r="B5" s="140" t="s">
        <v>253</v>
      </c>
      <c r="C5" s="126" t="s">
        <v>167</v>
      </c>
      <c r="D5" s="318"/>
      <c r="E5" s="319"/>
      <c r="F5" s="318"/>
      <c r="G5" s="320">
        <f>IS!G57</f>
        <v>0</v>
      </c>
      <c r="H5" s="320">
        <f>IS!H57</f>
        <v>0</v>
      </c>
      <c r="I5" s="320">
        <f>IS!I57</f>
        <v>169920</v>
      </c>
      <c r="J5" s="320">
        <f>IS!J57</f>
        <v>169019.42332032</v>
      </c>
      <c r="K5" s="320">
        <f>IS!K57</f>
        <v>168123.6197006446</v>
      </c>
      <c r="L5" s="320">
        <f>IS!L57</f>
        <v>167232.56384373669</v>
      </c>
      <c r="M5" s="320">
        <f>IS!M57</f>
        <v>173998.15719341068</v>
      </c>
      <c r="N5" s="320">
        <f>IS!N57</f>
        <v>173075.96626429298</v>
      </c>
      <c r="O5" s="320">
        <f>IS!O57</f>
        <v>172158.66295078833</v>
      </c>
      <c r="P5" s="320">
        <f>IS!P57</f>
        <v>171246.22134851449</v>
      </c>
      <c r="Q5" s="320">
        <f>IS!Q57</f>
        <v>3035113.8655247591</v>
      </c>
      <c r="R5" s="320">
        <f>IS!R57</f>
        <v>6038055.4997940445</v>
      </c>
      <c r="S5" s="320">
        <f>IS!S57</f>
        <v>11920137.781492913</v>
      </c>
      <c r="T5" s="320">
        <f>IS!T57</f>
        <v>11856961.003570449</v>
      </c>
      <c r="U5" s="320">
        <f>IS!U57</f>
        <v>10994561.9507086</v>
      </c>
      <c r="V5" s="320">
        <f>IS!V57</f>
        <v>10936290.728391597</v>
      </c>
      <c r="W5" s="320">
        <f>IS!W57</f>
        <v>10878328.343785958</v>
      </c>
      <c r="X5" s="320">
        <f>IS!X57</f>
        <v>10820673.16005058</v>
      </c>
      <c r="Y5" s="320">
        <f>IS!Y57</f>
        <v>11650610.129001243</v>
      </c>
      <c r="Z5" s="320">
        <f>IS!Z57</f>
        <v>11588861.848715097</v>
      </c>
      <c r="AA5" s="320">
        <f>IS!AA57</f>
        <v>11527440.834561458</v>
      </c>
      <c r="AB5" s="320">
        <f>IS!AB57</f>
        <v>11466345.352028519</v>
      </c>
      <c r="AC5" s="320">
        <f>IS!AC57</f>
        <v>11930230.064884065</v>
      </c>
      <c r="AD5" s="320">
        <f>IS!AD57</f>
        <v>11866999.797819257</v>
      </c>
      <c r="AE5" s="320">
        <f>IS!AE57</f>
        <v>11804104.651422817</v>
      </c>
      <c r="AF5" s="320">
        <f>IS!AF57</f>
        <v>11741542.849553857</v>
      </c>
      <c r="AG5" s="320">
        <f>IS!AG57</f>
        <v>12615962.244788986</v>
      </c>
      <c r="AH5" s="320">
        <f>IS!AH57</f>
        <v>12549097.594427753</v>
      </c>
      <c r="AI5" s="320">
        <f>IS!AI57</f>
        <v>12482587.326980894</v>
      </c>
      <c r="AJ5" s="320">
        <f>IS!AJ57</f>
        <v>12416429.564217547</v>
      </c>
      <c r="AK5" s="320">
        <f>IS!AK57</f>
        <v>12918751.070003103</v>
      </c>
      <c r="AL5" s="319"/>
      <c r="AM5" s="319"/>
      <c r="AN5" s="319"/>
      <c r="AO5" s="319"/>
      <c r="AP5" s="319"/>
    </row>
    <row r="6" spans="1:42" x14ac:dyDescent="0.25">
      <c r="A6" s="317"/>
      <c r="B6" s="140" t="s">
        <v>254</v>
      </c>
      <c r="C6" s="126" t="s">
        <v>171</v>
      </c>
      <c r="D6" s="318"/>
      <c r="E6" s="319"/>
      <c r="F6" s="318"/>
      <c r="G6" s="321">
        <f>IS!G117-IS!G70</f>
        <v>77368.537500000006</v>
      </c>
      <c r="H6" s="321">
        <f>IS!H117-IS!H70</f>
        <v>88442.205143495288</v>
      </c>
      <c r="I6" s="321">
        <f>IS!I117-IS!I70</f>
        <v>229511.36336519968</v>
      </c>
      <c r="J6" s="321">
        <f>IS!J117-IS!J70</f>
        <v>108088.13513721332</v>
      </c>
      <c r="K6" s="321">
        <f>IS!K117-IS!K70</f>
        <v>125855.83392500004</v>
      </c>
      <c r="L6" s="321">
        <f>IS!L117-IS!L70</f>
        <v>142643.82041529132</v>
      </c>
      <c r="M6" s="321">
        <f>IS!M117-IS!M70</f>
        <v>188790.60957910211</v>
      </c>
      <c r="N6" s="321">
        <f>IS!N117-IS!N70</f>
        <v>194293.84411185194</v>
      </c>
      <c r="O6" s="321">
        <f>IS!O117-IS!O70</f>
        <v>243475.91381468752</v>
      </c>
      <c r="P6" s="321">
        <f>IS!P117-IS!P70</f>
        <v>266938.75769991963</v>
      </c>
      <c r="Q6" s="321">
        <f>IS!Q117-IS!Q70</f>
        <v>2815321.7148742029</v>
      </c>
      <c r="R6" s="321">
        <f>IS!R117-IS!R70</f>
        <v>3593763.7646741369</v>
      </c>
      <c r="S6" s="321">
        <f>IS!S117-IS!S70</f>
        <v>6828316.4796958361</v>
      </c>
      <c r="T6" s="321">
        <f>IS!T117-IS!T70</f>
        <v>1548477.1745229722</v>
      </c>
      <c r="U6" s="321">
        <f>IS!U117-IS!U70</f>
        <v>3029206.8104606485</v>
      </c>
      <c r="V6" s="321">
        <f>IS!V117-IS!V70</f>
        <v>1949251.5421295986</v>
      </c>
      <c r="W6" s="321">
        <f>IS!W117-IS!W70</f>
        <v>2165707.7983862255</v>
      </c>
      <c r="X6" s="321">
        <f>IS!X117-IS!X70</f>
        <v>2172073.752172424</v>
      </c>
      <c r="Y6" s="321">
        <f>IS!Y117-IS!Y70</f>
        <v>2853996.3783220053</v>
      </c>
      <c r="Z6" s="321">
        <f>IS!Z117-IS!Z70</f>
        <v>2246987.2516331454</v>
      </c>
      <c r="AA6" s="321">
        <f>IS!AA117-IS!AA70</f>
        <v>2393621.4659152422</v>
      </c>
      <c r="AB6" s="321">
        <f>IS!AB117-IS!AB70</f>
        <v>2399771.4310339978</v>
      </c>
      <c r="AC6" s="321">
        <f>IS!AC117-IS!AC70</f>
        <v>2406730.7107170401</v>
      </c>
      <c r="AD6" s="321">
        <f>IS!AD117-IS!AD70</f>
        <v>3019352.8133980301</v>
      </c>
      <c r="AE6" s="321">
        <f>IS!AE117-IS!AE70</f>
        <v>3227551.0721299481</v>
      </c>
      <c r="AF6" s="321">
        <f>IS!AF117-IS!AF70</f>
        <v>3307790.9613166065</v>
      </c>
      <c r="AG6" s="321">
        <f>IS!AG117-IS!AG70</f>
        <v>6880443.8543028589</v>
      </c>
      <c r="AH6" s="321">
        <f>IS!AH117-IS!AH70</f>
        <v>6534734.4543174542</v>
      </c>
      <c r="AI6" s="321">
        <f>IS!AI117-IS!AI70</f>
        <v>9813195.1516398042</v>
      </c>
      <c r="AJ6" s="321">
        <f>IS!AJ117-IS!AJ70</f>
        <v>3401780.2774579553</v>
      </c>
      <c r="AK6" s="321">
        <f>IS!AK117-IS!AK70</f>
        <v>5034443.472526554</v>
      </c>
      <c r="AL6" s="319"/>
      <c r="AM6" s="319"/>
      <c r="AN6" s="319"/>
      <c r="AO6" s="319"/>
      <c r="AP6" s="319"/>
    </row>
    <row r="7" spans="1:42" x14ac:dyDescent="0.25">
      <c r="A7" s="322"/>
      <c r="B7" s="323" t="s">
        <v>255</v>
      </c>
      <c r="C7" s="324" t="s">
        <v>167</v>
      </c>
      <c r="D7" s="325"/>
      <c r="E7" s="326"/>
      <c r="F7" s="325"/>
      <c r="G7" s="327">
        <f t="shared" ref="G7:AK7" si="0">G5-G6</f>
        <v>-77368.537500000006</v>
      </c>
      <c r="H7" s="327">
        <f t="shared" si="0"/>
        <v>-88442.205143495288</v>
      </c>
      <c r="I7" s="327">
        <f t="shared" si="0"/>
        <v>-59591.363365199679</v>
      </c>
      <c r="J7" s="327">
        <f t="shared" si="0"/>
        <v>60931.288183106677</v>
      </c>
      <c r="K7" s="327">
        <f t="shared" si="0"/>
        <v>42267.785775644559</v>
      </c>
      <c r="L7" s="327">
        <f t="shared" si="0"/>
        <v>24588.743428445363</v>
      </c>
      <c r="M7" s="327">
        <f t="shared" si="0"/>
        <v>-14792.452385691431</v>
      </c>
      <c r="N7" s="327">
        <f t="shared" si="0"/>
        <v>-21217.877847558964</v>
      </c>
      <c r="O7" s="327">
        <f t="shared" si="0"/>
        <v>-71317.250863899186</v>
      </c>
      <c r="P7" s="327">
        <f t="shared" si="0"/>
        <v>-95692.536351405142</v>
      </c>
      <c r="Q7" s="327">
        <f t="shared" si="0"/>
        <v>219792.1506505562</v>
      </c>
      <c r="R7" s="327">
        <f t="shared" si="0"/>
        <v>2444291.7351199077</v>
      </c>
      <c r="S7" s="327">
        <f t="shared" si="0"/>
        <v>5091821.3017970771</v>
      </c>
      <c r="T7" s="327">
        <f t="shared" si="0"/>
        <v>10308483.829047477</v>
      </c>
      <c r="U7" s="327">
        <f t="shared" si="0"/>
        <v>7965355.1402479513</v>
      </c>
      <c r="V7" s="327">
        <f t="shared" si="0"/>
        <v>8987039.1862619985</v>
      </c>
      <c r="W7" s="327">
        <f t="shared" si="0"/>
        <v>8712620.5453997329</v>
      </c>
      <c r="X7" s="327">
        <f t="shared" si="0"/>
        <v>8648599.4078781568</v>
      </c>
      <c r="Y7" s="327">
        <f t="shared" si="0"/>
        <v>8796613.7506792378</v>
      </c>
      <c r="Z7" s="327">
        <f t="shared" si="0"/>
        <v>9341874.5970819518</v>
      </c>
      <c r="AA7" s="327">
        <f t="shared" si="0"/>
        <v>9133819.3686462156</v>
      </c>
      <c r="AB7" s="327">
        <f t="shared" si="0"/>
        <v>9066573.9209945202</v>
      </c>
      <c r="AC7" s="327">
        <f t="shared" si="0"/>
        <v>9523499.3541670255</v>
      </c>
      <c r="AD7" s="327">
        <f t="shared" si="0"/>
        <v>8847646.9844212271</v>
      </c>
      <c r="AE7" s="327">
        <f t="shared" si="0"/>
        <v>8576553.5792928692</v>
      </c>
      <c r="AF7" s="327">
        <f t="shared" si="0"/>
        <v>8433751.888237251</v>
      </c>
      <c r="AG7" s="327">
        <f t="shared" si="0"/>
        <v>5735518.3904861268</v>
      </c>
      <c r="AH7" s="327">
        <f t="shared" si="0"/>
        <v>6014363.140110299</v>
      </c>
      <c r="AI7" s="327">
        <f t="shared" si="0"/>
        <v>2669392.1753410902</v>
      </c>
      <c r="AJ7" s="327">
        <f t="shared" si="0"/>
        <v>9014649.2867595926</v>
      </c>
      <c r="AK7" s="327">
        <f t="shared" si="0"/>
        <v>7884307.5974765494</v>
      </c>
      <c r="AL7" s="73"/>
      <c r="AM7" s="73"/>
      <c r="AN7" s="73"/>
      <c r="AO7" s="73"/>
      <c r="AP7" s="73"/>
    </row>
    <row r="8" spans="1:42" x14ac:dyDescent="0.25">
      <c r="A8" s="328"/>
      <c r="B8" s="329" t="s">
        <v>256</v>
      </c>
      <c r="C8" s="330" t="s">
        <v>128</v>
      </c>
      <c r="D8" s="331"/>
      <c r="E8" s="331"/>
      <c r="F8" s="331"/>
      <c r="G8" s="331" t="str">
        <f t="shared" ref="G8:AK8" si="1">IFERROR(G7/G$5, "n/a")</f>
        <v>n/a</v>
      </c>
      <c r="H8" s="331" t="str">
        <f t="shared" si="1"/>
        <v>n/a</v>
      </c>
      <c r="I8" s="331">
        <f t="shared" si="1"/>
        <v>-0.35070246801553484</v>
      </c>
      <c r="J8" s="331">
        <f t="shared" si="1"/>
        <v>0.36049873432375712</v>
      </c>
      <c r="K8" s="331">
        <f t="shared" si="1"/>
        <v>0.25140896829907178</v>
      </c>
      <c r="L8" s="331">
        <f t="shared" si="1"/>
        <v>0.14703322644399128</v>
      </c>
      <c r="M8" s="331">
        <f t="shared" si="1"/>
        <v>-8.5014994551055059E-2</v>
      </c>
      <c r="N8" s="331">
        <f t="shared" si="1"/>
        <v>-0.12259286084330467</v>
      </c>
      <c r="O8" s="331">
        <f t="shared" si="1"/>
        <v>-0.41425304798217022</v>
      </c>
      <c r="P8" s="331">
        <f t="shared" si="1"/>
        <v>-0.55880086344594393</v>
      </c>
      <c r="Q8" s="331">
        <f t="shared" si="1"/>
        <v>7.2416443134845951E-2</v>
      </c>
      <c r="R8" s="331">
        <f t="shared" si="1"/>
        <v>0.40481438688387039</v>
      </c>
      <c r="S8" s="331">
        <f t="shared" si="1"/>
        <v>0.42716127910053087</v>
      </c>
      <c r="T8" s="331">
        <f t="shared" si="1"/>
        <v>0.86940353653379787</v>
      </c>
      <c r="U8" s="331">
        <f t="shared" si="1"/>
        <v>0.72448135505158384</v>
      </c>
      <c r="V8" s="331">
        <f t="shared" si="1"/>
        <v>0.82176300991439755</v>
      </c>
      <c r="W8" s="331">
        <f t="shared" si="1"/>
        <v>0.80091538608288604</v>
      </c>
      <c r="X8" s="331">
        <f t="shared" si="1"/>
        <v>0.79926630071485583</v>
      </c>
      <c r="Y8" s="331">
        <f t="shared" si="1"/>
        <v>0.75503459932817563</v>
      </c>
      <c r="Z8" s="331">
        <f t="shared" si="1"/>
        <v>0.80610803019605615</v>
      </c>
      <c r="AA8" s="331">
        <f t="shared" si="1"/>
        <v>0.79235447830374373</v>
      </c>
      <c r="AB8" s="331">
        <f t="shared" si="1"/>
        <v>0.79071174316152504</v>
      </c>
      <c r="AC8" s="331">
        <f t="shared" si="1"/>
        <v>0.79826619456391623</v>
      </c>
      <c r="AD8" s="331">
        <f t="shared" si="1"/>
        <v>0.74556729882536255</v>
      </c>
      <c r="AE8" s="331">
        <f t="shared" si="1"/>
        <v>0.72657383448892821</v>
      </c>
      <c r="AF8" s="331">
        <f t="shared" si="1"/>
        <v>0.71828310779087334</v>
      </c>
      <c r="AG8" s="331">
        <f t="shared" si="1"/>
        <v>0.45462393428255371</v>
      </c>
      <c r="AH8" s="331">
        <f t="shared" si="1"/>
        <v>0.47926658429853081</v>
      </c>
      <c r="AI8" s="331">
        <f t="shared" si="1"/>
        <v>0.21384926901903148</v>
      </c>
      <c r="AJ8" s="331">
        <f t="shared" si="1"/>
        <v>0.72602588692151726</v>
      </c>
      <c r="AK8" s="331">
        <f t="shared" si="1"/>
        <v>0.61029952158329304</v>
      </c>
      <c r="AL8" s="331"/>
      <c r="AM8" s="331"/>
      <c r="AN8" s="331"/>
      <c r="AO8" s="331"/>
      <c r="AP8" s="331"/>
    </row>
    <row r="9" spans="1:42" x14ac:dyDescent="0.25">
      <c r="A9" s="20"/>
      <c r="B9" s="332"/>
      <c r="C9" s="73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3"/>
      <c r="AM9" s="73"/>
      <c r="AN9" s="73"/>
      <c r="AO9" s="73"/>
      <c r="AP9" s="73"/>
    </row>
    <row r="10" spans="1:42" x14ac:dyDescent="0.25">
      <c r="A10" s="317"/>
      <c r="B10" s="140" t="s">
        <v>257</v>
      </c>
      <c r="C10" s="126" t="s">
        <v>167</v>
      </c>
      <c r="D10" s="333"/>
      <c r="E10" s="319"/>
      <c r="F10" s="318"/>
      <c r="G10" s="321">
        <f>IS!G132-IS!G124</f>
        <v>3000</v>
      </c>
      <c r="H10" s="321">
        <f>IS!H132-IS!H124</f>
        <v>3000</v>
      </c>
      <c r="I10" s="321">
        <f>IS!I132-IS!I124</f>
        <v>3000</v>
      </c>
      <c r="J10" s="321">
        <f>IS!J132-IS!J124</f>
        <v>5434.0461761277511</v>
      </c>
      <c r="K10" s="321">
        <f>IS!K132-IS!K124</f>
        <v>5832.1166785000005</v>
      </c>
      <c r="L10" s="321">
        <f>IS!L132-IS!L124</f>
        <v>6211.6003813816178</v>
      </c>
      <c r="M10" s="321">
        <f>IS!M132-IS!M124</f>
        <v>7179.2858779917015</v>
      </c>
      <c r="N10" s="321">
        <f>IS!N132-IS!N124</f>
        <v>7335.1446133197887</v>
      </c>
      <c r="O10" s="321">
        <f>IS!O132-IS!O124</f>
        <v>8365.6432762937511</v>
      </c>
      <c r="P10" s="321">
        <f>IS!P132-IS!P124</f>
        <v>17882.839846496674</v>
      </c>
      <c r="Q10" s="321">
        <f>IS!Q132-IS!Q124</f>
        <v>69095.265701783588</v>
      </c>
      <c r="R10" s="321">
        <f>IS!R132-IS!R124</f>
        <v>89331.567938178778</v>
      </c>
      <c r="S10" s="321">
        <f>IS!S132-IS!S124</f>
        <v>160498.29593766673</v>
      </c>
      <c r="T10" s="321">
        <f>IS!T132-IS!T124</f>
        <v>64649.556695010346</v>
      </c>
      <c r="U10" s="321">
        <f>IS!U132-IS!U124</f>
        <v>94860.674212245751</v>
      </c>
      <c r="V10" s="321">
        <f>IS!V132-IS!V124</f>
        <v>688654.97582558054</v>
      </c>
      <c r="W10" s="321">
        <f>IS!W132-IS!W124</f>
        <v>71756.42038372453</v>
      </c>
      <c r="X10" s="321">
        <f>IS!X132-IS!X124</f>
        <v>693898.54331609816</v>
      </c>
      <c r="Y10" s="321">
        <f>IS!Y132-IS!Y124</f>
        <v>81853.069092693593</v>
      </c>
      <c r="Z10" s="321">
        <f>IS!Z132-IS!Z124</f>
        <v>69509.063846383913</v>
      </c>
      <c r="AA10" s="321">
        <f>IS!AA132-IS!AA124</f>
        <v>69610.44108790801</v>
      </c>
      <c r="AB10" s="321">
        <f>IS!AB132-IS!AB124</f>
        <v>69911.171540605123</v>
      </c>
      <c r="AC10" s="321">
        <f>IS!AC132-IS!AC124</f>
        <v>70229.478672590049</v>
      </c>
      <c r="AD10" s="321">
        <f>IS!AD132-IS!AD124</f>
        <v>82662.440011184532</v>
      </c>
      <c r="AE10" s="321">
        <f>IS!AE132-IS!AE124</f>
        <v>87008.329547307585</v>
      </c>
      <c r="AF10" s="321">
        <f>IS!AF132-IS!AF124</f>
        <v>88796.464068290981</v>
      </c>
      <c r="AG10" s="321">
        <f>IS!AG132-IS!AG124</f>
        <v>160502.76612940838</v>
      </c>
      <c r="AH10" s="321">
        <f>IS!AH132-IS!AH124</f>
        <v>154468.88508493916</v>
      </c>
      <c r="AI10" s="321">
        <f>IS!AI132-IS!AI124</f>
        <v>220235.07530473001</v>
      </c>
      <c r="AJ10" s="321">
        <f>IS!AJ132-IS!AJ124</f>
        <v>92205.31017866102</v>
      </c>
      <c r="AK10" s="321">
        <f>IS!AK132-IS!AK124</f>
        <v>125058.67104893492</v>
      </c>
      <c r="AL10" s="319"/>
      <c r="AM10" s="319"/>
      <c r="AN10" s="319"/>
      <c r="AO10" s="319"/>
      <c r="AP10" s="319"/>
    </row>
    <row r="11" spans="1:42" x14ac:dyDescent="0.25">
      <c r="A11" s="322"/>
      <c r="B11" s="323" t="s">
        <v>258</v>
      </c>
      <c r="C11" s="324" t="s">
        <v>167</v>
      </c>
      <c r="D11" s="325"/>
      <c r="E11" s="326"/>
      <c r="F11" s="325"/>
      <c r="G11" s="327">
        <f t="shared" ref="G11:AK11" si="2">G7-G10</f>
        <v>-80368.537500000006</v>
      </c>
      <c r="H11" s="327">
        <f t="shared" si="2"/>
        <v>-91442.205143495288</v>
      </c>
      <c r="I11" s="327">
        <f t="shared" si="2"/>
        <v>-62591.363365199679</v>
      </c>
      <c r="J11" s="327">
        <f t="shared" si="2"/>
        <v>55497.242006978922</v>
      </c>
      <c r="K11" s="327">
        <f t="shared" si="2"/>
        <v>36435.669097144557</v>
      </c>
      <c r="L11" s="327">
        <f t="shared" si="2"/>
        <v>18377.143047063746</v>
      </c>
      <c r="M11" s="327">
        <f t="shared" si="2"/>
        <v>-21971.738263683132</v>
      </c>
      <c r="N11" s="327">
        <f t="shared" si="2"/>
        <v>-28553.022460878754</v>
      </c>
      <c r="O11" s="327">
        <f t="shared" si="2"/>
        <v>-79682.894140192933</v>
      </c>
      <c r="P11" s="327">
        <f t="shared" si="2"/>
        <v>-113575.37619790182</v>
      </c>
      <c r="Q11" s="327">
        <f t="shared" si="2"/>
        <v>150696.88494877261</v>
      </c>
      <c r="R11" s="327">
        <f t="shared" si="2"/>
        <v>2354960.1671817289</v>
      </c>
      <c r="S11" s="327">
        <f t="shared" si="2"/>
        <v>4931323.0058594104</v>
      </c>
      <c r="T11" s="327">
        <f t="shared" si="2"/>
        <v>10243834.272352466</v>
      </c>
      <c r="U11" s="327">
        <f t="shared" si="2"/>
        <v>7870494.4660357051</v>
      </c>
      <c r="V11" s="327">
        <f t="shared" si="2"/>
        <v>8298384.2104364177</v>
      </c>
      <c r="W11" s="327">
        <f t="shared" si="2"/>
        <v>8640864.1250160076</v>
      </c>
      <c r="X11" s="327">
        <f t="shared" si="2"/>
        <v>7954700.8645620588</v>
      </c>
      <c r="Y11" s="327">
        <f t="shared" si="2"/>
        <v>8714760.681586545</v>
      </c>
      <c r="Z11" s="327">
        <f t="shared" si="2"/>
        <v>9272365.5332355686</v>
      </c>
      <c r="AA11" s="327">
        <f t="shared" si="2"/>
        <v>9064208.9275583085</v>
      </c>
      <c r="AB11" s="327">
        <f t="shared" si="2"/>
        <v>8996662.7494539153</v>
      </c>
      <c r="AC11" s="327">
        <f t="shared" si="2"/>
        <v>9453269.8754944354</v>
      </c>
      <c r="AD11" s="327">
        <f t="shared" si="2"/>
        <v>8764984.5444100425</v>
      </c>
      <c r="AE11" s="327">
        <f t="shared" si="2"/>
        <v>8489545.2497455608</v>
      </c>
      <c r="AF11" s="327">
        <f t="shared" si="2"/>
        <v>8344955.4241689602</v>
      </c>
      <c r="AG11" s="327">
        <f t="shared" si="2"/>
        <v>5575015.6243567187</v>
      </c>
      <c r="AH11" s="327">
        <f t="shared" si="2"/>
        <v>5859894.2550253598</v>
      </c>
      <c r="AI11" s="327">
        <f t="shared" si="2"/>
        <v>2449157.1000363603</v>
      </c>
      <c r="AJ11" s="327">
        <f t="shared" si="2"/>
        <v>8922443.9765809309</v>
      </c>
      <c r="AK11" s="327">
        <f t="shared" si="2"/>
        <v>7759248.9264276149</v>
      </c>
      <c r="AL11" s="73"/>
      <c r="AM11" s="73"/>
      <c r="AN11" s="73"/>
      <c r="AO11" s="73"/>
      <c r="AP11" s="73"/>
    </row>
    <row r="12" spans="1:42" x14ac:dyDescent="0.25">
      <c r="A12" s="334"/>
      <c r="B12" s="329" t="s">
        <v>256</v>
      </c>
      <c r="C12" s="330" t="s">
        <v>128</v>
      </c>
      <c r="D12" s="335"/>
      <c r="E12" s="335"/>
      <c r="F12" s="335"/>
      <c r="G12" s="331" t="str">
        <f t="shared" ref="G12:AK12" si="3">IFERROR(G11/G$5, "n/a")</f>
        <v>n/a</v>
      </c>
      <c r="H12" s="331" t="str">
        <f t="shared" si="3"/>
        <v>n/a</v>
      </c>
      <c r="I12" s="331">
        <f t="shared" si="3"/>
        <v>-0.36835783524717325</v>
      </c>
      <c r="J12" s="331">
        <f t="shared" si="3"/>
        <v>0.32834831001524833</v>
      </c>
      <c r="K12" s="331">
        <f t="shared" si="3"/>
        <v>0.21671951366512757</v>
      </c>
      <c r="L12" s="331">
        <f t="shared" si="3"/>
        <v>0.10988974051869158</v>
      </c>
      <c r="M12" s="331">
        <f t="shared" si="3"/>
        <v>-0.12627569520325474</v>
      </c>
      <c r="N12" s="331">
        <f t="shared" si="3"/>
        <v>-0.16497393068011132</v>
      </c>
      <c r="O12" s="331">
        <f t="shared" si="3"/>
        <v>-0.46284568417547678</v>
      </c>
      <c r="P12" s="331">
        <f t="shared" si="3"/>
        <v>-0.66322850982362447</v>
      </c>
      <c r="Q12" s="331">
        <f t="shared" si="3"/>
        <v>4.9651147082324612E-2</v>
      </c>
      <c r="R12" s="331">
        <f t="shared" si="3"/>
        <v>0.39001962921043959</v>
      </c>
      <c r="S12" s="331">
        <f t="shared" si="3"/>
        <v>0.41369681259185892</v>
      </c>
      <c r="T12" s="331">
        <f t="shared" si="3"/>
        <v>0.86395108065783244</v>
      </c>
      <c r="U12" s="331">
        <f t="shared" si="3"/>
        <v>0.71585339200607734</v>
      </c>
      <c r="V12" s="331">
        <f t="shared" si="3"/>
        <v>0.75879330721275207</v>
      </c>
      <c r="W12" s="331">
        <f t="shared" si="3"/>
        <v>0.79431911337296046</v>
      </c>
      <c r="X12" s="331">
        <f t="shared" si="3"/>
        <v>0.73513918652773314</v>
      </c>
      <c r="Y12" s="331">
        <f t="shared" si="3"/>
        <v>0.74800895275804957</v>
      </c>
      <c r="Z12" s="331">
        <f t="shared" si="3"/>
        <v>0.80011011040429592</v>
      </c>
      <c r="AA12" s="331">
        <f t="shared" si="3"/>
        <v>0.78631580570616233</v>
      </c>
      <c r="AB12" s="331">
        <f t="shared" si="3"/>
        <v>0.78461466781674338</v>
      </c>
      <c r="AC12" s="331">
        <f t="shared" si="3"/>
        <v>0.79237951188549016</v>
      </c>
      <c r="AD12" s="331">
        <f t="shared" si="3"/>
        <v>0.73860155841754904</v>
      </c>
      <c r="AE12" s="331">
        <f t="shared" si="3"/>
        <v>0.71920281126296748</v>
      </c>
      <c r="AF12" s="331">
        <f t="shared" si="3"/>
        <v>0.71072051868260588</v>
      </c>
      <c r="AG12" s="331">
        <f t="shared" si="3"/>
        <v>0.44190173656071896</v>
      </c>
      <c r="AH12" s="331">
        <f t="shared" si="3"/>
        <v>0.46695742151430569</v>
      </c>
      <c r="AI12" s="331">
        <f t="shared" si="3"/>
        <v>0.19620588551722368</v>
      </c>
      <c r="AJ12" s="331">
        <f t="shared" si="3"/>
        <v>0.71859981409584883</v>
      </c>
      <c r="AK12" s="331">
        <f t="shared" si="3"/>
        <v>0.60061912211036594</v>
      </c>
      <c r="AL12" s="135"/>
      <c r="AM12" s="135"/>
      <c r="AN12" s="135"/>
      <c r="AO12" s="135"/>
      <c r="AP12" s="135"/>
    </row>
    <row r="13" spans="1:42" x14ac:dyDescent="0.25">
      <c r="A13" s="20"/>
      <c r="B13" s="130"/>
      <c r="C13" s="126"/>
      <c r="D13" s="71"/>
      <c r="E13" s="71"/>
      <c r="F13" s="71"/>
      <c r="G13" s="336"/>
      <c r="H13" s="336"/>
      <c r="I13" s="336"/>
      <c r="J13" s="336"/>
      <c r="K13" s="336"/>
      <c r="L13" s="336"/>
      <c r="M13" s="336"/>
      <c r="N13" s="336"/>
      <c r="O13" s="336"/>
      <c r="P13" s="336"/>
      <c r="Q13" s="336"/>
      <c r="R13" s="336"/>
      <c r="S13" s="336"/>
      <c r="T13" s="336"/>
      <c r="U13" s="336"/>
      <c r="V13" s="336"/>
      <c r="W13" s="336"/>
      <c r="X13" s="336"/>
      <c r="Y13" s="336"/>
      <c r="Z13" s="336"/>
      <c r="AA13" s="336"/>
      <c r="AB13" s="336"/>
      <c r="AC13" s="336"/>
      <c r="AD13" s="336"/>
      <c r="AE13" s="336"/>
      <c r="AF13" s="336"/>
      <c r="AG13" s="336"/>
      <c r="AH13" s="336"/>
      <c r="AI13" s="336"/>
      <c r="AJ13" s="336"/>
      <c r="AK13" s="336"/>
      <c r="AL13" s="73"/>
      <c r="AM13" s="73"/>
      <c r="AN13" s="73"/>
      <c r="AO13" s="73"/>
      <c r="AP13" s="73"/>
    </row>
    <row r="14" spans="1:42" x14ac:dyDescent="0.25">
      <c r="A14" s="317"/>
      <c r="B14" s="140" t="s">
        <v>259</v>
      </c>
      <c r="C14" s="126" t="s">
        <v>167</v>
      </c>
      <c r="D14" s="318"/>
      <c r="E14" s="319"/>
      <c r="F14" s="318"/>
      <c r="G14" s="321">
        <f>IS!G124+IS!G70</f>
        <v>0</v>
      </c>
      <c r="H14" s="321">
        <f>IS!H124+IS!H70</f>
        <v>1898.0104395544488</v>
      </c>
      <c r="I14" s="321">
        <f>IS!I124+IS!I70</f>
        <v>3842.6065372348498</v>
      </c>
      <c r="J14" s="321">
        <f>IS!J124+IS!J70</f>
        <v>13614.173669174243</v>
      </c>
      <c r="K14" s="321">
        <f>IS!K124+IS!K70</f>
        <v>15750.000000000004</v>
      </c>
      <c r="L14" s="321">
        <f>IS!L124+IS!L70</f>
        <v>17936.198653789546</v>
      </c>
      <c r="M14" s="321">
        <f>IS!M124+IS!M70</f>
        <v>20173.684320482967</v>
      </c>
      <c r="N14" s="321">
        <f>IS!N124+IS!N70</f>
        <v>22463.386554137509</v>
      </c>
      <c r="O14" s="321">
        <f>IS!O124+IS!O70</f>
        <v>24806.250000000015</v>
      </c>
      <c r="P14" s="321">
        <f>IS!P124+IS!P70</f>
        <v>27203.234624914156</v>
      </c>
      <c r="Q14" s="321">
        <f>IS!Q124+IS!Q70</f>
        <v>39441.570214976266</v>
      </c>
      <c r="R14" s="321">
        <f>IS!R124+IS!R70</f>
        <v>22814.632234802211</v>
      </c>
      <c r="S14" s="321">
        <f>IS!S124+IS!S70</f>
        <v>329098.3171875003</v>
      </c>
      <c r="T14" s="321">
        <f>IS!T124+IS!T70</f>
        <v>797775.66022754519</v>
      </c>
      <c r="U14" s="321">
        <f>IS!U124+IS!U70</f>
        <v>807566.15015163936</v>
      </c>
      <c r="V14" s="321">
        <f>IS!V124+IS!V70</f>
        <v>923298.24664942641</v>
      </c>
      <c r="W14" s="321">
        <f>IS!W124+IS!W70</f>
        <v>931475.28812500136</v>
      </c>
      <c r="X14" s="321">
        <f>IS!X124+IS!X70</f>
        <v>939715.48095748585</v>
      </c>
      <c r="Y14" s="321">
        <f>IS!Y124+IS!Y70</f>
        <v>948019.14363767381</v>
      </c>
      <c r="Z14" s="321">
        <f>IS!Z124+IS!Z70</f>
        <v>987828.00801105017</v>
      </c>
      <c r="AA14" s="321">
        <f>IS!AA124+IS!AA70</f>
        <v>996645.41541015799</v>
      </c>
      <c r="AB14" s="321">
        <f>IS!AB124+IS!AB70</f>
        <v>1005531.9729262587</v>
      </c>
      <c r="AC14" s="321">
        <f>IS!AC124+IS!AC70</f>
        <v>1034488.0498424629</v>
      </c>
      <c r="AD14" s="321">
        <f>IS!AD124+IS!AD70</f>
        <v>1043514.0140911965</v>
      </c>
      <c r="AE14" s="321">
        <f>IS!AE124+IS!AE70</f>
        <v>1052610.2321654316</v>
      </c>
      <c r="AF14" s="321">
        <f>IS!AF124+IS!AF70</f>
        <v>1061777.0690279431</v>
      </c>
      <c r="AG14" s="321">
        <f>IS!AG124+IS!AG70</f>
        <v>1074439.2790975613</v>
      </c>
      <c r="AH14" s="321">
        <f>IS!AH124+IS!AH70</f>
        <v>1118454.6268595036</v>
      </c>
      <c r="AI14" s="321">
        <f>IS!AI124+IS!AI70</f>
        <v>1128303.4405266969</v>
      </c>
      <c r="AJ14" s="321">
        <f>IS!AJ124+IS!AJ70</f>
        <v>1138230.0584050959</v>
      </c>
      <c r="AK14" s="321">
        <f>IS!AK124+IS!AK70</f>
        <v>1148234.9068501925</v>
      </c>
      <c r="AL14" s="319"/>
      <c r="AM14" s="319"/>
      <c r="AN14" s="319"/>
      <c r="AO14" s="319"/>
      <c r="AP14" s="319"/>
    </row>
    <row r="15" spans="1:42" x14ac:dyDescent="0.25">
      <c r="A15" s="322"/>
      <c r="B15" s="323" t="s">
        <v>260</v>
      </c>
      <c r="C15" s="324" t="s">
        <v>167</v>
      </c>
      <c r="D15" s="325"/>
      <c r="E15" s="326"/>
      <c r="F15" s="325"/>
      <c r="G15" s="327">
        <f t="shared" ref="G15:AK15" si="4">G11-G14</f>
        <v>-80368.537500000006</v>
      </c>
      <c r="H15" s="327">
        <f t="shared" si="4"/>
        <v>-93340.215583049736</v>
      </c>
      <c r="I15" s="327">
        <f t="shared" si="4"/>
        <v>-66433.969902434532</v>
      </c>
      <c r="J15" s="327">
        <f t="shared" si="4"/>
        <v>41883.068337804682</v>
      </c>
      <c r="K15" s="327">
        <f t="shared" si="4"/>
        <v>20685.669097144553</v>
      </c>
      <c r="L15" s="327">
        <f t="shared" si="4"/>
        <v>440.94439327419968</v>
      </c>
      <c r="M15" s="327">
        <f t="shared" si="4"/>
        <v>-42145.422584166095</v>
      </c>
      <c r="N15" s="327">
        <f t="shared" si="4"/>
        <v>-51016.409015016266</v>
      </c>
      <c r="O15" s="327">
        <f t="shared" si="4"/>
        <v>-104489.14414019295</v>
      </c>
      <c r="P15" s="327">
        <f t="shared" si="4"/>
        <v>-140778.61082281597</v>
      </c>
      <c r="Q15" s="327">
        <f t="shared" si="4"/>
        <v>111255.31473379635</v>
      </c>
      <c r="R15" s="327">
        <f t="shared" si="4"/>
        <v>2332145.5349469269</v>
      </c>
      <c r="S15" s="327">
        <f t="shared" si="4"/>
        <v>4602224.6886719102</v>
      </c>
      <c r="T15" s="327">
        <f t="shared" si="4"/>
        <v>9446058.6121249218</v>
      </c>
      <c r="U15" s="327">
        <f t="shared" si="4"/>
        <v>7062928.3158840658</v>
      </c>
      <c r="V15" s="327">
        <f t="shared" si="4"/>
        <v>7375085.9637869913</v>
      </c>
      <c r="W15" s="327">
        <f t="shared" si="4"/>
        <v>7709388.8368910067</v>
      </c>
      <c r="X15" s="327">
        <f t="shared" si="4"/>
        <v>7014985.3836045731</v>
      </c>
      <c r="Y15" s="327">
        <f t="shared" si="4"/>
        <v>7766741.537948871</v>
      </c>
      <c r="Z15" s="327">
        <f t="shared" si="4"/>
        <v>8284537.525224518</v>
      </c>
      <c r="AA15" s="327">
        <f t="shared" si="4"/>
        <v>8067563.5121481502</v>
      </c>
      <c r="AB15" s="327">
        <f t="shared" si="4"/>
        <v>7991130.7765276562</v>
      </c>
      <c r="AC15" s="327">
        <f t="shared" si="4"/>
        <v>8418781.8256519735</v>
      </c>
      <c r="AD15" s="327">
        <f t="shared" si="4"/>
        <v>7721470.530318846</v>
      </c>
      <c r="AE15" s="327">
        <f t="shared" si="4"/>
        <v>7436935.0175801292</v>
      </c>
      <c r="AF15" s="327">
        <f t="shared" si="4"/>
        <v>7283178.3551410176</v>
      </c>
      <c r="AG15" s="327">
        <f t="shared" si="4"/>
        <v>4500576.3452591579</v>
      </c>
      <c r="AH15" s="327">
        <f t="shared" si="4"/>
        <v>4741439.628165856</v>
      </c>
      <c r="AI15" s="327">
        <f t="shared" si="4"/>
        <v>1320853.6595096635</v>
      </c>
      <c r="AJ15" s="327">
        <f t="shared" si="4"/>
        <v>7784213.9181758352</v>
      </c>
      <c r="AK15" s="327">
        <f t="shared" si="4"/>
        <v>6611014.0195774222</v>
      </c>
      <c r="AL15" s="73"/>
      <c r="AM15" s="73"/>
      <c r="AN15" s="73"/>
      <c r="AO15" s="73"/>
      <c r="AP15" s="73"/>
    </row>
    <row r="16" spans="1:42" x14ac:dyDescent="0.25">
      <c r="A16" s="328"/>
      <c r="B16" s="329" t="s">
        <v>256</v>
      </c>
      <c r="C16" s="330" t="s">
        <v>128</v>
      </c>
      <c r="D16" s="331"/>
      <c r="E16" s="331"/>
      <c r="F16" s="331"/>
      <c r="G16" s="331" t="str">
        <f t="shared" ref="G16:AK16" si="5">IFERROR(G15/G$5, "n/a")</f>
        <v>n/a</v>
      </c>
      <c r="H16" s="331" t="str">
        <f t="shared" si="5"/>
        <v>n/a</v>
      </c>
      <c r="I16" s="331">
        <f t="shared" si="5"/>
        <v>-0.39097204509436517</v>
      </c>
      <c r="J16" s="331">
        <f t="shared" si="5"/>
        <v>0.24780032682060027</v>
      </c>
      <c r="K16" s="331">
        <f t="shared" si="5"/>
        <v>0.12303844714964368</v>
      </c>
      <c r="L16" s="331">
        <f t="shared" si="5"/>
        <v>2.6367137065854071E-3</v>
      </c>
      <c r="M16" s="331">
        <f t="shared" si="5"/>
        <v>-0.24221763761163642</v>
      </c>
      <c r="N16" s="331">
        <f t="shared" si="5"/>
        <v>-0.29476310383333321</v>
      </c>
      <c r="O16" s="331">
        <f t="shared" si="5"/>
        <v>-0.60693515126834618</v>
      </c>
      <c r="P16" s="331">
        <f t="shared" si="5"/>
        <v>-0.82208302007615175</v>
      </c>
      <c r="Q16" s="331">
        <f t="shared" si="5"/>
        <v>3.6656059595497496E-2</v>
      </c>
      <c r="R16" s="331">
        <f t="shared" si="5"/>
        <v>0.38624115578707008</v>
      </c>
      <c r="S16" s="331">
        <f t="shared" si="5"/>
        <v>0.38608821248838904</v>
      </c>
      <c r="T16" s="331">
        <f t="shared" si="5"/>
        <v>0.79666776413285501</v>
      </c>
      <c r="U16" s="331">
        <f t="shared" si="5"/>
        <v>0.64240197540829358</v>
      </c>
      <c r="V16" s="331">
        <f t="shared" si="5"/>
        <v>0.67436813330507051</v>
      </c>
      <c r="W16" s="331">
        <f t="shared" si="5"/>
        <v>0.70869241975903874</v>
      </c>
      <c r="X16" s="331">
        <f t="shared" si="5"/>
        <v>0.648294729897542</v>
      </c>
      <c r="Y16" s="331">
        <f t="shared" si="5"/>
        <v>0.66663818048597601</v>
      </c>
      <c r="Z16" s="331">
        <f t="shared" si="5"/>
        <v>0.71487067784340341</v>
      </c>
      <c r="AA16" s="331">
        <f t="shared" si="5"/>
        <v>0.69985729078392334</v>
      </c>
      <c r="AB16" s="331">
        <f t="shared" si="5"/>
        <v>0.69692046865777857</v>
      </c>
      <c r="AC16" s="331">
        <f t="shared" si="5"/>
        <v>0.70566801980057081</v>
      </c>
      <c r="AD16" s="331">
        <f t="shared" si="5"/>
        <v>0.6506674527573334</v>
      </c>
      <c r="AE16" s="331">
        <f t="shared" si="5"/>
        <v>0.63002957337248888</v>
      </c>
      <c r="AF16" s="331">
        <f t="shared" si="5"/>
        <v>0.62029142579143726</v>
      </c>
      <c r="AG16" s="331">
        <f t="shared" si="5"/>
        <v>0.35673666882747035</v>
      </c>
      <c r="AH16" s="331">
        <f t="shared" si="5"/>
        <v>0.37783112231681298</v>
      </c>
      <c r="AI16" s="331">
        <f t="shared" si="5"/>
        <v>0.10581569548924055</v>
      </c>
      <c r="AJ16" s="331">
        <f t="shared" si="5"/>
        <v>0.62692852868177784</v>
      </c>
      <c r="AK16" s="331">
        <f t="shared" si="5"/>
        <v>0.51173785946909134</v>
      </c>
      <c r="AL16" s="331"/>
      <c r="AM16" s="331"/>
      <c r="AN16" s="331"/>
      <c r="AO16" s="331"/>
      <c r="AP16" s="331"/>
    </row>
    <row r="17" spans="1:42" x14ac:dyDescent="0.25">
      <c r="B17" s="332"/>
      <c r="C17" s="337"/>
      <c r="D17" s="71"/>
      <c r="E17" s="73"/>
      <c r="F17" s="71"/>
      <c r="G17" s="338"/>
      <c r="H17" s="338"/>
      <c r="I17" s="338"/>
      <c r="J17" s="338"/>
      <c r="K17" s="338"/>
      <c r="L17" s="338"/>
      <c r="M17" s="338"/>
      <c r="N17" s="338"/>
      <c r="O17" s="338"/>
      <c r="P17" s="338"/>
      <c r="Q17" s="338"/>
      <c r="R17" s="338"/>
      <c r="S17" s="338"/>
      <c r="T17" s="338"/>
      <c r="U17" s="338"/>
      <c r="V17" s="338"/>
      <c r="W17" s="338"/>
      <c r="X17" s="338"/>
      <c r="Y17" s="338"/>
      <c r="Z17" s="338"/>
      <c r="AA17" s="338"/>
      <c r="AB17" s="338"/>
      <c r="AC17" s="338"/>
      <c r="AD17" s="338"/>
      <c r="AE17" s="338"/>
      <c r="AF17" s="338"/>
      <c r="AG17" s="338"/>
      <c r="AH17" s="338"/>
      <c r="AI17" s="338"/>
      <c r="AJ17" s="338"/>
      <c r="AK17" s="338"/>
      <c r="AL17" s="73"/>
      <c r="AM17" s="73"/>
      <c r="AN17" s="73"/>
      <c r="AO17" s="73"/>
      <c r="AP17" s="73"/>
    </row>
    <row r="18" spans="1:42" x14ac:dyDescent="0.25">
      <c r="A18" s="317"/>
      <c r="B18" s="462" t="s">
        <v>261</v>
      </c>
      <c r="C18" s="339" t="s">
        <v>128</v>
      </c>
      <c r="D18" s="319"/>
      <c r="E18" s="340">
        <f>IS!E10</f>
        <v>0.2</v>
      </c>
      <c r="F18" s="318"/>
      <c r="G18" s="318"/>
      <c r="H18" s="318"/>
      <c r="I18" s="318"/>
      <c r="J18" s="341"/>
      <c r="K18" s="318"/>
      <c r="L18" s="318"/>
      <c r="M18" s="318"/>
      <c r="N18" s="341"/>
      <c r="O18" s="318"/>
      <c r="P18" s="318"/>
      <c r="Q18" s="318"/>
      <c r="R18" s="341"/>
      <c r="S18" s="318"/>
      <c r="T18" s="318"/>
      <c r="U18" s="318"/>
      <c r="V18" s="341"/>
      <c r="W18" s="318"/>
      <c r="X18" s="318"/>
      <c r="Y18" s="318"/>
      <c r="Z18" s="341"/>
      <c r="AA18" s="318"/>
      <c r="AB18" s="318"/>
      <c r="AC18" s="318"/>
      <c r="AD18" s="341"/>
      <c r="AE18" s="318"/>
      <c r="AF18" s="318"/>
      <c r="AG18" s="318"/>
      <c r="AH18" s="341"/>
      <c r="AI18" s="318"/>
      <c r="AJ18" s="318"/>
      <c r="AK18" s="318"/>
      <c r="AL18" s="319"/>
      <c r="AM18" s="319"/>
      <c r="AN18" s="319"/>
      <c r="AO18" s="319"/>
      <c r="AP18" s="319"/>
    </row>
    <row r="19" spans="1:42" x14ac:dyDescent="0.25">
      <c r="A19" s="342"/>
      <c r="B19" s="442"/>
      <c r="C19" s="343" t="s">
        <v>167</v>
      </c>
      <c r="D19" s="344"/>
      <c r="E19" s="345"/>
      <c r="F19" s="346"/>
      <c r="G19" s="347">
        <f t="shared" ref="G19:AK19" si="6">IF(G15&gt;0,$E$18*G15,0)</f>
        <v>0</v>
      </c>
      <c r="H19" s="347">
        <f t="shared" si="6"/>
        <v>0</v>
      </c>
      <c r="I19" s="347">
        <f t="shared" si="6"/>
        <v>0</v>
      </c>
      <c r="J19" s="347">
        <f t="shared" si="6"/>
        <v>8376.6136675609359</v>
      </c>
      <c r="K19" s="347">
        <f t="shared" si="6"/>
        <v>4137.133819428911</v>
      </c>
      <c r="L19" s="347">
        <f t="shared" si="6"/>
        <v>88.188878654839939</v>
      </c>
      <c r="M19" s="347">
        <f t="shared" si="6"/>
        <v>0</v>
      </c>
      <c r="N19" s="347">
        <f t="shared" si="6"/>
        <v>0</v>
      </c>
      <c r="O19" s="347">
        <f t="shared" si="6"/>
        <v>0</v>
      </c>
      <c r="P19" s="347">
        <f t="shared" si="6"/>
        <v>0</v>
      </c>
      <c r="Q19" s="347">
        <f t="shared" si="6"/>
        <v>22251.06294675927</v>
      </c>
      <c r="R19" s="347">
        <f t="shared" si="6"/>
        <v>466429.10698938539</v>
      </c>
      <c r="S19" s="347">
        <f t="shared" si="6"/>
        <v>920444.93773438211</v>
      </c>
      <c r="T19" s="347">
        <f t="shared" si="6"/>
        <v>1889211.7224249844</v>
      </c>
      <c r="U19" s="347">
        <f t="shared" si="6"/>
        <v>1412585.6631768132</v>
      </c>
      <c r="V19" s="347">
        <f t="shared" si="6"/>
        <v>1475017.1927573984</v>
      </c>
      <c r="W19" s="347">
        <f t="shared" si="6"/>
        <v>1541877.7673782015</v>
      </c>
      <c r="X19" s="347">
        <f t="shared" si="6"/>
        <v>1402997.0767209148</v>
      </c>
      <c r="Y19" s="347">
        <f t="shared" si="6"/>
        <v>1553348.3075897743</v>
      </c>
      <c r="Z19" s="347">
        <f t="shared" si="6"/>
        <v>1656907.5050449036</v>
      </c>
      <c r="AA19" s="347">
        <f t="shared" si="6"/>
        <v>1613512.7024296301</v>
      </c>
      <c r="AB19" s="347">
        <f t="shared" si="6"/>
        <v>1598226.1553055313</v>
      </c>
      <c r="AC19" s="347">
        <f t="shared" si="6"/>
        <v>1683756.3651303947</v>
      </c>
      <c r="AD19" s="347">
        <f t="shared" si="6"/>
        <v>1544294.1060637692</v>
      </c>
      <c r="AE19" s="347">
        <f t="shared" si="6"/>
        <v>1487387.0035160258</v>
      </c>
      <c r="AF19" s="347">
        <f t="shared" si="6"/>
        <v>1456635.6710282036</v>
      </c>
      <c r="AG19" s="347">
        <f t="shared" si="6"/>
        <v>900115.26905183168</v>
      </c>
      <c r="AH19" s="347">
        <f t="shared" si="6"/>
        <v>948287.92563317122</v>
      </c>
      <c r="AI19" s="347">
        <f t="shared" si="6"/>
        <v>264170.73190193268</v>
      </c>
      <c r="AJ19" s="347">
        <f t="shared" si="6"/>
        <v>1556842.7836351672</v>
      </c>
      <c r="AK19" s="347">
        <f t="shared" si="6"/>
        <v>1322202.8039154846</v>
      </c>
      <c r="AL19" s="161"/>
      <c r="AM19" s="161"/>
      <c r="AN19" s="161"/>
      <c r="AO19" s="161"/>
      <c r="AP19" s="161"/>
    </row>
    <row r="20" spans="1:42" x14ac:dyDescent="0.25">
      <c r="A20" s="299"/>
      <c r="B20" s="207" t="s">
        <v>262</v>
      </c>
      <c r="C20" s="324" t="s">
        <v>167</v>
      </c>
      <c r="D20" s="326"/>
      <c r="E20" s="326"/>
      <c r="F20" s="326"/>
      <c r="G20" s="327">
        <f t="shared" ref="G20:AK20" si="7">G15-G19</f>
        <v>-80368.537500000006</v>
      </c>
      <c r="H20" s="327">
        <f t="shared" si="7"/>
        <v>-93340.215583049736</v>
      </c>
      <c r="I20" s="327">
        <f t="shared" si="7"/>
        <v>-66433.969902434532</v>
      </c>
      <c r="J20" s="327">
        <f t="shared" si="7"/>
        <v>33506.454670243744</v>
      </c>
      <c r="K20" s="327">
        <f t="shared" si="7"/>
        <v>16548.535277715644</v>
      </c>
      <c r="L20" s="327">
        <f t="shared" si="7"/>
        <v>352.75551461935976</v>
      </c>
      <c r="M20" s="327">
        <f t="shared" si="7"/>
        <v>-42145.422584166095</v>
      </c>
      <c r="N20" s="327">
        <f t="shared" si="7"/>
        <v>-51016.409015016266</v>
      </c>
      <c r="O20" s="327">
        <f t="shared" si="7"/>
        <v>-104489.14414019295</v>
      </c>
      <c r="P20" s="327">
        <f t="shared" si="7"/>
        <v>-140778.61082281597</v>
      </c>
      <c r="Q20" s="327">
        <f t="shared" si="7"/>
        <v>89004.251787037079</v>
      </c>
      <c r="R20" s="327">
        <f t="shared" si="7"/>
        <v>1865716.4279575415</v>
      </c>
      <c r="S20" s="327">
        <f t="shared" si="7"/>
        <v>3681779.750937528</v>
      </c>
      <c r="T20" s="327">
        <f t="shared" si="7"/>
        <v>7556846.8896999378</v>
      </c>
      <c r="U20" s="327">
        <f t="shared" si="7"/>
        <v>5650342.6527072527</v>
      </c>
      <c r="V20" s="327">
        <f t="shared" si="7"/>
        <v>5900068.7710295934</v>
      </c>
      <c r="W20" s="327">
        <f t="shared" si="7"/>
        <v>6167511.069512805</v>
      </c>
      <c r="X20" s="327">
        <f t="shared" si="7"/>
        <v>5611988.3068836583</v>
      </c>
      <c r="Y20" s="327">
        <f t="shared" si="7"/>
        <v>6213393.230359097</v>
      </c>
      <c r="Z20" s="327">
        <f t="shared" si="7"/>
        <v>6627630.0201796144</v>
      </c>
      <c r="AA20" s="327">
        <f t="shared" si="7"/>
        <v>6454050.8097185204</v>
      </c>
      <c r="AB20" s="327">
        <f t="shared" si="7"/>
        <v>6392904.6212221254</v>
      </c>
      <c r="AC20" s="327">
        <f t="shared" si="7"/>
        <v>6735025.4605215788</v>
      </c>
      <c r="AD20" s="327">
        <f t="shared" si="7"/>
        <v>6177176.4242550768</v>
      </c>
      <c r="AE20" s="327">
        <f t="shared" si="7"/>
        <v>5949548.0140641034</v>
      </c>
      <c r="AF20" s="327">
        <f t="shared" si="7"/>
        <v>5826542.6841128143</v>
      </c>
      <c r="AG20" s="327">
        <f t="shared" si="7"/>
        <v>3600461.0762073263</v>
      </c>
      <c r="AH20" s="327">
        <f t="shared" si="7"/>
        <v>3793151.7025326849</v>
      </c>
      <c r="AI20" s="327">
        <f t="shared" si="7"/>
        <v>1056682.9276077307</v>
      </c>
      <c r="AJ20" s="327">
        <f t="shared" si="7"/>
        <v>6227371.1345406678</v>
      </c>
      <c r="AK20" s="327">
        <f t="shared" si="7"/>
        <v>5288811.2156619374</v>
      </c>
      <c r="AL20" s="155"/>
      <c r="AM20" s="155"/>
      <c r="AN20" s="155"/>
      <c r="AO20" s="155"/>
      <c r="AP20" s="155"/>
    </row>
    <row r="21" spans="1:42" x14ac:dyDescent="0.25">
      <c r="A21" s="328"/>
      <c r="B21" s="329" t="s">
        <v>256</v>
      </c>
      <c r="C21" s="330" t="s">
        <v>128</v>
      </c>
      <c r="D21" s="331"/>
      <c r="E21" s="331"/>
      <c r="F21" s="331"/>
      <c r="G21" s="331" t="str">
        <f t="shared" ref="G21:AK21" si="8">IFERROR(G20/G$5, "n/a")</f>
        <v>n/a</v>
      </c>
      <c r="H21" s="331" t="str">
        <f t="shared" si="8"/>
        <v>n/a</v>
      </c>
      <c r="I21" s="331">
        <f t="shared" si="8"/>
        <v>-0.39097204509436517</v>
      </c>
      <c r="J21" s="331">
        <f t="shared" si="8"/>
        <v>0.19824026145648022</v>
      </c>
      <c r="K21" s="331">
        <f t="shared" si="8"/>
        <v>9.8430757719714948E-2</v>
      </c>
      <c r="L21" s="331">
        <f t="shared" si="8"/>
        <v>2.1093709652683255E-3</v>
      </c>
      <c r="M21" s="331">
        <f t="shared" si="8"/>
        <v>-0.24221763761163642</v>
      </c>
      <c r="N21" s="331">
        <f t="shared" si="8"/>
        <v>-0.29476310383333321</v>
      </c>
      <c r="O21" s="331">
        <f t="shared" si="8"/>
        <v>-0.60693515126834618</v>
      </c>
      <c r="P21" s="331">
        <f t="shared" si="8"/>
        <v>-0.82208302007615175</v>
      </c>
      <c r="Q21" s="331">
        <f t="shared" si="8"/>
        <v>2.9324847676397998E-2</v>
      </c>
      <c r="R21" s="331">
        <f t="shared" si="8"/>
        <v>0.30899292462965605</v>
      </c>
      <c r="S21" s="331">
        <f t="shared" si="8"/>
        <v>0.30887056999071122</v>
      </c>
      <c r="T21" s="331">
        <f t="shared" si="8"/>
        <v>0.63733421130628398</v>
      </c>
      <c r="U21" s="331">
        <f t="shared" si="8"/>
        <v>0.51392158032663482</v>
      </c>
      <c r="V21" s="331">
        <f t="shared" si="8"/>
        <v>0.5394945066440564</v>
      </c>
      <c r="W21" s="331">
        <f t="shared" si="8"/>
        <v>0.56695393580723097</v>
      </c>
      <c r="X21" s="331">
        <f t="shared" si="8"/>
        <v>0.51863578391803355</v>
      </c>
      <c r="Y21" s="331">
        <f t="shared" si="8"/>
        <v>0.53331054438878078</v>
      </c>
      <c r="Z21" s="331">
        <f t="shared" si="8"/>
        <v>0.57189654227472275</v>
      </c>
      <c r="AA21" s="331">
        <f t="shared" si="8"/>
        <v>0.55988583262713865</v>
      </c>
      <c r="AB21" s="331">
        <f t="shared" si="8"/>
        <v>0.55753637492622288</v>
      </c>
      <c r="AC21" s="331">
        <f t="shared" si="8"/>
        <v>0.5645344158404566</v>
      </c>
      <c r="AD21" s="331">
        <f t="shared" si="8"/>
        <v>0.52053396220586667</v>
      </c>
      <c r="AE21" s="331">
        <f t="shared" si="8"/>
        <v>0.50402365869799115</v>
      </c>
      <c r="AF21" s="331">
        <f t="shared" si="8"/>
        <v>0.49623314063314988</v>
      </c>
      <c r="AG21" s="331">
        <f t="shared" si="8"/>
        <v>0.28538933506197628</v>
      </c>
      <c r="AH21" s="331">
        <f t="shared" si="8"/>
        <v>0.3022648978534504</v>
      </c>
      <c r="AI21" s="331">
        <f t="shared" si="8"/>
        <v>8.4652556391392436E-2</v>
      </c>
      <c r="AJ21" s="331">
        <f t="shared" si="8"/>
        <v>0.5015428229454223</v>
      </c>
      <c r="AK21" s="331">
        <f t="shared" si="8"/>
        <v>0.40939028757527307</v>
      </c>
      <c r="AL21" s="331"/>
      <c r="AM21" s="331"/>
      <c r="AN21" s="331"/>
      <c r="AO21" s="331"/>
      <c r="AP21" s="331"/>
    </row>
    <row r="22" spans="1:42" x14ac:dyDescent="0.25">
      <c r="B22" s="348"/>
      <c r="C22" s="73"/>
      <c r="D22" s="349"/>
      <c r="E22" s="312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3"/>
    </row>
    <row r="23" spans="1:42" x14ac:dyDescent="0.25">
      <c r="B23" s="130"/>
      <c r="C23" s="309"/>
      <c r="D23" s="312"/>
      <c r="E23" s="138"/>
      <c r="F23" s="71"/>
      <c r="G23" s="71"/>
      <c r="H23" s="71"/>
      <c r="I23" s="312"/>
      <c r="J23" s="312"/>
      <c r="K23" s="312"/>
      <c r="L23" s="73"/>
      <c r="M23" s="312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</row>
    <row r="24" spans="1:42" x14ac:dyDescent="0.25">
      <c r="E24" s="71"/>
      <c r="F24" s="71"/>
      <c r="G24" s="71"/>
      <c r="H24" s="71"/>
      <c r="I24" s="312"/>
      <c r="J24" s="350"/>
      <c r="K24" s="312"/>
      <c r="L24" s="73"/>
      <c r="M24" s="312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1:42" x14ac:dyDescent="0.25"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spans="1:42" x14ac:dyDescent="0.25"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1:42" x14ac:dyDescent="0.25"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 spans="1:42" x14ac:dyDescent="0.25">
      <c r="B28" s="231"/>
      <c r="C28" s="241"/>
      <c r="E28" s="71"/>
    </row>
    <row r="29" spans="1:42" x14ac:dyDescent="0.25">
      <c r="B29" s="231"/>
      <c r="C29" s="241"/>
      <c r="E29" s="71"/>
    </row>
    <row r="30" spans="1:42" x14ac:dyDescent="0.25">
      <c r="B30" s="231"/>
      <c r="C30" s="241"/>
    </row>
    <row r="31" spans="1:42" x14ac:dyDescent="0.25">
      <c r="B31" s="231"/>
      <c r="C31" s="241"/>
    </row>
    <row r="32" spans="1:42" x14ac:dyDescent="0.25">
      <c r="B32" s="231"/>
      <c r="C32" s="241"/>
    </row>
    <row r="33" spans="2:3" x14ac:dyDescent="0.25">
      <c r="B33" s="231"/>
      <c r="C33" s="241"/>
    </row>
    <row r="34" spans="2:3" x14ac:dyDescent="0.25">
      <c r="B34" s="231"/>
      <c r="C34" s="241"/>
    </row>
    <row r="35" spans="2:3" x14ac:dyDescent="0.25">
      <c r="B35" s="231"/>
      <c r="C35" s="241"/>
    </row>
    <row r="36" spans="2:3" x14ac:dyDescent="0.25">
      <c r="B36" s="231"/>
      <c r="C36" s="241"/>
    </row>
    <row r="37" spans="2:3" x14ac:dyDescent="0.25">
      <c r="B37" s="231"/>
      <c r="C37" s="241"/>
    </row>
    <row r="38" spans="2:3" x14ac:dyDescent="0.25">
      <c r="B38" s="231"/>
      <c r="C38" s="241"/>
    </row>
    <row r="39" spans="2:3" x14ac:dyDescent="0.25">
      <c r="B39" s="231"/>
      <c r="C39" s="241"/>
    </row>
    <row r="40" spans="2:3" x14ac:dyDescent="0.25">
      <c r="B40" s="231"/>
      <c r="C40" s="241"/>
    </row>
    <row r="41" spans="2:3" x14ac:dyDescent="0.25">
      <c r="B41" s="231"/>
      <c r="C41" s="241"/>
    </row>
    <row r="42" spans="2:3" x14ac:dyDescent="0.25">
      <c r="B42" s="231"/>
      <c r="C42" s="241"/>
    </row>
    <row r="43" spans="2:3" x14ac:dyDescent="0.25">
      <c r="B43" s="231"/>
      <c r="C43" s="241"/>
    </row>
    <row r="44" spans="2:3" x14ac:dyDescent="0.25">
      <c r="B44" s="231"/>
      <c r="C44" s="241"/>
    </row>
    <row r="45" spans="2:3" x14ac:dyDescent="0.25">
      <c r="B45" s="231"/>
      <c r="C45" s="241"/>
    </row>
    <row r="46" spans="2:3" x14ac:dyDescent="0.25">
      <c r="B46" s="231"/>
      <c r="C46" s="241"/>
    </row>
    <row r="47" spans="2:3" x14ac:dyDescent="0.25">
      <c r="B47" s="231"/>
      <c r="C47" s="241"/>
    </row>
    <row r="48" spans="2:3" x14ac:dyDescent="0.25">
      <c r="B48" s="231"/>
      <c r="C48" s="241"/>
    </row>
    <row r="49" spans="2:3" x14ac:dyDescent="0.25">
      <c r="B49" s="231"/>
      <c r="C49" s="241"/>
    </row>
    <row r="50" spans="2:3" x14ac:dyDescent="0.25">
      <c r="B50" s="231"/>
      <c r="C50" s="241"/>
    </row>
    <row r="51" spans="2:3" x14ac:dyDescent="0.25">
      <c r="B51" s="231"/>
      <c r="C51" s="241"/>
    </row>
    <row r="52" spans="2:3" x14ac:dyDescent="0.25">
      <c r="B52" s="231"/>
      <c r="C52" s="241"/>
    </row>
    <row r="53" spans="2:3" x14ac:dyDescent="0.25">
      <c r="B53" s="231"/>
      <c r="C53" s="241"/>
    </row>
    <row r="54" spans="2:3" x14ac:dyDescent="0.25">
      <c r="B54" s="231"/>
      <c r="C54" s="241"/>
    </row>
    <row r="55" spans="2:3" x14ac:dyDescent="0.25">
      <c r="B55" s="231"/>
      <c r="C55" s="241"/>
    </row>
    <row r="56" spans="2:3" x14ac:dyDescent="0.25">
      <c r="B56" s="231"/>
      <c r="C56" s="241"/>
    </row>
    <row r="57" spans="2:3" x14ac:dyDescent="0.25">
      <c r="B57" s="231"/>
      <c r="C57" s="241"/>
    </row>
    <row r="58" spans="2:3" x14ac:dyDescent="0.25">
      <c r="B58" s="231"/>
      <c r="C58" s="241"/>
    </row>
    <row r="59" spans="2:3" x14ac:dyDescent="0.25">
      <c r="B59" s="231"/>
      <c r="C59" s="241"/>
    </row>
    <row r="60" spans="2:3" x14ac:dyDescent="0.25">
      <c r="B60" s="231"/>
      <c r="C60" s="241"/>
    </row>
    <row r="61" spans="2:3" x14ac:dyDescent="0.25">
      <c r="B61" s="231"/>
      <c r="C61" s="241"/>
    </row>
    <row r="62" spans="2:3" x14ac:dyDescent="0.25">
      <c r="B62" s="231"/>
      <c r="C62" s="241"/>
    </row>
    <row r="63" spans="2:3" x14ac:dyDescent="0.25">
      <c r="B63" s="231"/>
      <c r="C63" s="241"/>
    </row>
    <row r="64" spans="2:3" x14ac:dyDescent="0.25">
      <c r="B64" s="231"/>
      <c r="C64" s="241"/>
    </row>
    <row r="65" spans="2:3" x14ac:dyDescent="0.25">
      <c r="B65" s="231"/>
      <c r="C65" s="241"/>
    </row>
    <row r="66" spans="2:3" x14ac:dyDescent="0.25">
      <c r="B66" s="231"/>
      <c r="C66" s="241"/>
    </row>
    <row r="67" spans="2:3" x14ac:dyDescent="0.25">
      <c r="B67" s="231"/>
      <c r="C67" s="241"/>
    </row>
    <row r="68" spans="2:3" x14ac:dyDescent="0.25">
      <c r="B68" s="231"/>
      <c r="C68" s="241"/>
    </row>
    <row r="69" spans="2:3" x14ac:dyDescent="0.25">
      <c r="B69" s="231"/>
      <c r="C69" s="241"/>
    </row>
    <row r="70" spans="2:3" x14ac:dyDescent="0.25">
      <c r="B70" s="231"/>
      <c r="C70" s="241"/>
    </row>
    <row r="71" spans="2:3" x14ac:dyDescent="0.25">
      <c r="B71" s="231"/>
      <c r="C71" s="241"/>
    </row>
    <row r="72" spans="2:3" x14ac:dyDescent="0.25">
      <c r="B72" s="231"/>
      <c r="C72" s="241"/>
    </row>
    <row r="73" spans="2:3" x14ac:dyDescent="0.25">
      <c r="B73" s="231"/>
      <c r="C73" s="241"/>
    </row>
    <row r="74" spans="2:3" x14ac:dyDescent="0.25">
      <c r="B74" s="231"/>
      <c r="C74" s="241"/>
    </row>
    <row r="75" spans="2:3" x14ac:dyDescent="0.25">
      <c r="B75" s="231"/>
      <c r="C75" s="241"/>
    </row>
    <row r="76" spans="2:3" x14ac:dyDescent="0.25">
      <c r="B76" s="231"/>
      <c r="C76" s="241"/>
    </row>
    <row r="77" spans="2:3" x14ac:dyDescent="0.25">
      <c r="B77" s="231"/>
      <c r="C77" s="241"/>
    </row>
    <row r="78" spans="2:3" x14ac:dyDescent="0.25">
      <c r="B78" s="231"/>
      <c r="C78" s="241"/>
    </row>
    <row r="79" spans="2:3" x14ac:dyDescent="0.25">
      <c r="B79" s="231"/>
      <c r="C79" s="241"/>
    </row>
    <row r="80" spans="2:3" x14ac:dyDescent="0.25">
      <c r="B80" s="231"/>
      <c r="C80" s="241"/>
    </row>
    <row r="81" spans="2:3" x14ac:dyDescent="0.25">
      <c r="B81" s="231"/>
      <c r="C81" s="241"/>
    </row>
    <row r="82" spans="2:3" x14ac:dyDescent="0.25">
      <c r="B82" s="231"/>
      <c r="C82" s="241"/>
    </row>
    <row r="83" spans="2:3" x14ac:dyDescent="0.25">
      <c r="B83" s="231"/>
      <c r="C83" s="241"/>
    </row>
    <row r="84" spans="2:3" x14ac:dyDescent="0.25">
      <c r="B84" s="231"/>
      <c r="C84" s="241"/>
    </row>
    <row r="85" spans="2:3" x14ac:dyDescent="0.25">
      <c r="B85" s="231"/>
      <c r="C85" s="241"/>
    </row>
    <row r="86" spans="2:3" x14ac:dyDescent="0.25">
      <c r="B86" s="231"/>
      <c r="C86" s="241"/>
    </row>
    <row r="87" spans="2:3" x14ac:dyDescent="0.25">
      <c r="B87" s="231"/>
      <c r="C87" s="241"/>
    </row>
    <row r="88" spans="2:3" x14ac:dyDescent="0.25">
      <c r="B88" s="231"/>
      <c r="C88" s="241"/>
    </row>
    <row r="89" spans="2:3" x14ac:dyDescent="0.25">
      <c r="B89" s="231"/>
      <c r="C89" s="241"/>
    </row>
    <row r="90" spans="2:3" x14ac:dyDescent="0.25">
      <c r="B90" s="231"/>
      <c r="C90" s="241"/>
    </row>
    <row r="91" spans="2:3" x14ac:dyDescent="0.25">
      <c r="B91" s="231"/>
      <c r="C91" s="241"/>
    </row>
    <row r="92" spans="2:3" x14ac:dyDescent="0.25">
      <c r="B92" s="231"/>
      <c r="C92" s="241"/>
    </row>
    <row r="93" spans="2:3" x14ac:dyDescent="0.25">
      <c r="B93" s="231"/>
      <c r="C93" s="241"/>
    </row>
    <row r="94" spans="2:3" x14ac:dyDescent="0.25">
      <c r="B94" s="231"/>
      <c r="C94" s="241"/>
    </row>
    <row r="95" spans="2:3" x14ac:dyDescent="0.25">
      <c r="B95" s="231"/>
      <c r="C95" s="241"/>
    </row>
    <row r="96" spans="2:3" x14ac:dyDescent="0.25">
      <c r="B96" s="231"/>
      <c r="C96" s="241"/>
    </row>
    <row r="97" spans="2:3" x14ac:dyDescent="0.25">
      <c r="B97" s="231"/>
      <c r="C97" s="241"/>
    </row>
    <row r="98" spans="2:3" x14ac:dyDescent="0.25">
      <c r="B98" s="231"/>
      <c r="C98" s="241"/>
    </row>
    <row r="99" spans="2:3" x14ac:dyDescent="0.25">
      <c r="B99" s="231"/>
      <c r="C99" s="241"/>
    </row>
    <row r="100" spans="2:3" x14ac:dyDescent="0.25">
      <c r="B100" s="231"/>
      <c r="C100" s="241"/>
    </row>
    <row r="101" spans="2:3" x14ac:dyDescent="0.25">
      <c r="B101" s="231"/>
      <c r="C101" s="241"/>
    </row>
    <row r="102" spans="2:3" x14ac:dyDescent="0.25">
      <c r="B102" s="231"/>
      <c r="C102" s="241"/>
    </row>
    <row r="103" spans="2:3" x14ac:dyDescent="0.25">
      <c r="B103" s="231"/>
      <c r="C103" s="241"/>
    </row>
    <row r="104" spans="2:3" x14ac:dyDescent="0.25">
      <c r="B104" s="231"/>
      <c r="C104" s="241"/>
    </row>
    <row r="105" spans="2:3" x14ac:dyDescent="0.25">
      <c r="B105" s="231"/>
      <c r="C105" s="241"/>
    </row>
    <row r="106" spans="2:3" x14ac:dyDescent="0.25">
      <c r="B106" s="231"/>
      <c r="C106" s="241"/>
    </row>
    <row r="107" spans="2:3" x14ac:dyDescent="0.25">
      <c r="B107" s="231"/>
      <c r="C107" s="241"/>
    </row>
    <row r="108" spans="2:3" x14ac:dyDescent="0.25">
      <c r="B108" s="231"/>
      <c r="C108" s="241"/>
    </row>
    <row r="109" spans="2:3" x14ac:dyDescent="0.25">
      <c r="B109" s="231"/>
      <c r="C109" s="241"/>
    </row>
    <row r="110" spans="2:3" x14ac:dyDescent="0.25">
      <c r="B110" s="231"/>
      <c r="C110" s="241"/>
    </row>
    <row r="111" spans="2:3" x14ac:dyDescent="0.25">
      <c r="B111" s="231"/>
      <c r="C111" s="241"/>
    </row>
    <row r="112" spans="2:3" x14ac:dyDescent="0.25">
      <c r="B112" s="231"/>
      <c r="C112" s="241"/>
    </row>
    <row r="113" spans="2:3" x14ac:dyDescent="0.25">
      <c r="B113" s="231"/>
      <c r="C113" s="241"/>
    </row>
    <row r="114" spans="2:3" x14ac:dyDescent="0.25">
      <c r="B114" s="231"/>
      <c r="C114" s="241"/>
    </row>
    <row r="115" spans="2:3" x14ac:dyDescent="0.25">
      <c r="B115" s="231"/>
      <c r="C115" s="241"/>
    </row>
    <row r="116" spans="2:3" x14ac:dyDescent="0.25">
      <c r="B116" s="231"/>
      <c r="C116" s="241"/>
    </row>
    <row r="117" spans="2:3" x14ac:dyDescent="0.25">
      <c r="B117" s="231"/>
      <c r="C117" s="241"/>
    </row>
    <row r="118" spans="2:3" x14ac:dyDescent="0.25">
      <c r="B118" s="231"/>
      <c r="C118" s="241"/>
    </row>
    <row r="119" spans="2:3" x14ac:dyDescent="0.25">
      <c r="B119" s="231"/>
      <c r="C119" s="241"/>
    </row>
    <row r="120" spans="2:3" x14ac:dyDescent="0.25">
      <c r="B120" s="231"/>
      <c r="C120" s="241"/>
    </row>
    <row r="121" spans="2:3" x14ac:dyDescent="0.25">
      <c r="B121" s="231"/>
      <c r="C121" s="241"/>
    </row>
    <row r="122" spans="2:3" x14ac:dyDescent="0.25">
      <c r="B122" s="231"/>
      <c r="C122" s="241"/>
    </row>
    <row r="123" spans="2:3" x14ac:dyDescent="0.25">
      <c r="B123" s="231"/>
      <c r="C123" s="241"/>
    </row>
    <row r="124" spans="2:3" x14ac:dyDescent="0.25">
      <c r="B124" s="231"/>
      <c r="C124" s="241"/>
    </row>
    <row r="125" spans="2:3" x14ac:dyDescent="0.25">
      <c r="B125" s="231"/>
      <c r="C125" s="241"/>
    </row>
    <row r="126" spans="2:3" x14ac:dyDescent="0.25">
      <c r="B126" s="231"/>
      <c r="C126" s="241"/>
    </row>
    <row r="127" spans="2:3" x14ac:dyDescent="0.25">
      <c r="B127" s="231"/>
      <c r="C127" s="241"/>
    </row>
    <row r="128" spans="2:3" x14ac:dyDescent="0.25">
      <c r="B128" s="231"/>
      <c r="C128" s="241"/>
    </row>
    <row r="129" spans="2:3" x14ac:dyDescent="0.25">
      <c r="B129" s="231"/>
      <c r="C129" s="241"/>
    </row>
    <row r="130" spans="2:3" x14ac:dyDescent="0.25">
      <c r="B130" s="231"/>
      <c r="C130" s="241"/>
    </row>
    <row r="131" spans="2:3" x14ac:dyDescent="0.25">
      <c r="B131" s="231"/>
      <c r="C131" s="241"/>
    </row>
    <row r="132" spans="2:3" x14ac:dyDescent="0.25">
      <c r="B132" s="231"/>
      <c r="C132" s="241"/>
    </row>
    <row r="133" spans="2:3" x14ac:dyDescent="0.25">
      <c r="B133" s="231"/>
      <c r="C133" s="241"/>
    </row>
    <row r="134" spans="2:3" x14ac:dyDescent="0.25">
      <c r="B134" s="231"/>
      <c r="C134" s="241"/>
    </row>
    <row r="135" spans="2:3" x14ac:dyDescent="0.25">
      <c r="B135" s="231"/>
      <c r="C135" s="241"/>
    </row>
    <row r="136" spans="2:3" x14ac:dyDescent="0.25">
      <c r="B136" s="231"/>
      <c r="C136" s="241"/>
    </row>
    <row r="137" spans="2:3" x14ac:dyDescent="0.25">
      <c r="B137" s="231"/>
      <c r="C137" s="241"/>
    </row>
    <row r="138" spans="2:3" x14ac:dyDescent="0.25">
      <c r="B138" s="231"/>
      <c r="C138" s="241"/>
    </row>
    <row r="139" spans="2:3" x14ac:dyDescent="0.25">
      <c r="B139" s="231"/>
      <c r="C139" s="241"/>
    </row>
    <row r="140" spans="2:3" x14ac:dyDescent="0.25">
      <c r="B140" s="231"/>
      <c r="C140" s="241"/>
    </row>
    <row r="141" spans="2:3" x14ac:dyDescent="0.25">
      <c r="B141" s="231"/>
      <c r="C141" s="241"/>
    </row>
    <row r="142" spans="2:3" x14ac:dyDescent="0.25">
      <c r="B142" s="231"/>
      <c r="C142" s="241"/>
    </row>
    <row r="143" spans="2:3" x14ac:dyDescent="0.25">
      <c r="B143" s="231"/>
      <c r="C143" s="241"/>
    </row>
    <row r="144" spans="2:3" x14ac:dyDescent="0.25">
      <c r="B144" s="231"/>
      <c r="C144" s="241"/>
    </row>
    <row r="145" spans="2:3" x14ac:dyDescent="0.25">
      <c r="B145" s="231"/>
      <c r="C145" s="241"/>
    </row>
    <row r="146" spans="2:3" x14ac:dyDescent="0.25">
      <c r="B146" s="231"/>
      <c r="C146" s="241"/>
    </row>
    <row r="147" spans="2:3" x14ac:dyDescent="0.25">
      <c r="B147" s="231"/>
      <c r="C147" s="241"/>
    </row>
    <row r="148" spans="2:3" x14ac:dyDescent="0.25">
      <c r="B148" s="231"/>
      <c r="C148" s="241"/>
    </row>
    <row r="149" spans="2:3" x14ac:dyDescent="0.25">
      <c r="B149" s="231"/>
      <c r="C149" s="241"/>
    </row>
    <row r="150" spans="2:3" x14ac:dyDescent="0.25">
      <c r="B150" s="231"/>
      <c r="C150" s="241"/>
    </row>
    <row r="151" spans="2:3" x14ac:dyDescent="0.25">
      <c r="B151" s="231"/>
      <c r="C151" s="241"/>
    </row>
    <row r="152" spans="2:3" x14ac:dyDescent="0.25">
      <c r="B152" s="231"/>
      <c r="C152" s="241"/>
    </row>
    <row r="153" spans="2:3" x14ac:dyDescent="0.25">
      <c r="B153" s="231"/>
      <c r="C153" s="241"/>
    </row>
    <row r="154" spans="2:3" x14ac:dyDescent="0.25">
      <c r="B154" s="231"/>
      <c r="C154" s="241"/>
    </row>
    <row r="155" spans="2:3" x14ac:dyDescent="0.25">
      <c r="B155" s="231"/>
      <c r="C155" s="241"/>
    </row>
    <row r="156" spans="2:3" x14ac:dyDescent="0.25">
      <c r="B156" s="231"/>
      <c r="C156" s="241"/>
    </row>
    <row r="157" spans="2:3" x14ac:dyDescent="0.25">
      <c r="B157" s="231"/>
      <c r="C157" s="241"/>
    </row>
    <row r="158" spans="2:3" x14ac:dyDescent="0.25">
      <c r="B158" s="231"/>
      <c r="C158" s="241"/>
    </row>
    <row r="159" spans="2:3" x14ac:dyDescent="0.25">
      <c r="B159" s="231"/>
      <c r="C159" s="241"/>
    </row>
    <row r="160" spans="2:3" x14ac:dyDescent="0.25">
      <c r="B160" s="231"/>
      <c r="C160" s="241"/>
    </row>
    <row r="161" spans="2:3" x14ac:dyDescent="0.25">
      <c r="B161" s="231"/>
      <c r="C161" s="241"/>
    </row>
    <row r="162" spans="2:3" x14ac:dyDescent="0.25">
      <c r="B162" s="231"/>
      <c r="C162" s="241"/>
    </row>
    <row r="163" spans="2:3" x14ac:dyDescent="0.25">
      <c r="B163" s="231"/>
      <c r="C163" s="241"/>
    </row>
    <row r="164" spans="2:3" x14ac:dyDescent="0.25">
      <c r="B164" s="231"/>
      <c r="C164" s="241"/>
    </row>
    <row r="165" spans="2:3" x14ac:dyDescent="0.25">
      <c r="B165" s="231"/>
      <c r="C165" s="241"/>
    </row>
    <row r="166" spans="2:3" x14ac:dyDescent="0.25">
      <c r="B166" s="231"/>
      <c r="C166" s="241"/>
    </row>
    <row r="167" spans="2:3" x14ac:dyDescent="0.25">
      <c r="B167" s="231"/>
      <c r="C167" s="241"/>
    </row>
    <row r="168" spans="2:3" x14ac:dyDescent="0.25">
      <c r="B168" s="231"/>
      <c r="C168" s="241"/>
    </row>
    <row r="169" spans="2:3" x14ac:dyDescent="0.25">
      <c r="B169" s="231"/>
      <c r="C169" s="241"/>
    </row>
    <row r="170" spans="2:3" x14ac:dyDescent="0.25">
      <c r="B170" s="231"/>
      <c r="C170" s="241"/>
    </row>
    <row r="171" spans="2:3" x14ac:dyDescent="0.25">
      <c r="B171" s="231"/>
      <c r="C171" s="241"/>
    </row>
    <row r="172" spans="2:3" x14ac:dyDescent="0.25">
      <c r="B172" s="231"/>
      <c r="C172" s="241"/>
    </row>
    <row r="173" spans="2:3" x14ac:dyDescent="0.25">
      <c r="B173" s="231"/>
      <c r="C173" s="241"/>
    </row>
    <row r="174" spans="2:3" x14ac:dyDescent="0.25">
      <c r="B174" s="231"/>
      <c r="C174" s="241"/>
    </row>
    <row r="175" spans="2:3" x14ac:dyDescent="0.25">
      <c r="B175" s="231"/>
      <c r="C175" s="241"/>
    </row>
    <row r="176" spans="2:3" x14ac:dyDescent="0.25">
      <c r="B176" s="231"/>
      <c r="C176" s="241"/>
    </row>
    <row r="177" spans="2:3" x14ac:dyDescent="0.25">
      <c r="B177" s="231"/>
      <c r="C177" s="241"/>
    </row>
    <row r="178" spans="2:3" x14ac:dyDescent="0.25">
      <c r="B178" s="231"/>
      <c r="C178" s="241"/>
    </row>
    <row r="179" spans="2:3" x14ac:dyDescent="0.25">
      <c r="B179" s="231"/>
      <c r="C179" s="241"/>
    </row>
    <row r="180" spans="2:3" x14ac:dyDescent="0.25">
      <c r="B180" s="231"/>
      <c r="C180" s="241"/>
    </row>
    <row r="181" spans="2:3" x14ac:dyDescent="0.25">
      <c r="B181" s="231"/>
      <c r="C181" s="241"/>
    </row>
    <row r="182" spans="2:3" x14ac:dyDescent="0.25">
      <c r="B182" s="231"/>
      <c r="C182" s="241"/>
    </row>
    <row r="183" spans="2:3" x14ac:dyDescent="0.25">
      <c r="B183" s="231"/>
      <c r="C183" s="241"/>
    </row>
    <row r="184" spans="2:3" x14ac:dyDescent="0.25">
      <c r="B184" s="231"/>
      <c r="C184" s="241"/>
    </row>
    <row r="185" spans="2:3" x14ac:dyDescent="0.25">
      <c r="B185" s="231"/>
      <c r="C185" s="241"/>
    </row>
    <row r="186" spans="2:3" x14ac:dyDescent="0.25">
      <c r="B186" s="231"/>
      <c r="C186" s="241"/>
    </row>
    <row r="187" spans="2:3" x14ac:dyDescent="0.25">
      <c r="B187" s="231"/>
      <c r="C187" s="241"/>
    </row>
    <row r="188" spans="2:3" x14ac:dyDescent="0.25">
      <c r="B188" s="231"/>
      <c r="C188" s="241"/>
    </row>
    <row r="189" spans="2:3" x14ac:dyDescent="0.25">
      <c r="B189" s="231"/>
      <c r="C189" s="241"/>
    </row>
    <row r="190" spans="2:3" x14ac:dyDescent="0.25">
      <c r="B190" s="231"/>
      <c r="C190" s="241"/>
    </row>
    <row r="191" spans="2:3" x14ac:dyDescent="0.25">
      <c r="B191" s="231"/>
      <c r="C191" s="241"/>
    </row>
    <row r="192" spans="2:3" x14ac:dyDescent="0.25">
      <c r="B192" s="231"/>
      <c r="C192" s="241"/>
    </row>
    <row r="193" spans="2:3" x14ac:dyDescent="0.25">
      <c r="B193" s="231"/>
      <c r="C193" s="241"/>
    </row>
    <row r="194" spans="2:3" x14ac:dyDescent="0.25">
      <c r="B194" s="231"/>
      <c r="C194" s="241"/>
    </row>
    <row r="195" spans="2:3" x14ac:dyDescent="0.25">
      <c r="B195" s="231"/>
      <c r="C195" s="241"/>
    </row>
    <row r="196" spans="2:3" x14ac:dyDescent="0.25">
      <c r="B196" s="231"/>
      <c r="C196" s="241"/>
    </row>
    <row r="197" spans="2:3" x14ac:dyDescent="0.25">
      <c r="B197" s="231"/>
      <c r="C197" s="241"/>
    </row>
    <row r="198" spans="2:3" x14ac:dyDescent="0.25">
      <c r="B198" s="231"/>
      <c r="C198" s="241"/>
    </row>
    <row r="199" spans="2:3" x14ac:dyDescent="0.25">
      <c r="B199" s="231"/>
      <c r="C199" s="241"/>
    </row>
    <row r="200" spans="2:3" x14ac:dyDescent="0.25">
      <c r="B200" s="231"/>
      <c r="C200" s="241"/>
    </row>
    <row r="201" spans="2:3" x14ac:dyDescent="0.25">
      <c r="B201" s="231"/>
      <c r="C201" s="241"/>
    </row>
    <row r="202" spans="2:3" x14ac:dyDescent="0.25">
      <c r="B202" s="231"/>
      <c r="C202" s="241"/>
    </row>
    <row r="203" spans="2:3" x14ac:dyDescent="0.25">
      <c r="B203" s="231"/>
      <c r="C203" s="241"/>
    </row>
    <row r="204" spans="2:3" x14ac:dyDescent="0.25">
      <c r="B204" s="231"/>
      <c r="C204" s="241"/>
    </row>
    <row r="205" spans="2:3" x14ac:dyDescent="0.25">
      <c r="B205" s="231"/>
      <c r="C205" s="241"/>
    </row>
    <row r="206" spans="2:3" x14ac:dyDescent="0.25">
      <c r="B206" s="231"/>
      <c r="C206" s="241"/>
    </row>
    <row r="207" spans="2:3" x14ac:dyDescent="0.25">
      <c r="B207" s="231"/>
      <c r="C207" s="241"/>
    </row>
    <row r="208" spans="2:3" x14ac:dyDescent="0.25">
      <c r="B208" s="231"/>
      <c r="C208" s="241"/>
    </row>
    <row r="209" spans="2:3" x14ac:dyDescent="0.25">
      <c r="B209" s="231"/>
      <c r="C209" s="241"/>
    </row>
    <row r="210" spans="2:3" x14ac:dyDescent="0.25">
      <c r="B210" s="231"/>
      <c r="C210" s="241"/>
    </row>
    <row r="211" spans="2:3" x14ac:dyDescent="0.25">
      <c r="B211" s="231"/>
      <c r="C211" s="241"/>
    </row>
    <row r="212" spans="2:3" x14ac:dyDescent="0.25">
      <c r="B212" s="231"/>
      <c r="C212" s="241"/>
    </row>
    <row r="213" spans="2:3" x14ac:dyDescent="0.25">
      <c r="B213" s="231"/>
      <c r="C213" s="241"/>
    </row>
    <row r="214" spans="2:3" x14ac:dyDescent="0.25">
      <c r="B214" s="231"/>
      <c r="C214" s="241"/>
    </row>
    <row r="215" spans="2:3" x14ac:dyDescent="0.25">
      <c r="B215" s="231"/>
      <c r="C215" s="241"/>
    </row>
    <row r="216" spans="2:3" x14ac:dyDescent="0.25">
      <c r="B216" s="231"/>
      <c r="C216" s="241"/>
    </row>
    <row r="217" spans="2:3" x14ac:dyDescent="0.25">
      <c r="B217" s="231"/>
      <c r="C217" s="241"/>
    </row>
    <row r="218" spans="2:3" x14ac:dyDescent="0.25">
      <c r="B218" s="231"/>
      <c r="C218" s="241"/>
    </row>
    <row r="219" spans="2:3" x14ac:dyDescent="0.25">
      <c r="B219" s="231"/>
      <c r="C219" s="241"/>
    </row>
    <row r="220" spans="2:3" x14ac:dyDescent="0.25">
      <c r="B220" s="231"/>
      <c r="C220" s="241"/>
    </row>
    <row r="221" spans="2:3" x14ac:dyDescent="0.25">
      <c r="B221" s="231"/>
      <c r="C221" s="241"/>
    </row>
    <row r="222" spans="2:3" x14ac:dyDescent="0.25">
      <c r="B222" s="231"/>
      <c r="C222" s="241"/>
    </row>
    <row r="223" spans="2:3" x14ac:dyDescent="0.25">
      <c r="B223" s="231"/>
      <c r="C223" s="241"/>
    </row>
    <row r="224" spans="2:3" x14ac:dyDescent="0.25">
      <c r="B224" s="231"/>
      <c r="C224" s="241"/>
    </row>
    <row r="225" spans="2:3" x14ac:dyDescent="0.25">
      <c r="B225" s="231"/>
      <c r="C225" s="241"/>
    </row>
    <row r="226" spans="2:3" x14ac:dyDescent="0.25">
      <c r="B226" s="231"/>
      <c r="C226" s="241"/>
    </row>
    <row r="227" spans="2:3" x14ac:dyDescent="0.25">
      <c r="B227" s="231"/>
      <c r="C227" s="241"/>
    </row>
    <row r="228" spans="2:3" x14ac:dyDescent="0.25">
      <c r="B228" s="231"/>
      <c r="C228" s="241"/>
    </row>
    <row r="229" spans="2:3" x14ac:dyDescent="0.25">
      <c r="B229" s="231"/>
      <c r="C229" s="241"/>
    </row>
    <row r="230" spans="2:3" x14ac:dyDescent="0.25">
      <c r="B230" s="231"/>
      <c r="C230" s="241"/>
    </row>
    <row r="231" spans="2:3" x14ac:dyDescent="0.25">
      <c r="B231" s="231"/>
      <c r="C231" s="241"/>
    </row>
    <row r="232" spans="2:3" x14ac:dyDescent="0.25">
      <c r="B232" s="231"/>
      <c r="C232" s="241"/>
    </row>
    <row r="233" spans="2:3" x14ac:dyDescent="0.25">
      <c r="B233" s="231"/>
      <c r="C233" s="241"/>
    </row>
    <row r="234" spans="2:3" x14ac:dyDescent="0.25">
      <c r="B234" s="231"/>
      <c r="C234" s="241"/>
    </row>
    <row r="235" spans="2:3" x14ac:dyDescent="0.25">
      <c r="B235" s="231"/>
      <c r="C235" s="241"/>
    </row>
    <row r="236" spans="2:3" x14ac:dyDescent="0.25">
      <c r="B236" s="231"/>
      <c r="C236" s="241"/>
    </row>
    <row r="237" spans="2:3" x14ac:dyDescent="0.25">
      <c r="B237" s="231"/>
      <c r="C237" s="241"/>
    </row>
    <row r="238" spans="2:3" x14ac:dyDescent="0.25">
      <c r="B238" s="231"/>
      <c r="C238" s="241"/>
    </row>
    <row r="239" spans="2:3" x14ac:dyDescent="0.25">
      <c r="B239" s="231"/>
      <c r="C239" s="241"/>
    </row>
    <row r="240" spans="2:3" x14ac:dyDescent="0.25">
      <c r="B240" s="231"/>
      <c r="C240" s="241"/>
    </row>
    <row r="241" spans="2:3" x14ac:dyDescent="0.25">
      <c r="B241" s="231"/>
      <c r="C241" s="241"/>
    </row>
    <row r="242" spans="2:3" x14ac:dyDescent="0.25">
      <c r="B242" s="231"/>
      <c r="C242" s="241"/>
    </row>
    <row r="243" spans="2:3" x14ac:dyDescent="0.25">
      <c r="B243" s="231"/>
      <c r="C243" s="241"/>
    </row>
    <row r="244" spans="2:3" x14ac:dyDescent="0.25">
      <c r="B244" s="231"/>
      <c r="C244" s="241"/>
    </row>
    <row r="245" spans="2:3" x14ac:dyDescent="0.25">
      <c r="B245" s="231"/>
      <c r="C245" s="241"/>
    </row>
    <row r="246" spans="2:3" x14ac:dyDescent="0.25">
      <c r="B246" s="231"/>
      <c r="C246" s="241"/>
    </row>
    <row r="247" spans="2:3" x14ac:dyDescent="0.25">
      <c r="B247" s="231"/>
      <c r="C247" s="241"/>
    </row>
    <row r="248" spans="2:3" x14ac:dyDescent="0.25">
      <c r="B248" s="231"/>
      <c r="C248" s="241"/>
    </row>
    <row r="249" spans="2:3" x14ac:dyDescent="0.25">
      <c r="B249" s="231"/>
      <c r="C249" s="241"/>
    </row>
    <row r="250" spans="2:3" x14ac:dyDescent="0.25">
      <c r="B250" s="231"/>
      <c r="C250" s="241"/>
    </row>
    <row r="251" spans="2:3" x14ac:dyDescent="0.25">
      <c r="B251" s="231"/>
      <c r="C251" s="241"/>
    </row>
    <row r="252" spans="2:3" x14ac:dyDescent="0.25">
      <c r="B252" s="231"/>
      <c r="C252" s="241"/>
    </row>
    <row r="253" spans="2:3" x14ac:dyDescent="0.25">
      <c r="B253" s="231"/>
      <c r="C253" s="241"/>
    </row>
    <row r="254" spans="2:3" x14ac:dyDescent="0.25">
      <c r="B254" s="231"/>
      <c r="C254" s="241"/>
    </row>
    <row r="255" spans="2:3" x14ac:dyDescent="0.25">
      <c r="B255" s="231"/>
      <c r="C255" s="241"/>
    </row>
    <row r="256" spans="2:3" x14ac:dyDescent="0.25">
      <c r="B256" s="231"/>
      <c r="C256" s="241"/>
    </row>
    <row r="257" spans="2:3" x14ac:dyDescent="0.25">
      <c r="B257" s="231"/>
      <c r="C257" s="241"/>
    </row>
    <row r="258" spans="2:3" x14ac:dyDescent="0.25">
      <c r="B258" s="231"/>
      <c r="C258" s="241"/>
    </row>
    <row r="259" spans="2:3" x14ac:dyDescent="0.25">
      <c r="B259" s="231"/>
      <c r="C259" s="241"/>
    </row>
    <row r="260" spans="2:3" x14ac:dyDescent="0.25">
      <c r="B260" s="231"/>
      <c r="C260" s="241"/>
    </row>
    <row r="261" spans="2:3" x14ac:dyDescent="0.25">
      <c r="B261" s="231"/>
      <c r="C261" s="241"/>
    </row>
    <row r="262" spans="2:3" x14ac:dyDescent="0.25">
      <c r="B262" s="231"/>
      <c r="C262" s="241"/>
    </row>
    <row r="263" spans="2:3" x14ac:dyDescent="0.25">
      <c r="B263" s="231"/>
      <c r="C263" s="241"/>
    </row>
    <row r="264" spans="2:3" x14ac:dyDescent="0.25">
      <c r="B264" s="231"/>
      <c r="C264" s="241"/>
    </row>
    <row r="265" spans="2:3" x14ac:dyDescent="0.25">
      <c r="B265" s="231"/>
      <c r="C265" s="241"/>
    </row>
    <row r="266" spans="2:3" x14ac:dyDescent="0.25">
      <c r="B266" s="231"/>
      <c r="C266" s="241"/>
    </row>
    <row r="267" spans="2:3" x14ac:dyDescent="0.25">
      <c r="B267" s="231"/>
      <c r="C267" s="241"/>
    </row>
    <row r="268" spans="2:3" x14ac:dyDescent="0.25">
      <c r="B268" s="231"/>
      <c r="C268" s="241"/>
    </row>
    <row r="269" spans="2:3" x14ac:dyDescent="0.25">
      <c r="B269" s="231"/>
      <c r="C269" s="241"/>
    </row>
    <row r="270" spans="2:3" x14ac:dyDescent="0.25">
      <c r="B270" s="231"/>
      <c r="C270" s="241"/>
    </row>
    <row r="271" spans="2:3" x14ac:dyDescent="0.25">
      <c r="B271" s="231"/>
      <c r="C271" s="241"/>
    </row>
    <row r="272" spans="2:3" x14ac:dyDescent="0.25">
      <c r="B272" s="231"/>
      <c r="C272" s="241"/>
    </row>
    <row r="273" spans="2:3" x14ac:dyDescent="0.25">
      <c r="B273" s="231"/>
      <c r="C273" s="241"/>
    </row>
    <row r="274" spans="2:3" x14ac:dyDescent="0.25">
      <c r="B274" s="231"/>
      <c r="C274" s="241"/>
    </row>
    <row r="275" spans="2:3" x14ac:dyDescent="0.25">
      <c r="B275" s="231"/>
      <c r="C275" s="241"/>
    </row>
    <row r="276" spans="2:3" x14ac:dyDescent="0.25">
      <c r="B276" s="231"/>
      <c r="C276" s="241"/>
    </row>
    <row r="277" spans="2:3" x14ac:dyDescent="0.25">
      <c r="B277" s="231"/>
      <c r="C277" s="241"/>
    </row>
    <row r="278" spans="2:3" x14ac:dyDescent="0.25">
      <c r="B278" s="231"/>
      <c r="C278" s="241"/>
    </row>
    <row r="279" spans="2:3" x14ac:dyDescent="0.25">
      <c r="B279" s="231"/>
      <c r="C279" s="241"/>
    </row>
    <row r="280" spans="2:3" x14ac:dyDescent="0.25">
      <c r="B280" s="231"/>
      <c r="C280" s="241"/>
    </row>
    <row r="281" spans="2:3" x14ac:dyDescent="0.25">
      <c r="B281" s="231"/>
      <c r="C281" s="241"/>
    </row>
    <row r="282" spans="2:3" x14ac:dyDescent="0.25">
      <c r="B282" s="231"/>
      <c r="C282" s="241"/>
    </row>
    <row r="283" spans="2:3" x14ac:dyDescent="0.25">
      <c r="B283" s="231"/>
      <c r="C283" s="241"/>
    </row>
    <row r="284" spans="2:3" x14ac:dyDescent="0.25">
      <c r="B284" s="231"/>
      <c r="C284" s="241"/>
    </row>
    <row r="285" spans="2:3" x14ac:dyDescent="0.25">
      <c r="B285" s="231"/>
      <c r="C285" s="241"/>
    </row>
    <row r="286" spans="2:3" x14ac:dyDescent="0.25">
      <c r="B286" s="231"/>
      <c r="C286" s="241"/>
    </row>
    <row r="287" spans="2:3" x14ac:dyDescent="0.25">
      <c r="B287" s="231"/>
      <c r="C287" s="241"/>
    </row>
    <row r="288" spans="2:3" x14ac:dyDescent="0.25">
      <c r="B288" s="231"/>
      <c r="C288" s="241"/>
    </row>
    <row r="289" spans="2:3" x14ac:dyDescent="0.25">
      <c r="B289" s="231"/>
      <c r="C289" s="241"/>
    </row>
    <row r="290" spans="2:3" x14ac:dyDescent="0.25">
      <c r="B290" s="231"/>
      <c r="C290" s="241"/>
    </row>
    <row r="291" spans="2:3" x14ac:dyDescent="0.25">
      <c r="B291" s="231"/>
      <c r="C291" s="241"/>
    </row>
    <row r="292" spans="2:3" x14ac:dyDescent="0.25">
      <c r="B292" s="231"/>
      <c r="C292" s="241"/>
    </row>
    <row r="293" spans="2:3" x14ac:dyDescent="0.25">
      <c r="B293" s="231"/>
      <c r="C293" s="241"/>
    </row>
    <row r="294" spans="2:3" x14ac:dyDescent="0.25">
      <c r="B294" s="231"/>
      <c r="C294" s="241"/>
    </row>
    <row r="295" spans="2:3" x14ac:dyDescent="0.25">
      <c r="B295" s="231"/>
      <c r="C295" s="241"/>
    </row>
    <row r="296" spans="2:3" x14ac:dyDescent="0.25">
      <c r="B296" s="231"/>
      <c r="C296" s="241"/>
    </row>
    <row r="297" spans="2:3" x14ac:dyDescent="0.25">
      <c r="B297" s="231"/>
      <c r="C297" s="241"/>
    </row>
    <row r="298" spans="2:3" x14ac:dyDescent="0.25">
      <c r="B298" s="231"/>
      <c r="C298" s="241"/>
    </row>
    <row r="299" spans="2:3" x14ac:dyDescent="0.25">
      <c r="B299" s="231"/>
      <c r="C299" s="241"/>
    </row>
    <row r="300" spans="2:3" x14ac:dyDescent="0.25">
      <c r="B300" s="231"/>
      <c r="C300" s="241"/>
    </row>
    <row r="301" spans="2:3" x14ac:dyDescent="0.25">
      <c r="B301" s="231"/>
      <c r="C301" s="241"/>
    </row>
    <row r="302" spans="2:3" x14ac:dyDescent="0.25">
      <c r="B302" s="231"/>
      <c r="C302" s="241"/>
    </row>
    <row r="303" spans="2:3" x14ac:dyDescent="0.25">
      <c r="B303" s="231"/>
      <c r="C303" s="241"/>
    </row>
    <row r="304" spans="2:3" x14ac:dyDescent="0.25">
      <c r="B304" s="231"/>
      <c r="C304" s="241"/>
    </row>
    <row r="305" spans="2:3" x14ac:dyDescent="0.25">
      <c r="B305" s="231"/>
      <c r="C305" s="241"/>
    </row>
    <row r="306" spans="2:3" x14ac:dyDescent="0.25">
      <c r="B306" s="231"/>
      <c r="C306" s="241"/>
    </row>
    <row r="307" spans="2:3" x14ac:dyDescent="0.25">
      <c r="B307" s="231"/>
      <c r="C307" s="241"/>
    </row>
    <row r="308" spans="2:3" x14ac:dyDescent="0.25">
      <c r="B308" s="231"/>
      <c r="C308" s="241"/>
    </row>
    <row r="309" spans="2:3" x14ac:dyDescent="0.25">
      <c r="B309" s="231"/>
      <c r="C309" s="241"/>
    </row>
    <row r="310" spans="2:3" x14ac:dyDescent="0.25">
      <c r="B310" s="231"/>
      <c r="C310" s="241"/>
    </row>
    <row r="311" spans="2:3" x14ac:dyDescent="0.25">
      <c r="B311" s="231"/>
      <c r="C311" s="241"/>
    </row>
    <row r="312" spans="2:3" x14ac:dyDescent="0.25">
      <c r="B312" s="231"/>
      <c r="C312" s="241"/>
    </row>
    <row r="313" spans="2:3" x14ac:dyDescent="0.25">
      <c r="B313" s="231"/>
      <c r="C313" s="241"/>
    </row>
    <row r="314" spans="2:3" x14ac:dyDescent="0.25">
      <c r="B314" s="231"/>
      <c r="C314" s="241"/>
    </row>
    <row r="315" spans="2:3" x14ac:dyDescent="0.25">
      <c r="B315" s="231"/>
      <c r="C315" s="241"/>
    </row>
    <row r="316" spans="2:3" x14ac:dyDescent="0.25">
      <c r="B316" s="231"/>
      <c r="C316" s="241"/>
    </row>
    <row r="317" spans="2:3" x14ac:dyDescent="0.25">
      <c r="B317" s="231"/>
      <c r="C317" s="241"/>
    </row>
    <row r="318" spans="2:3" x14ac:dyDescent="0.25">
      <c r="B318" s="231"/>
      <c r="C318" s="241"/>
    </row>
    <row r="319" spans="2:3" x14ac:dyDescent="0.25">
      <c r="B319" s="231"/>
      <c r="C319" s="241"/>
    </row>
    <row r="320" spans="2:3" x14ac:dyDescent="0.25">
      <c r="B320" s="231"/>
      <c r="C320" s="241"/>
    </row>
    <row r="321" spans="2:3" x14ac:dyDescent="0.25">
      <c r="B321" s="231"/>
      <c r="C321" s="241"/>
    </row>
    <row r="322" spans="2:3" x14ac:dyDescent="0.25">
      <c r="B322" s="231"/>
      <c r="C322" s="241"/>
    </row>
    <row r="323" spans="2:3" x14ac:dyDescent="0.25">
      <c r="B323" s="231"/>
      <c r="C323" s="241"/>
    </row>
    <row r="324" spans="2:3" x14ac:dyDescent="0.25">
      <c r="B324" s="231"/>
      <c r="C324" s="241"/>
    </row>
    <row r="325" spans="2:3" x14ac:dyDescent="0.25">
      <c r="B325" s="231"/>
      <c r="C325" s="241"/>
    </row>
    <row r="326" spans="2:3" x14ac:dyDescent="0.25">
      <c r="B326" s="231"/>
      <c r="C326" s="241"/>
    </row>
    <row r="327" spans="2:3" x14ac:dyDescent="0.25">
      <c r="B327" s="231"/>
      <c r="C327" s="241"/>
    </row>
    <row r="328" spans="2:3" x14ac:dyDescent="0.25">
      <c r="B328" s="231"/>
      <c r="C328" s="241"/>
    </row>
    <row r="329" spans="2:3" x14ac:dyDescent="0.25">
      <c r="B329" s="231"/>
      <c r="C329" s="241"/>
    </row>
    <row r="330" spans="2:3" x14ac:dyDescent="0.25">
      <c r="B330" s="231"/>
      <c r="C330" s="241"/>
    </row>
    <row r="331" spans="2:3" x14ac:dyDescent="0.25">
      <c r="B331" s="231"/>
      <c r="C331" s="241"/>
    </row>
    <row r="332" spans="2:3" x14ac:dyDescent="0.25">
      <c r="B332" s="231"/>
      <c r="C332" s="241"/>
    </row>
    <row r="333" spans="2:3" x14ac:dyDescent="0.25">
      <c r="B333" s="231"/>
      <c r="C333" s="241"/>
    </row>
    <row r="334" spans="2:3" x14ac:dyDescent="0.25">
      <c r="B334" s="231"/>
      <c r="C334" s="241"/>
    </row>
    <row r="335" spans="2:3" x14ac:dyDescent="0.25">
      <c r="B335" s="231"/>
      <c r="C335" s="241"/>
    </row>
    <row r="336" spans="2:3" x14ac:dyDescent="0.25">
      <c r="B336" s="231"/>
      <c r="C336" s="241"/>
    </row>
    <row r="337" spans="2:3" x14ac:dyDescent="0.25">
      <c r="B337" s="231"/>
      <c r="C337" s="241"/>
    </row>
    <row r="338" spans="2:3" x14ac:dyDescent="0.25">
      <c r="B338" s="231"/>
      <c r="C338" s="241"/>
    </row>
    <row r="339" spans="2:3" x14ac:dyDescent="0.25">
      <c r="B339" s="231"/>
      <c r="C339" s="241"/>
    </row>
    <row r="340" spans="2:3" x14ac:dyDescent="0.25">
      <c r="B340" s="231"/>
      <c r="C340" s="241"/>
    </row>
    <row r="341" spans="2:3" x14ac:dyDescent="0.25">
      <c r="B341" s="231"/>
      <c r="C341" s="241"/>
    </row>
    <row r="342" spans="2:3" x14ac:dyDescent="0.25">
      <c r="B342" s="231"/>
      <c r="C342" s="241"/>
    </row>
    <row r="343" spans="2:3" x14ac:dyDescent="0.25">
      <c r="B343" s="231"/>
      <c r="C343" s="241"/>
    </row>
    <row r="344" spans="2:3" x14ac:dyDescent="0.25">
      <c r="B344" s="231"/>
      <c r="C344" s="241"/>
    </row>
    <row r="345" spans="2:3" x14ac:dyDescent="0.25">
      <c r="B345" s="231"/>
      <c r="C345" s="241"/>
    </row>
    <row r="346" spans="2:3" x14ac:dyDescent="0.25">
      <c r="B346" s="231"/>
      <c r="C346" s="241"/>
    </row>
    <row r="347" spans="2:3" x14ac:dyDescent="0.25">
      <c r="B347" s="231"/>
      <c r="C347" s="241"/>
    </row>
    <row r="348" spans="2:3" x14ac:dyDescent="0.25">
      <c r="B348" s="231"/>
      <c r="C348" s="241"/>
    </row>
    <row r="349" spans="2:3" x14ac:dyDescent="0.25">
      <c r="B349" s="231"/>
      <c r="C349" s="241"/>
    </row>
    <row r="350" spans="2:3" x14ac:dyDescent="0.25">
      <c r="B350" s="231"/>
      <c r="C350" s="241"/>
    </row>
    <row r="351" spans="2:3" x14ac:dyDescent="0.25">
      <c r="B351" s="231"/>
      <c r="C351" s="241"/>
    </row>
    <row r="352" spans="2:3" x14ac:dyDescent="0.25">
      <c r="B352" s="231"/>
      <c r="C352" s="241"/>
    </row>
    <row r="353" spans="2:3" x14ac:dyDescent="0.25">
      <c r="B353" s="231"/>
      <c r="C353" s="241"/>
    </row>
    <row r="354" spans="2:3" x14ac:dyDescent="0.25">
      <c r="B354" s="231"/>
      <c r="C354" s="241"/>
    </row>
    <row r="355" spans="2:3" x14ac:dyDescent="0.25">
      <c r="B355" s="231"/>
      <c r="C355" s="241"/>
    </row>
    <row r="356" spans="2:3" x14ac:dyDescent="0.25">
      <c r="B356" s="231"/>
      <c r="C356" s="241"/>
    </row>
    <row r="357" spans="2:3" x14ac:dyDescent="0.25">
      <c r="B357" s="231"/>
      <c r="C357" s="241"/>
    </row>
    <row r="358" spans="2:3" x14ac:dyDescent="0.25">
      <c r="B358" s="231"/>
      <c r="C358" s="241"/>
    </row>
    <row r="359" spans="2:3" x14ac:dyDescent="0.25">
      <c r="B359" s="231"/>
      <c r="C359" s="241"/>
    </row>
    <row r="360" spans="2:3" x14ac:dyDescent="0.25">
      <c r="B360" s="231"/>
      <c r="C360" s="241"/>
    </row>
    <row r="361" spans="2:3" x14ac:dyDescent="0.25">
      <c r="B361" s="231"/>
      <c r="C361" s="241"/>
    </row>
    <row r="362" spans="2:3" x14ac:dyDescent="0.25">
      <c r="B362" s="231"/>
      <c r="C362" s="241"/>
    </row>
    <row r="363" spans="2:3" x14ac:dyDescent="0.25">
      <c r="B363" s="231"/>
      <c r="C363" s="241"/>
    </row>
    <row r="364" spans="2:3" x14ac:dyDescent="0.25">
      <c r="B364" s="231"/>
      <c r="C364" s="241"/>
    </row>
    <row r="365" spans="2:3" x14ac:dyDescent="0.25">
      <c r="B365" s="231"/>
      <c r="C365" s="241"/>
    </row>
    <row r="366" spans="2:3" x14ac:dyDescent="0.25">
      <c r="B366" s="231"/>
      <c r="C366" s="241"/>
    </row>
    <row r="367" spans="2:3" x14ac:dyDescent="0.25">
      <c r="B367" s="231"/>
      <c r="C367" s="241"/>
    </row>
    <row r="368" spans="2:3" x14ac:dyDescent="0.25">
      <c r="B368" s="231"/>
      <c r="C368" s="241"/>
    </row>
    <row r="369" spans="2:3" x14ac:dyDescent="0.25">
      <c r="B369" s="231"/>
      <c r="C369" s="241"/>
    </row>
    <row r="370" spans="2:3" x14ac:dyDescent="0.25">
      <c r="B370" s="231"/>
      <c r="C370" s="241"/>
    </row>
    <row r="371" spans="2:3" x14ac:dyDescent="0.25">
      <c r="B371" s="231"/>
      <c r="C371" s="241"/>
    </row>
    <row r="372" spans="2:3" x14ac:dyDescent="0.25">
      <c r="B372" s="231"/>
      <c r="C372" s="241"/>
    </row>
    <row r="373" spans="2:3" x14ac:dyDescent="0.25">
      <c r="B373" s="231"/>
      <c r="C373" s="241"/>
    </row>
    <row r="374" spans="2:3" x14ac:dyDescent="0.25">
      <c r="B374" s="231"/>
      <c r="C374" s="241"/>
    </row>
    <row r="375" spans="2:3" x14ac:dyDescent="0.25">
      <c r="B375" s="231"/>
      <c r="C375" s="241"/>
    </row>
    <row r="376" spans="2:3" x14ac:dyDescent="0.25">
      <c r="B376" s="231"/>
      <c r="C376" s="241"/>
    </row>
    <row r="377" spans="2:3" x14ac:dyDescent="0.25">
      <c r="B377" s="231"/>
      <c r="C377" s="241"/>
    </row>
    <row r="378" spans="2:3" x14ac:dyDescent="0.25">
      <c r="B378" s="231"/>
      <c r="C378" s="241"/>
    </row>
    <row r="379" spans="2:3" x14ac:dyDescent="0.25">
      <c r="B379" s="231"/>
      <c r="C379" s="241"/>
    </row>
    <row r="380" spans="2:3" x14ac:dyDescent="0.25">
      <c r="B380" s="231"/>
      <c r="C380" s="241"/>
    </row>
    <row r="381" spans="2:3" x14ac:dyDescent="0.25">
      <c r="B381" s="231"/>
      <c r="C381" s="241"/>
    </row>
    <row r="382" spans="2:3" x14ac:dyDescent="0.25">
      <c r="B382" s="231"/>
      <c r="C382" s="241"/>
    </row>
    <row r="383" spans="2:3" x14ac:dyDescent="0.25">
      <c r="B383" s="231"/>
      <c r="C383" s="241"/>
    </row>
    <row r="384" spans="2:3" x14ac:dyDescent="0.25">
      <c r="B384" s="231"/>
      <c r="C384" s="241"/>
    </row>
    <row r="385" spans="2:3" x14ac:dyDescent="0.25">
      <c r="B385" s="231"/>
      <c r="C385" s="241"/>
    </row>
    <row r="386" spans="2:3" x14ac:dyDescent="0.25">
      <c r="B386" s="231"/>
      <c r="C386" s="241"/>
    </row>
    <row r="387" spans="2:3" x14ac:dyDescent="0.25">
      <c r="B387" s="231"/>
      <c r="C387" s="241"/>
    </row>
    <row r="388" spans="2:3" x14ac:dyDescent="0.25">
      <c r="B388" s="231"/>
      <c r="C388" s="241"/>
    </row>
    <row r="389" spans="2:3" x14ac:dyDescent="0.25">
      <c r="B389" s="231"/>
      <c r="C389" s="241"/>
    </row>
    <row r="390" spans="2:3" x14ac:dyDescent="0.25">
      <c r="B390" s="231"/>
      <c r="C390" s="241"/>
    </row>
    <row r="391" spans="2:3" x14ac:dyDescent="0.25">
      <c r="B391" s="231"/>
      <c r="C391" s="241"/>
    </row>
    <row r="392" spans="2:3" x14ac:dyDescent="0.25">
      <c r="B392" s="231"/>
      <c r="C392" s="241"/>
    </row>
    <row r="393" spans="2:3" x14ac:dyDescent="0.25">
      <c r="B393" s="231"/>
      <c r="C393" s="241"/>
    </row>
    <row r="394" spans="2:3" x14ac:dyDescent="0.25">
      <c r="B394" s="231"/>
      <c r="C394" s="241"/>
    </row>
    <row r="395" spans="2:3" x14ac:dyDescent="0.25">
      <c r="B395" s="231"/>
      <c r="C395" s="241"/>
    </row>
    <row r="396" spans="2:3" x14ac:dyDescent="0.25">
      <c r="B396" s="231"/>
      <c r="C396" s="241"/>
    </row>
    <row r="397" spans="2:3" x14ac:dyDescent="0.25">
      <c r="B397" s="231"/>
      <c r="C397" s="241"/>
    </row>
    <row r="398" spans="2:3" x14ac:dyDescent="0.25">
      <c r="B398" s="231"/>
      <c r="C398" s="241"/>
    </row>
    <row r="399" spans="2:3" x14ac:dyDescent="0.25">
      <c r="B399" s="231"/>
      <c r="C399" s="241"/>
    </row>
    <row r="400" spans="2:3" x14ac:dyDescent="0.25">
      <c r="B400" s="231"/>
      <c r="C400" s="241"/>
    </row>
    <row r="401" spans="2:3" x14ac:dyDescent="0.25">
      <c r="B401" s="231"/>
      <c r="C401" s="241"/>
    </row>
    <row r="402" spans="2:3" x14ac:dyDescent="0.25">
      <c r="B402" s="231"/>
      <c r="C402" s="241"/>
    </row>
    <row r="403" spans="2:3" x14ac:dyDescent="0.25">
      <c r="B403" s="231"/>
      <c r="C403" s="241"/>
    </row>
    <row r="404" spans="2:3" x14ac:dyDescent="0.25">
      <c r="B404" s="231"/>
      <c r="C404" s="241"/>
    </row>
    <row r="405" spans="2:3" x14ac:dyDescent="0.25">
      <c r="B405" s="231"/>
      <c r="C405" s="241"/>
    </row>
    <row r="406" spans="2:3" x14ac:dyDescent="0.25">
      <c r="B406" s="231"/>
      <c r="C406" s="241"/>
    </row>
    <row r="407" spans="2:3" x14ac:dyDescent="0.25">
      <c r="B407" s="231"/>
      <c r="C407" s="241"/>
    </row>
    <row r="408" spans="2:3" x14ac:dyDescent="0.25">
      <c r="B408" s="231"/>
      <c r="C408" s="241"/>
    </row>
    <row r="409" spans="2:3" x14ac:dyDescent="0.25">
      <c r="B409" s="231"/>
      <c r="C409" s="241"/>
    </row>
    <row r="410" spans="2:3" x14ac:dyDescent="0.25">
      <c r="B410" s="231"/>
      <c r="C410" s="241"/>
    </row>
    <row r="411" spans="2:3" x14ac:dyDescent="0.25">
      <c r="B411" s="231"/>
      <c r="C411" s="241"/>
    </row>
    <row r="412" spans="2:3" x14ac:dyDescent="0.25">
      <c r="B412" s="231"/>
      <c r="C412" s="241"/>
    </row>
    <row r="413" spans="2:3" x14ac:dyDescent="0.25">
      <c r="B413" s="231"/>
      <c r="C413" s="241"/>
    </row>
    <row r="414" spans="2:3" x14ac:dyDescent="0.25">
      <c r="B414" s="231"/>
      <c r="C414" s="241"/>
    </row>
    <row r="415" spans="2:3" x14ac:dyDescent="0.25">
      <c r="B415" s="231"/>
      <c r="C415" s="241"/>
    </row>
    <row r="416" spans="2:3" x14ac:dyDescent="0.25">
      <c r="B416" s="231"/>
      <c r="C416" s="241"/>
    </row>
    <row r="417" spans="2:3" x14ac:dyDescent="0.25">
      <c r="B417" s="231"/>
      <c r="C417" s="241"/>
    </row>
    <row r="418" spans="2:3" x14ac:dyDescent="0.25">
      <c r="B418" s="231"/>
      <c r="C418" s="241"/>
    </row>
    <row r="419" spans="2:3" x14ac:dyDescent="0.25">
      <c r="B419" s="231"/>
      <c r="C419" s="241"/>
    </row>
    <row r="420" spans="2:3" x14ac:dyDescent="0.25">
      <c r="B420" s="231"/>
      <c r="C420" s="241"/>
    </row>
    <row r="421" spans="2:3" x14ac:dyDescent="0.25">
      <c r="B421" s="231"/>
      <c r="C421" s="241"/>
    </row>
    <row r="422" spans="2:3" x14ac:dyDescent="0.25">
      <c r="B422" s="231"/>
      <c r="C422" s="241"/>
    </row>
    <row r="423" spans="2:3" x14ac:dyDescent="0.25">
      <c r="B423" s="231"/>
      <c r="C423" s="241"/>
    </row>
    <row r="424" spans="2:3" x14ac:dyDescent="0.25">
      <c r="B424" s="231"/>
      <c r="C424" s="241"/>
    </row>
    <row r="425" spans="2:3" x14ac:dyDescent="0.25">
      <c r="B425" s="231"/>
      <c r="C425" s="241"/>
    </row>
    <row r="426" spans="2:3" x14ac:dyDescent="0.25">
      <c r="B426" s="231"/>
      <c r="C426" s="241"/>
    </row>
    <row r="427" spans="2:3" x14ac:dyDescent="0.25">
      <c r="B427" s="231"/>
      <c r="C427" s="241"/>
    </row>
    <row r="428" spans="2:3" x14ac:dyDescent="0.25">
      <c r="B428" s="231"/>
      <c r="C428" s="241"/>
    </row>
    <row r="429" spans="2:3" x14ac:dyDescent="0.25">
      <c r="B429" s="231"/>
      <c r="C429" s="241"/>
    </row>
    <row r="430" spans="2:3" x14ac:dyDescent="0.25">
      <c r="B430" s="231"/>
      <c r="C430" s="241"/>
    </row>
    <row r="431" spans="2:3" x14ac:dyDescent="0.25">
      <c r="B431" s="231"/>
      <c r="C431" s="241"/>
    </row>
    <row r="432" spans="2:3" x14ac:dyDescent="0.25">
      <c r="B432" s="231"/>
      <c r="C432" s="241"/>
    </row>
    <row r="433" spans="2:3" x14ac:dyDescent="0.25">
      <c r="B433" s="231"/>
      <c r="C433" s="241"/>
    </row>
    <row r="434" spans="2:3" x14ac:dyDescent="0.25">
      <c r="B434" s="231"/>
      <c r="C434" s="241"/>
    </row>
    <row r="435" spans="2:3" x14ac:dyDescent="0.25">
      <c r="B435" s="231"/>
      <c r="C435" s="241"/>
    </row>
    <row r="436" spans="2:3" x14ac:dyDescent="0.25">
      <c r="B436" s="231"/>
      <c r="C436" s="241"/>
    </row>
    <row r="437" spans="2:3" x14ac:dyDescent="0.25">
      <c r="B437" s="231"/>
      <c r="C437" s="241"/>
    </row>
    <row r="438" spans="2:3" x14ac:dyDescent="0.25">
      <c r="B438" s="231"/>
      <c r="C438" s="241"/>
    </row>
    <row r="439" spans="2:3" x14ac:dyDescent="0.25">
      <c r="B439" s="231"/>
      <c r="C439" s="241"/>
    </row>
    <row r="440" spans="2:3" x14ac:dyDescent="0.25">
      <c r="B440" s="231"/>
      <c r="C440" s="241"/>
    </row>
    <row r="441" spans="2:3" x14ac:dyDescent="0.25">
      <c r="B441" s="231"/>
      <c r="C441" s="241"/>
    </row>
    <row r="442" spans="2:3" x14ac:dyDescent="0.25">
      <c r="B442" s="231"/>
      <c r="C442" s="241"/>
    </row>
    <row r="443" spans="2:3" x14ac:dyDescent="0.25">
      <c r="B443" s="231"/>
      <c r="C443" s="241"/>
    </row>
    <row r="444" spans="2:3" x14ac:dyDescent="0.25">
      <c r="B444" s="231"/>
      <c r="C444" s="241"/>
    </row>
    <row r="445" spans="2:3" x14ac:dyDescent="0.25">
      <c r="B445" s="231"/>
      <c r="C445" s="241"/>
    </row>
    <row r="446" spans="2:3" x14ac:dyDescent="0.25">
      <c r="B446" s="231"/>
      <c r="C446" s="241"/>
    </row>
    <row r="447" spans="2:3" x14ac:dyDescent="0.25">
      <c r="B447" s="231"/>
      <c r="C447" s="241"/>
    </row>
    <row r="448" spans="2:3" x14ac:dyDescent="0.25">
      <c r="B448" s="231"/>
      <c r="C448" s="241"/>
    </row>
    <row r="449" spans="2:3" x14ac:dyDescent="0.25">
      <c r="B449" s="231"/>
      <c r="C449" s="241"/>
    </row>
    <row r="450" spans="2:3" x14ac:dyDescent="0.25">
      <c r="B450" s="231"/>
      <c r="C450" s="241"/>
    </row>
    <row r="451" spans="2:3" x14ac:dyDescent="0.25">
      <c r="B451" s="231"/>
      <c r="C451" s="241"/>
    </row>
    <row r="452" spans="2:3" x14ac:dyDescent="0.25">
      <c r="B452" s="231"/>
      <c r="C452" s="241"/>
    </row>
    <row r="453" spans="2:3" x14ac:dyDescent="0.25">
      <c r="B453" s="231"/>
      <c r="C453" s="241"/>
    </row>
    <row r="454" spans="2:3" x14ac:dyDescent="0.25">
      <c r="B454" s="231"/>
      <c r="C454" s="241"/>
    </row>
    <row r="455" spans="2:3" x14ac:dyDescent="0.25">
      <c r="B455" s="231"/>
      <c r="C455" s="241"/>
    </row>
    <row r="456" spans="2:3" x14ac:dyDescent="0.25">
      <c r="B456" s="231"/>
      <c r="C456" s="241"/>
    </row>
    <row r="457" spans="2:3" x14ac:dyDescent="0.25">
      <c r="B457" s="231"/>
      <c r="C457" s="241"/>
    </row>
    <row r="458" spans="2:3" x14ac:dyDescent="0.25">
      <c r="B458" s="231"/>
      <c r="C458" s="241"/>
    </row>
    <row r="459" spans="2:3" x14ac:dyDescent="0.25">
      <c r="B459" s="231"/>
      <c r="C459" s="241"/>
    </row>
    <row r="460" spans="2:3" x14ac:dyDescent="0.25">
      <c r="B460" s="231"/>
      <c r="C460" s="241"/>
    </row>
    <row r="461" spans="2:3" x14ac:dyDescent="0.25">
      <c r="B461" s="231"/>
      <c r="C461" s="241"/>
    </row>
    <row r="462" spans="2:3" x14ac:dyDescent="0.25">
      <c r="B462" s="231"/>
      <c r="C462" s="241"/>
    </row>
    <row r="463" spans="2:3" x14ac:dyDescent="0.25">
      <c r="B463" s="231"/>
      <c r="C463" s="241"/>
    </row>
    <row r="464" spans="2:3" x14ac:dyDescent="0.25">
      <c r="B464" s="231"/>
      <c r="C464" s="241"/>
    </row>
    <row r="465" spans="2:3" x14ac:dyDescent="0.25">
      <c r="B465" s="231"/>
      <c r="C465" s="241"/>
    </row>
    <row r="466" spans="2:3" x14ac:dyDescent="0.25">
      <c r="B466" s="231"/>
      <c r="C466" s="241"/>
    </row>
    <row r="467" spans="2:3" x14ac:dyDescent="0.25">
      <c r="B467" s="231"/>
      <c r="C467" s="241"/>
    </row>
    <row r="468" spans="2:3" x14ac:dyDescent="0.25">
      <c r="B468" s="231"/>
      <c r="C468" s="241"/>
    </row>
    <row r="469" spans="2:3" x14ac:dyDescent="0.25">
      <c r="B469" s="231"/>
      <c r="C469" s="241"/>
    </row>
    <row r="470" spans="2:3" x14ac:dyDescent="0.25">
      <c r="B470" s="231"/>
      <c r="C470" s="241"/>
    </row>
    <row r="471" spans="2:3" x14ac:dyDescent="0.25">
      <c r="B471" s="231"/>
      <c r="C471" s="241"/>
    </row>
    <row r="472" spans="2:3" x14ac:dyDescent="0.25">
      <c r="B472" s="231"/>
      <c r="C472" s="241"/>
    </row>
    <row r="473" spans="2:3" x14ac:dyDescent="0.25">
      <c r="B473" s="231"/>
      <c r="C473" s="241"/>
    </row>
    <row r="474" spans="2:3" x14ac:dyDescent="0.25">
      <c r="B474" s="231"/>
      <c r="C474" s="241"/>
    </row>
    <row r="475" spans="2:3" x14ac:dyDescent="0.25">
      <c r="B475" s="231"/>
      <c r="C475" s="241"/>
    </row>
    <row r="476" spans="2:3" x14ac:dyDescent="0.25">
      <c r="B476" s="231"/>
      <c r="C476" s="241"/>
    </row>
    <row r="477" spans="2:3" x14ac:dyDescent="0.25">
      <c r="B477" s="231"/>
      <c r="C477" s="241"/>
    </row>
    <row r="478" spans="2:3" x14ac:dyDescent="0.25">
      <c r="B478" s="231"/>
      <c r="C478" s="241"/>
    </row>
    <row r="479" spans="2:3" x14ac:dyDescent="0.25">
      <c r="B479" s="231"/>
      <c r="C479" s="241"/>
    </row>
    <row r="480" spans="2:3" x14ac:dyDescent="0.25">
      <c r="B480" s="231"/>
      <c r="C480" s="241"/>
    </row>
    <row r="481" spans="2:3" x14ac:dyDescent="0.25">
      <c r="B481" s="231"/>
      <c r="C481" s="241"/>
    </row>
    <row r="482" spans="2:3" x14ac:dyDescent="0.25">
      <c r="B482" s="231"/>
      <c r="C482" s="241"/>
    </row>
    <row r="483" spans="2:3" x14ac:dyDescent="0.25">
      <c r="B483" s="231"/>
      <c r="C483" s="241"/>
    </row>
    <row r="484" spans="2:3" x14ac:dyDescent="0.25">
      <c r="B484" s="231"/>
      <c r="C484" s="241"/>
    </row>
    <row r="485" spans="2:3" x14ac:dyDescent="0.25">
      <c r="B485" s="231"/>
      <c r="C485" s="241"/>
    </row>
    <row r="486" spans="2:3" x14ac:dyDescent="0.25">
      <c r="B486" s="231"/>
      <c r="C486" s="241"/>
    </row>
    <row r="487" spans="2:3" x14ac:dyDescent="0.25">
      <c r="B487" s="231"/>
      <c r="C487" s="241"/>
    </row>
    <row r="488" spans="2:3" x14ac:dyDescent="0.25">
      <c r="B488" s="231"/>
      <c r="C488" s="241"/>
    </row>
    <row r="489" spans="2:3" x14ac:dyDescent="0.25">
      <c r="B489" s="231"/>
      <c r="C489" s="241"/>
    </row>
    <row r="490" spans="2:3" x14ac:dyDescent="0.25">
      <c r="B490" s="231"/>
      <c r="C490" s="241"/>
    </row>
    <row r="491" spans="2:3" x14ac:dyDescent="0.25">
      <c r="B491" s="231"/>
      <c r="C491" s="241"/>
    </row>
    <row r="492" spans="2:3" x14ac:dyDescent="0.25">
      <c r="B492" s="231"/>
      <c r="C492" s="241"/>
    </row>
    <row r="493" spans="2:3" x14ac:dyDescent="0.25">
      <c r="B493" s="231"/>
      <c r="C493" s="241"/>
    </row>
    <row r="494" spans="2:3" x14ac:dyDescent="0.25">
      <c r="B494" s="231"/>
      <c r="C494" s="241"/>
    </row>
    <row r="495" spans="2:3" x14ac:dyDescent="0.25">
      <c r="B495" s="231"/>
      <c r="C495" s="241"/>
    </row>
    <row r="496" spans="2:3" x14ac:dyDescent="0.25">
      <c r="B496" s="231"/>
      <c r="C496" s="241"/>
    </row>
    <row r="497" spans="2:3" x14ac:dyDescent="0.25">
      <c r="B497" s="231"/>
      <c r="C497" s="241"/>
    </row>
    <row r="498" spans="2:3" x14ac:dyDescent="0.25">
      <c r="B498" s="231"/>
      <c r="C498" s="241"/>
    </row>
    <row r="499" spans="2:3" x14ac:dyDescent="0.25">
      <c r="B499" s="231"/>
      <c r="C499" s="241"/>
    </row>
    <row r="500" spans="2:3" x14ac:dyDescent="0.25">
      <c r="B500" s="231"/>
      <c r="C500" s="241"/>
    </row>
    <row r="501" spans="2:3" x14ac:dyDescent="0.25">
      <c r="B501" s="231"/>
      <c r="C501" s="241"/>
    </row>
    <row r="502" spans="2:3" x14ac:dyDescent="0.25">
      <c r="B502" s="231"/>
      <c r="C502" s="241"/>
    </row>
    <row r="503" spans="2:3" x14ac:dyDescent="0.25">
      <c r="B503" s="231"/>
      <c r="C503" s="241"/>
    </row>
    <row r="504" spans="2:3" x14ac:dyDescent="0.25">
      <c r="B504" s="231"/>
      <c r="C504" s="241"/>
    </row>
    <row r="505" spans="2:3" x14ac:dyDescent="0.25">
      <c r="B505" s="231"/>
      <c r="C505" s="241"/>
    </row>
    <row r="506" spans="2:3" x14ac:dyDescent="0.25">
      <c r="B506" s="231"/>
      <c r="C506" s="241"/>
    </row>
    <row r="507" spans="2:3" x14ac:dyDescent="0.25">
      <c r="B507" s="231"/>
      <c r="C507" s="241"/>
    </row>
    <row r="508" spans="2:3" x14ac:dyDescent="0.25">
      <c r="B508" s="231"/>
      <c r="C508" s="241"/>
    </row>
    <row r="509" spans="2:3" x14ac:dyDescent="0.25">
      <c r="B509" s="231"/>
      <c r="C509" s="241"/>
    </row>
    <row r="510" spans="2:3" x14ac:dyDescent="0.25">
      <c r="B510" s="231"/>
      <c r="C510" s="241"/>
    </row>
    <row r="511" spans="2:3" x14ac:dyDescent="0.25">
      <c r="B511" s="231"/>
      <c r="C511" s="241"/>
    </row>
    <row r="512" spans="2:3" x14ac:dyDescent="0.25">
      <c r="B512" s="231"/>
      <c r="C512" s="241"/>
    </row>
    <row r="513" spans="2:3" x14ac:dyDescent="0.25">
      <c r="B513" s="231"/>
      <c r="C513" s="241"/>
    </row>
    <row r="514" spans="2:3" x14ac:dyDescent="0.25">
      <c r="B514" s="231"/>
      <c r="C514" s="241"/>
    </row>
    <row r="515" spans="2:3" x14ac:dyDescent="0.25">
      <c r="B515" s="231"/>
      <c r="C515" s="241"/>
    </row>
    <row r="516" spans="2:3" x14ac:dyDescent="0.25">
      <c r="B516" s="231"/>
      <c r="C516" s="241"/>
    </row>
    <row r="517" spans="2:3" x14ac:dyDescent="0.25">
      <c r="B517" s="231"/>
      <c r="C517" s="241"/>
    </row>
    <row r="518" spans="2:3" x14ac:dyDescent="0.25">
      <c r="B518" s="231"/>
      <c r="C518" s="241"/>
    </row>
    <row r="519" spans="2:3" x14ac:dyDescent="0.25">
      <c r="B519" s="231"/>
      <c r="C519" s="241"/>
    </row>
    <row r="520" spans="2:3" x14ac:dyDescent="0.25">
      <c r="B520" s="231"/>
      <c r="C520" s="241"/>
    </row>
    <row r="521" spans="2:3" x14ac:dyDescent="0.25">
      <c r="B521" s="231"/>
      <c r="C521" s="241"/>
    </row>
    <row r="522" spans="2:3" x14ac:dyDescent="0.25">
      <c r="B522" s="231"/>
      <c r="C522" s="241"/>
    </row>
    <row r="523" spans="2:3" x14ac:dyDescent="0.25">
      <c r="B523" s="231"/>
      <c r="C523" s="241"/>
    </row>
    <row r="524" spans="2:3" x14ac:dyDescent="0.25">
      <c r="B524" s="231"/>
      <c r="C524" s="241"/>
    </row>
    <row r="525" spans="2:3" x14ac:dyDescent="0.25">
      <c r="B525" s="231"/>
      <c r="C525" s="241"/>
    </row>
    <row r="526" spans="2:3" x14ac:dyDescent="0.25">
      <c r="B526" s="231"/>
      <c r="C526" s="241"/>
    </row>
    <row r="527" spans="2:3" x14ac:dyDescent="0.25">
      <c r="B527" s="231"/>
      <c r="C527" s="241"/>
    </row>
    <row r="528" spans="2:3" x14ac:dyDescent="0.25">
      <c r="B528" s="231"/>
      <c r="C528" s="241"/>
    </row>
    <row r="529" spans="2:3" x14ac:dyDescent="0.25">
      <c r="B529" s="231"/>
      <c r="C529" s="241"/>
    </row>
    <row r="530" spans="2:3" x14ac:dyDescent="0.25">
      <c r="B530" s="231"/>
      <c r="C530" s="241"/>
    </row>
    <row r="531" spans="2:3" x14ac:dyDescent="0.25">
      <c r="B531" s="231"/>
      <c r="C531" s="241"/>
    </row>
    <row r="532" spans="2:3" x14ac:dyDescent="0.25">
      <c r="B532" s="231"/>
      <c r="C532" s="241"/>
    </row>
    <row r="533" spans="2:3" x14ac:dyDescent="0.25">
      <c r="B533" s="231"/>
      <c r="C533" s="241"/>
    </row>
    <row r="534" spans="2:3" x14ac:dyDescent="0.25">
      <c r="B534" s="231"/>
      <c r="C534" s="241"/>
    </row>
    <row r="535" spans="2:3" x14ac:dyDescent="0.25">
      <c r="B535" s="231"/>
      <c r="C535" s="241"/>
    </row>
    <row r="536" spans="2:3" x14ac:dyDescent="0.25">
      <c r="B536" s="231"/>
      <c r="C536" s="241"/>
    </row>
    <row r="537" spans="2:3" x14ac:dyDescent="0.25">
      <c r="B537" s="231"/>
      <c r="C537" s="241"/>
    </row>
    <row r="538" spans="2:3" x14ac:dyDescent="0.25">
      <c r="B538" s="231"/>
      <c r="C538" s="241"/>
    </row>
    <row r="539" spans="2:3" x14ac:dyDescent="0.25">
      <c r="B539" s="231"/>
      <c r="C539" s="241"/>
    </row>
    <row r="540" spans="2:3" x14ac:dyDescent="0.25">
      <c r="B540" s="231"/>
      <c r="C540" s="241"/>
    </row>
    <row r="541" spans="2:3" x14ac:dyDescent="0.25">
      <c r="B541" s="231"/>
      <c r="C541" s="241"/>
    </row>
    <row r="542" spans="2:3" x14ac:dyDescent="0.25">
      <c r="B542" s="231"/>
      <c r="C542" s="241"/>
    </row>
    <row r="543" spans="2:3" x14ac:dyDescent="0.25">
      <c r="B543" s="231"/>
      <c r="C543" s="241"/>
    </row>
    <row r="544" spans="2:3" x14ac:dyDescent="0.25">
      <c r="B544" s="231"/>
      <c r="C544" s="241"/>
    </row>
    <row r="545" spans="2:3" x14ac:dyDescent="0.25">
      <c r="B545" s="231"/>
      <c r="C545" s="241"/>
    </row>
    <row r="546" spans="2:3" x14ac:dyDescent="0.25">
      <c r="B546" s="231"/>
      <c r="C546" s="241"/>
    </row>
    <row r="547" spans="2:3" x14ac:dyDescent="0.25">
      <c r="B547" s="231"/>
      <c r="C547" s="241"/>
    </row>
    <row r="548" spans="2:3" x14ac:dyDescent="0.25">
      <c r="B548" s="231"/>
      <c r="C548" s="241"/>
    </row>
    <row r="549" spans="2:3" x14ac:dyDescent="0.25">
      <c r="B549" s="231"/>
      <c r="C549" s="241"/>
    </row>
    <row r="550" spans="2:3" x14ac:dyDescent="0.25">
      <c r="B550" s="231"/>
      <c r="C550" s="241"/>
    </row>
    <row r="551" spans="2:3" x14ac:dyDescent="0.25">
      <c r="B551" s="231"/>
      <c r="C551" s="241"/>
    </row>
    <row r="552" spans="2:3" x14ac:dyDescent="0.25">
      <c r="B552" s="231"/>
      <c r="C552" s="241"/>
    </row>
    <row r="553" spans="2:3" x14ac:dyDescent="0.25">
      <c r="B553" s="231"/>
      <c r="C553" s="241"/>
    </row>
    <row r="554" spans="2:3" x14ac:dyDescent="0.25">
      <c r="B554" s="231"/>
      <c r="C554" s="241"/>
    </row>
    <row r="555" spans="2:3" x14ac:dyDescent="0.25">
      <c r="B555" s="231"/>
      <c r="C555" s="241"/>
    </row>
    <row r="556" spans="2:3" x14ac:dyDescent="0.25">
      <c r="B556" s="231"/>
      <c r="C556" s="241"/>
    </row>
    <row r="557" spans="2:3" x14ac:dyDescent="0.25">
      <c r="B557" s="231"/>
      <c r="C557" s="241"/>
    </row>
    <row r="558" spans="2:3" x14ac:dyDescent="0.25">
      <c r="B558" s="231"/>
      <c r="C558" s="241"/>
    </row>
    <row r="559" spans="2:3" x14ac:dyDescent="0.25">
      <c r="B559" s="231"/>
      <c r="C559" s="241"/>
    </row>
    <row r="560" spans="2:3" x14ac:dyDescent="0.25">
      <c r="B560" s="231"/>
      <c r="C560" s="241"/>
    </row>
    <row r="561" spans="2:3" x14ac:dyDescent="0.25">
      <c r="B561" s="231"/>
      <c r="C561" s="241"/>
    </row>
    <row r="562" spans="2:3" x14ac:dyDescent="0.25">
      <c r="B562" s="231"/>
      <c r="C562" s="241"/>
    </row>
    <row r="563" spans="2:3" x14ac:dyDescent="0.25">
      <c r="B563" s="231"/>
      <c r="C563" s="241"/>
    </row>
    <row r="564" spans="2:3" x14ac:dyDescent="0.25">
      <c r="B564" s="231"/>
      <c r="C564" s="241"/>
    </row>
    <row r="565" spans="2:3" x14ac:dyDescent="0.25">
      <c r="B565" s="231"/>
      <c r="C565" s="241"/>
    </row>
    <row r="566" spans="2:3" x14ac:dyDescent="0.25">
      <c r="B566" s="231"/>
      <c r="C566" s="241"/>
    </row>
    <row r="567" spans="2:3" x14ac:dyDescent="0.25">
      <c r="B567" s="231"/>
      <c r="C567" s="241"/>
    </row>
    <row r="568" spans="2:3" x14ac:dyDescent="0.25">
      <c r="B568" s="231"/>
      <c r="C568" s="241"/>
    </row>
    <row r="569" spans="2:3" x14ac:dyDescent="0.25">
      <c r="B569" s="231"/>
      <c r="C569" s="241"/>
    </row>
    <row r="570" spans="2:3" x14ac:dyDescent="0.25">
      <c r="B570" s="231"/>
      <c r="C570" s="241"/>
    </row>
    <row r="571" spans="2:3" x14ac:dyDescent="0.25">
      <c r="B571" s="231"/>
      <c r="C571" s="241"/>
    </row>
    <row r="572" spans="2:3" x14ac:dyDescent="0.25">
      <c r="B572" s="231"/>
      <c r="C572" s="241"/>
    </row>
    <row r="573" spans="2:3" x14ac:dyDescent="0.25">
      <c r="B573" s="231"/>
      <c r="C573" s="241"/>
    </row>
    <row r="574" spans="2:3" x14ac:dyDescent="0.25">
      <c r="B574" s="231"/>
      <c r="C574" s="241"/>
    </row>
    <row r="575" spans="2:3" x14ac:dyDescent="0.25">
      <c r="B575" s="231"/>
      <c r="C575" s="241"/>
    </row>
    <row r="576" spans="2:3" x14ac:dyDescent="0.25">
      <c r="B576" s="231"/>
      <c r="C576" s="241"/>
    </row>
    <row r="577" spans="2:3" x14ac:dyDescent="0.25">
      <c r="B577" s="231"/>
      <c r="C577" s="241"/>
    </row>
    <row r="578" spans="2:3" x14ac:dyDescent="0.25">
      <c r="B578" s="231"/>
      <c r="C578" s="241"/>
    </row>
    <row r="579" spans="2:3" x14ac:dyDescent="0.25">
      <c r="B579" s="231"/>
      <c r="C579" s="241"/>
    </row>
    <row r="580" spans="2:3" x14ac:dyDescent="0.25">
      <c r="B580" s="231"/>
      <c r="C580" s="241"/>
    </row>
    <row r="581" spans="2:3" x14ac:dyDescent="0.25">
      <c r="B581" s="231"/>
      <c r="C581" s="241"/>
    </row>
    <row r="582" spans="2:3" x14ac:dyDescent="0.25">
      <c r="B582" s="231"/>
      <c r="C582" s="241"/>
    </row>
    <row r="583" spans="2:3" x14ac:dyDescent="0.25">
      <c r="B583" s="231"/>
      <c r="C583" s="241"/>
    </row>
    <row r="584" spans="2:3" x14ac:dyDescent="0.25">
      <c r="B584" s="231"/>
      <c r="C584" s="241"/>
    </row>
    <row r="585" spans="2:3" x14ac:dyDescent="0.25">
      <c r="B585" s="231"/>
      <c r="C585" s="241"/>
    </row>
    <row r="586" spans="2:3" x14ac:dyDescent="0.25">
      <c r="B586" s="231"/>
      <c r="C586" s="241"/>
    </row>
    <row r="587" spans="2:3" x14ac:dyDescent="0.25">
      <c r="B587" s="231"/>
      <c r="C587" s="241"/>
    </row>
    <row r="588" spans="2:3" x14ac:dyDescent="0.25">
      <c r="B588" s="231"/>
      <c r="C588" s="241"/>
    </row>
    <row r="589" spans="2:3" x14ac:dyDescent="0.25">
      <c r="B589" s="231"/>
      <c r="C589" s="241"/>
    </row>
    <row r="590" spans="2:3" x14ac:dyDescent="0.25">
      <c r="B590" s="231"/>
      <c r="C590" s="241"/>
    </row>
    <row r="591" spans="2:3" x14ac:dyDescent="0.25">
      <c r="B591" s="231"/>
      <c r="C591" s="241"/>
    </row>
    <row r="592" spans="2:3" x14ac:dyDescent="0.25">
      <c r="B592" s="231"/>
      <c r="C592" s="241"/>
    </row>
    <row r="593" spans="2:3" x14ac:dyDescent="0.25">
      <c r="B593" s="231"/>
      <c r="C593" s="241"/>
    </row>
    <row r="594" spans="2:3" x14ac:dyDescent="0.25">
      <c r="B594" s="231"/>
      <c r="C594" s="241"/>
    </row>
    <row r="595" spans="2:3" x14ac:dyDescent="0.25">
      <c r="B595" s="231"/>
      <c r="C595" s="241"/>
    </row>
    <row r="596" spans="2:3" x14ac:dyDescent="0.25">
      <c r="B596" s="231"/>
      <c r="C596" s="241"/>
    </row>
    <row r="597" spans="2:3" x14ac:dyDescent="0.25">
      <c r="B597" s="231"/>
      <c r="C597" s="241"/>
    </row>
    <row r="598" spans="2:3" x14ac:dyDescent="0.25">
      <c r="B598" s="231"/>
      <c r="C598" s="241"/>
    </row>
    <row r="599" spans="2:3" x14ac:dyDescent="0.25">
      <c r="B599" s="231"/>
      <c r="C599" s="241"/>
    </row>
    <row r="600" spans="2:3" x14ac:dyDescent="0.25">
      <c r="B600" s="231"/>
      <c r="C600" s="241"/>
    </row>
    <row r="601" spans="2:3" x14ac:dyDescent="0.25">
      <c r="B601" s="231"/>
      <c r="C601" s="241"/>
    </row>
    <row r="602" spans="2:3" x14ac:dyDescent="0.25">
      <c r="B602" s="231"/>
      <c r="C602" s="241"/>
    </row>
    <row r="603" spans="2:3" x14ac:dyDescent="0.25">
      <c r="B603" s="231"/>
      <c r="C603" s="241"/>
    </row>
    <row r="604" spans="2:3" x14ac:dyDescent="0.25">
      <c r="B604" s="231"/>
      <c r="C604" s="241"/>
    </row>
    <row r="605" spans="2:3" x14ac:dyDescent="0.25">
      <c r="B605" s="231"/>
      <c r="C605" s="241"/>
    </row>
    <row r="606" spans="2:3" x14ac:dyDescent="0.25">
      <c r="B606" s="231"/>
      <c r="C606" s="241"/>
    </row>
    <row r="607" spans="2:3" x14ac:dyDescent="0.25">
      <c r="B607" s="231"/>
      <c r="C607" s="241"/>
    </row>
    <row r="608" spans="2:3" x14ac:dyDescent="0.25">
      <c r="B608" s="231"/>
      <c r="C608" s="241"/>
    </row>
    <row r="609" spans="2:3" x14ac:dyDescent="0.25">
      <c r="B609" s="231"/>
      <c r="C609" s="241"/>
    </row>
    <row r="610" spans="2:3" x14ac:dyDescent="0.25">
      <c r="B610" s="231"/>
      <c r="C610" s="241"/>
    </row>
    <row r="611" spans="2:3" x14ac:dyDescent="0.25">
      <c r="B611" s="231"/>
      <c r="C611" s="241"/>
    </row>
    <row r="612" spans="2:3" x14ac:dyDescent="0.25">
      <c r="B612" s="231"/>
      <c r="C612" s="241"/>
    </row>
    <row r="613" spans="2:3" x14ac:dyDescent="0.25">
      <c r="B613" s="231"/>
      <c r="C613" s="241"/>
    </row>
    <row r="614" spans="2:3" x14ac:dyDescent="0.25">
      <c r="B614" s="231"/>
      <c r="C614" s="241"/>
    </row>
    <row r="615" spans="2:3" x14ac:dyDescent="0.25">
      <c r="B615" s="231"/>
      <c r="C615" s="241"/>
    </row>
    <row r="616" spans="2:3" x14ac:dyDescent="0.25">
      <c r="B616" s="231"/>
      <c r="C616" s="241"/>
    </row>
    <row r="617" spans="2:3" x14ac:dyDescent="0.25">
      <c r="B617" s="231"/>
      <c r="C617" s="241"/>
    </row>
    <row r="618" spans="2:3" x14ac:dyDescent="0.25">
      <c r="B618" s="231"/>
      <c r="C618" s="241"/>
    </row>
    <row r="619" spans="2:3" x14ac:dyDescent="0.25">
      <c r="B619" s="231"/>
      <c r="C619" s="241"/>
    </row>
    <row r="620" spans="2:3" x14ac:dyDescent="0.25">
      <c r="B620" s="231"/>
      <c r="C620" s="241"/>
    </row>
    <row r="621" spans="2:3" x14ac:dyDescent="0.25">
      <c r="B621" s="231"/>
      <c r="C621" s="241"/>
    </row>
    <row r="622" spans="2:3" x14ac:dyDescent="0.25">
      <c r="B622" s="231"/>
      <c r="C622" s="241"/>
    </row>
    <row r="623" spans="2:3" x14ac:dyDescent="0.25">
      <c r="B623" s="231"/>
      <c r="C623" s="241"/>
    </row>
    <row r="624" spans="2:3" x14ac:dyDescent="0.25">
      <c r="B624" s="231"/>
      <c r="C624" s="241"/>
    </row>
    <row r="625" spans="2:3" x14ac:dyDescent="0.25">
      <c r="B625" s="231"/>
      <c r="C625" s="241"/>
    </row>
    <row r="626" spans="2:3" x14ac:dyDescent="0.25">
      <c r="B626" s="231"/>
      <c r="C626" s="241"/>
    </row>
    <row r="627" spans="2:3" x14ac:dyDescent="0.25">
      <c r="B627" s="231"/>
      <c r="C627" s="241"/>
    </row>
    <row r="628" spans="2:3" x14ac:dyDescent="0.25">
      <c r="B628" s="231"/>
      <c r="C628" s="241"/>
    </row>
    <row r="629" spans="2:3" x14ac:dyDescent="0.25">
      <c r="B629" s="231"/>
      <c r="C629" s="241"/>
    </row>
    <row r="630" spans="2:3" x14ac:dyDescent="0.25">
      <c r="B630" s="231"/>
      <c r="C630" s="241"/>
    </row>
    <row r="631" spans="2:3" x14ac:dyDescent="0.25">
      <c r="B631" s="231"/>
      <c r="C631" s="241"/>
    </row>
    <row r="632" spans="2:3" x14ac:dyDescent="0.25">
      <c r="B632" s="231"/>
      <c r="C632" s="241"/>
    </row>
    <row r="633" spans="2:3" x14ac:dyDescent="0.25">
      <c r="B633" s="231"/>
      <c r="C633" s="241"/>
    </row>
    <row r="634" spans="2:3" x14ac:dyDescent="0.25">
      <c r="B634" s="231"/>
      <c r="C634" s="241"/>
    </row>
    <row r="635" spans="2:3" x14ac:dyDescent="0.25">
      <c r="B635" s="231"/>
      <c r="C635" s="241"/>
    </row>
    <row r="636" spans="2:3" x14ac:dyDescent="0.25">
      <c r="B636" s="231"/>
      <c r="C636" s="241"/>
    </row>
    <row r="637" spans="2:3" x14ac:dyDescent="0.25">
      <c r="B637" s="231"/>
      <c r="C637" s="241"/>
    </row>
    <row r="638" spans="2:3" x14ac:dyDescent="0.25">
      <c r="B638" s="231"/>
      <c r="C638" s="241"/>
    </row>
    <row r="639" spans="2:3" x14ac:dyDescent="0.25">
      <c r="B639" s="231"/>
      <c r="C639" s="241"/>
    </row>
    <row r="640" spans="2:3" x14ac:dyDescent="0.25">
      <c r="B640" s="231"/>
      <c r="C640" s="241"/>
    </row>
    <row r="641" spans="2:3" x14ac:dyDescent="0.25">
      <c r="B641" s="231"/>
      <c r="C641" s="241"/>
    </row>
    <row r="642" spans="2:3" x14ac:dyDescent="0.25">
      <c r="B642" s="231"/>
      <c r="C642" s="241"/>
    </row>
    <row r="643" spans="2:3" x14ac:dyDescent="0.25">
      <c r="B643" s="231"/>
      <c r="C643" s="241"/>
    </row>
    <row r="644" spans="2:3" x14ac:dyDescent="0.25">
      <c r="B644" s="231"/>
      <c r="C644" s="241"/>
    </row>
    <row r="645" spans="2:3" x14ac:dyDescent="0.25">
      <c r="B645" s="231"/>
      <c r="C645" s="241"/>
    </row>
    <row r="646" spans="2:3" x14ac:dyDescent="0.25">
      <c r="B646" s="231"/>
      <c r="C646" s="241"/>
    </row>
    <row r="647" spans="2:3" x14ac:dyDescent="0.25">
      <c r="B647" s="231"/>
      <c r="C647" s="241"/>
    </row>
    <row r="648" spans="2:3" x14ac:dyDescent="0.25">
      <c r="B648" s="231"/>
      <c r="C648" s="241"/>
    </row>
    <row r="649" spans="2:3" x14ac:dyDescent="0.25">
      <c r="B649" s="231"/>
      <c r="C649" s="241"/>
    </row>
    <row r="650" spans="2:3" x14ac:dyDescent="0.25">
      <c r="B650" s="231"/>
      <c r="C650" s="241"/>
    </row>
    <row r="651" spans="2:3" x14ac:dyDescent="0.25">
      <c r="B651" s="231"/>
      <c r="C651" s="241"/>
    </row>
    <row r="652" spans="2:3" x14ac:dyDescent="0.25">
      <c r="B652" s="231"/>
      <c r="C652" s="241"/>
    </row>
    <row r="653" spans="2:3" x14ac:dyDescent="0.25">
      <c r="B653" s="231"/>
      <c r="C653" s="241"/>
    </row>
    <row r="654" spans="2:3" x14ac:dyDescent="0.25">
      <c r="B654" s="231"/>
      <c r="C654" s="241"/>
    </row>
    <row r="655" spans="2:3" x14ac:dyDescent="0.25">
      <c r="B655" s="231"/>
      <c r="C655" s="241"/>
    </row>
    <row r="656" spans="2:3" x14ac:dyDescent="0.25">
      <c r="B656" s="231"/>
      <c r="C656" s="241"/>
    </row>
    <row r="657" spans="2:3" x14ac:dyDescent="0.25">
      <c r="B657" s="231"/>
      <c r="C657" s="241"/>
    </row>
    <row r="658" spans="2:3" x14ac:dyDescent="0.25">
      <c r="B658" s="231"/>
      <c r="C658" s="241"/>
    </row>
    <row r="659" spans="2:3" x14ac:dyDescent="0.25">
      <c r="B659" s="231"/>
      <c r="C659" s="241"/>
    </row>
    <row r="660" spans="2:3" x14ac:dyDescent="0.25">
      <c r="B660" s="231"/>
      <c r="C660" s="241"/>
    </row>
    <row r="661" spans="2:3" x14ac:dyDescent="0.25">
      <c r="B661" s="231"/>
      <c r="C661" s="241"/>
    </row>
    <row r="662" spans="2:3" x14ac:dyDescent="0.25">
      <c r="B662" s="231"/>
      <c r="C662" s="241"/>
    </row>
    <row r="663" spans="2:3" x14ac:dyDescent="0.25">
      <c r="B663" s="231"/>
      <c r="C663" s="241"/>
    </row>
    <row r="664" spans="2:3" x14ac:dyDescent="0.25">
      <c r="B664" s="231"/>
      <c r="C664" s="241"/>
    </row>
    <row r="665" spans="2:3" x14ac:dyDescent="0.25">
      <c r="B665" s="231"/>
      <c r="C665" s="241"/>
    </row>
    <row r="666" spans="2:3" x14ac:dyDescent="0.25">
      <c r="B666" s="231"/>
      <c r="C666" s="241"/>
    </row>
    <row r="667" spans="2:3" x14ac:dyDescent="0.25">
      <c r="B667" s="231"/>
      <c r="C667" s="241"/>
    </row>
    <row r="668" spans="2:3" x14ac:dyDescent="0.25">
      <c r="B668" s="231"/>
      <c r="C668" s="241"/>
    </row>
    <row r="669" spans="2:3" x14ac:dyDescent="0.25">
      <c r="B669" s="231"/>
      <c r="C669" s="241"/>
    </row>
    <row r="670" spans="2:3" x14ac:dyDescent="0.25">
      <c r="B670" s="231"/>
      <c r="C670" s="241"/>
    </row>
    <row r="671" spans="2:3" x14ac:dyDescent="0.25">
      <c r="B671" s="231"/>
      <c r="C671" s="241"/>
    </row>
    <row r="672" spans="2:3" x14ac:dyDescent="0.25">
      <c r="B672" s="231"/>
      <c r="C672" s="241"/>
    </row>
    <row r="673" spans="2:3" x14ac:dyDescent="0.25">
      <c r="B673" s="231"/>
      <c r="C673" s="241"/>
    </row>
    <row r="674" spans="2:3" x14ac:dyDescent="0.25">
      <c r="B674" s="231"/>
      <c r="C674" s="241"/>
    </row>
    <row r="675" spans="2:3" x14ac:dyDescent="0.25">
      <c r="B675" s="231"/>
      <c r="C675" s="241"/>
    </row>
    <row r="676" spans="2:3" x14ac:dyDescent="0.25">
      <c r="B676" s="231"/>
      <c r="C676" s="241"/>
    </row>
    <row r="677" spans="2:3" x14ac:dyDescent="0.25">
      <c r="B677" s="231"/>
      <c r="C677" s="241"/>
    </row>
    <row r="678" spans="2:3" x14ac:dyDescent="0.25">
      <c r="B678" s="231"/>
      <c r="C678" s="241"/>
    </row>
    <row r="679" spans="2:3" x14ac:dyDescent="0.25">
      <c r="B679" s="231"/>
      <c r="C679" s="241"/>
    </row>
    <row r="680" spans="2:3" x14ac:dyDescent="0.25">
      <c r="B680" s="231"/>
      <c r="C680" s="241"/>
    </row>
    <row r="681" spans="2:3" x14ac:dyDescent="0.25">
      <c r="B681" s="231"/>
      <c r="C681" s="241"/>
    </row>
    <row r="682" spans="2:3" x14ac:dyDescent="0.25">
      <c r="B682" s="231"/>
      <c r="C682" s="241"/>
    </row>
    <row r="683" spans="2:3" x14ac:dyDescent="0.25">
      <c r="B683" s="231"/>
      <c r="C683" s="241"/>
    </row>
    <row r="684" spans="2:3" x14ac:dyDescent="0.25">
      <c r="B684" s="231"/>
      <c r="C684" s="241"/>
    </row>
    <row r="685" spans="2:3" x14ac:dyDescent="0.25">
      <c r="B685" s="231"/>
      <c r="C685" s="241"/>
    </row>
    <row r="686" spans="2:3" x14ac:dyDescent="0.25">
      <c r="B686" s="231"/>
      <c r="C686" s="241"/>
    </row>
    <row r="687" spans="2:3" x14ac:dyDescent="0.25">
      <c r="B687" s="231"/>
      <c r="C687" s="241"/>
    </row>
    <row r="688" spans="2:3" x14ac:dyDescent="0.25">
      <c r="B688" s="231"/>
      <c r="C688" s="241"/>
    </row>
    <row r="689" spans="2:3" x14ac:dyDescent="0.25">
      <c r="B689" s="231"/>
      <c r="C689" s="241"/>
    </row>
    <row r="690" spans="2:3" x14ac:dyDescent="0.25">
      <c r="B690" s="231"/>
      <c r="C690" s="241"/>
    </row>
    <row r="691" spans="2:3" x14ac:dyDescent="0.25">
      <c r="B691" s="231"/>
      <c r="C691" s="241"/>
    </row>
    <row r="692" spans="2:3" x14ac:dyDescent="0.25">
      <c r="B692" s="231"/>
      <c r="C692" s="241"/>
    </row>
    <row r="693" spans="2:3" x14ac:dyDescent="0.25">
      <c r="B693" s="231"/>
      <c r="C693" s="241"/>
    </row>
    <row r="694" spans="2:3" x14ac:dyDescent="0.25">
      <c r="B694" s="231"/>
      <c r="C694" s="241"/>
    </row>
    <row r="695" spans="2:3" x14ac:dyDescent="0.25">
      <c r="B695" s="231"/>
      <c r="C695" s="241"/>
    </row>
    <row r="696" spans="2:3" x14ac:dyDescent="0.25">
      <c r="B696" s="231"/>
      <c r="C696" s="241"/>
    </row>
    <row r="697" spans="2:3" x14ac:dyDescent="0.25">
      <c r="B697" s="231"/>
      <c r="C697" s="241"/>
    </row>
    <row r="698" spans="2:3" x14ac:dyDescent="0.25">
      <c r="B698" s="231"/>
      <c r="C698" s="241"/>
    </row>
    <row r="699" spans="2:3" x14ac:dyDescent="0.25">
      <c r="B699" s="231"/>
      <c r="C699" s="241"/>
    </row>
    <row r="700" spans="2:3" x14ac:dyDescent="0.25">
      <c r="B700" s="231"/>
      <c r="C700" s="241"/>
    </row>
    <row r="701" spans="2:3" x14ac:dyDescent="0.25">
      <c r="B701" s="231"/>
      <c r="C701" s="241"/>
    </row>
    <row r="702" spans="2:3" x14ac:dyDescent="0.25">
      <c r="B702" s="231"/>
      <c r="C702" s="241"/>
    </row>
    <row r="703" spans="2:3" x14ac:dyDescent="0.25">
      <c r="B703" s="231"/>
      <c r="C703" s="241"/>
    </row>
    <row r="704" spans="2:3" x14ac:dyDescent="0.25">
      <c r="B704" s="231"/>
      <c r="C704" s="241"/>
    </row>
    <row r="705" spans="2:3" x14ac:dyDescent="0.25">
      <c r="B705" s="231"/>
      <c r="C705" s="241"/>
    </row>
    <row r="706" spans="2:3" x14ac:dyDescent="0.25">
      <c r="B706" s="231"/>
      <c r="C706" s="241"/>
    </row>
    <row r="707" spans="2:3" x14ac:dyDescent="0.25">
      <c r="B707" s="231"/>
      <c r="C707" s="241"/>
    </row>
    <row r="708" spans="2:3" x14ac:dyDescent="0.25">
      <c r="B708" s="231"/>
      <c r="C708" s="241"/>
    </row>
    <row r="709" spans="2:3" x14ac:dyDescent="0.25">
      <c r="B709" s="231"/>
      <c r="C709" s="241"/>
    </row>
    <row r="710" spans="2:3" x14ac:dyDescent="0.25">
      <c r="B710" s="231"/>
      <c r="C710" s="241"/>
    </row>
    <row r="711" spans="2:3" x14ac:dyDescent="0.25">
      <c r="B711" s="231"/>
      <c r="C711" s="241"/>
    </row>
    <row r="712" spans="2:3" x14ac:dyDescent="0.25">
      <c r="B712" s="231"/>
      <c r="C712" s="241"/>
    </row>
    <row r="713" spans="2:3" x14ac:dyDescent="0.25">
      <c r="B713" s="231"/>
      <c r="C713" s="241"/>
    </row>
    <row r="714" spans="2:3" x14ac:dyDescent="0.25">
      <c r="B714" s="231"/>
      <c r="C714" s="241"/>
    </row>
    <row r="715" spans="2:3" x14ac:dyDescent="0.25">
      <c r="B715" s="231"/>
      <c r="C715" s="241"/>
    </row>
    <row r="716" spans="2:3" x14ac:dyDescent="0.25">
      <c r="B716" s="231"/>
      <c r="C716" s="241"/>
    </row>
    <row r="717" spans="2:3" x14ac:dyDescent="0.25">
      <c r="B717" s="231"/>
      <c r="C717" s="241"/>
    </row>
    <row r="718" spans="2:3" x14ac:dyDescent="0.25">
      <c r="B718" s="231"/>
      <c r="C718" s="241"/>
    </row>
    <row r="719" spans="2:3" x14ac:dyDescent="0.25">
      <c r="B719" s="231"/>
      <c r="C719" s="241"/>
    </row>
    <row r="720" spans="2:3" x14ac:dyDescent="0.25">
      <c r="B720" s="231"/>
      <c r="C720" s="241"/>
    </row>
    <row r="721" spans="2:3" x14ac:dyDescent="0.25">
      <c r="B721" s="231"/>
      <c r="C721" s="241"/>
    </row>
    <row r="722" spans="2:3" x14ac:dyDescent="0.25">
      <c r="B722" s="231"/>
      <c r="C722" s="241"/>
    </row>
    <row r="723" spans="2:3" x14ac:dyDescent="0.25">
      <c r="B723" s="231"/>
      <c r="C723" s="241"/>
    </row>
    <row r="724" spans="2:3" x14ac:dyDescent="0.25">
      <c r="B724" s="231"/>
      <c r="C724" s="241"/>
    </row>
    <row r="725" spans="2:3" x14ac:dyDescent="0.25">
      <c r="B725" s="231"/>
      <c r="C725" s="241"/>
    </row>
    <row r="726" spans="2:3" x14ac:dyDescent="0.25">
      <c r="B726" s="231"/>
      <c r="C726" s="241"/>
    </row>
    <row r="727" spans="2:3" x14ac:dyDescent="0.25">
      <c r="B727" s="231"/>
      <c r="C727" s="241"/>
    </row>
    <row r="728" spans="2:3" x14ac:dyDescent="0.25">
      <c r="B728" s="231"/>
      <c r="C728" s="241"/>
    </row>
    <row r="729" spans="2:3" x14ac:dyDescent="0.25">
      <c r="B729" s="231"/>
      <c r="C729" s="241"/>
    </row>
    <row r="730" spans="2:3" x14ac:dyDescent="0.25">
      <c r="B730" s="231"/>
      <c r="C730" s="241"/>
    </row>
    <row r="731" spans="2:3" x14ac:dyDescent="0.25">
      <c r="B731" s="231"/>
      <c r="C731" s="241"/>
    </row>
    <row r="732" spans="2:3" x14ac:dyDescent="0.25">
      <c r="B732" s="231"/>
      <c r="C732" s="241"/>
    </row>
    <row r="733" spans="2:3" x14ac:dyDescent="0.25">
      <c r="B733" s="231"/>
      <c r="C733" s="241"/>
    </row>
    <row r="734" spans="2:3" x14ac:dyDescent="0.25">
      <c r="B734" s="231"/>
      <c r="C734" s="241"/>
    </row>
    <row r="735" spans="2:3" x14ac:dyDescent="0.25">
      <c r="B735" s="231"/>
      <c r="C735" s="241"/>
    </row>
    <row r="736" spans="2:3" x14ac:dyDescent="0.25">
      <c r="B736" s="231"/>
      <c r="C736" s="241"/>
    </row>
    <row r="737" spans="2:3" x14ac:dyDescent="0.25">
      <c r="B737" s="231"/>
      <c r="C737" s="241"/>
    </row>
    <row r="738" spans="2:3" x14ac:dyDescent="0.25">
      <c r="B738" s="231"/>
      <c r="C738" s="241"/>
    </row>
    <row r="739" spans="2:3" x14ac:dyDescent="0.25">
      <c r="B739" s="231"/>
      <c r="C739" s="241"/>
    </row>
    <row r="740" spans="2:3" x14ac:dyDescent="0.25">
      <c r="B740" s="231"/>
      <c r="C740" s="241"/>
    </row>
    <row r="741" spans="2:3" x14ac:dyDescent="0.25">
      <c r="B741" s="231"/>
      <c r="C741" s="241"/>
    </row>
    <row r="742" spans="2:3" x14ac:dyDescent="0.25">
      <c r="B742" s="231"/>
      <c r="C742" s="241"/>
    </row>
    <row r="743" spans="2:3" x14ac:dyDescent="0.25">
      <c r="B743" s="231"/>
      <c r="C743" s="241"/>
    </row>
    <row r="744" spans="2:3" x14ac:dyDescent="0.25">
      <c r="B744" s="231"/>
      <c r="C744" s="241"/>
    </row>
    <row r="745" spans="2:3" x14ac:dyDescent="0.25">
      <c r="B745" s="231"/>
      <c r="C745" s="241"/>
    </row>
    <row r="746" spans="2:3" x14ac:dyDescent="0.25">
      <c r="B746" s="231"/>
      <c r="C746" s="241"/>
    </row>
    <row r="747" spans="2:3" x14ac:dyDescent="0.25">
      <c r="B747" s="231"/>
      <c r="C747" s="241"/>
    </row>
    <row r="748" spans="2:3" x14ac:dyDescent="0.25">
      <c r="B748" s="231"/>
      <c r="C748" s="241"/>
    </row>
    <row r="749" spans="2:3" x14ac:dyDescent="0.25">
      <c r="B749" s="231"/>
      <c r="C749" s="241"/>
    </row>
    <row r="750" spans="2:3" x14ac:dyDescent="0.25">
      <c r="B750" s="231"/>
      <c r="C750" s="241"/>
    </row>
    <row r="751" spans="2:3" x14ac:dyDescent="0.25">
      <c r="B751" s="231"/>
      <c r="C751" s="241"/>
    </row>
    <row r="752" spans="2:3" x14ac:dyDescent="0.25">
      <c r="B752" s="231"/>
      <c r="C752" s="241"/>
    </row>
    <row r="753" spans="2:3" x14ac:dyDescent="0.25">
      <c r="B753" s="231"/>
      <c r="C753" s="241"/>
    </row>
    <row r="754" spans="2:3" x14ac:dyDescent="0.25">
      <c r="B754" s="231"/>
      <c r="C754" s="241"/>
    </row>
    <row r="755" spans="2:3" x14ac:dyDescent="0.25">
      <c r="B755" s="231"/>
      <c r="C755" s="241"/>
    </row>
    <row r="756" spans="2:3" x14ac:dyDescent="0.25">
      <c r="B756" s="231"/>
      <c r="C756" s="241"/>
    </row>
    <row r="757" spans="2:3" x14ac:dyDescent="0.25">
      <c r="B757" s="231"/>
      <c r="C757" s="241"/>
    </row>
    <row r="758" spans="2:3" x14ac:dyDescent="0.25">
      <c r="B758" s="231"/>
      <c r="C758" s="241"/>
    </row>
    <row r="759" spans="2:3" x14ac:dyDescent="0.25">
      <c r="B759" s="231"/>
      <c r="C759" s="241"/>
    </row>
    <row r="760" spans="2:3" x14ac:dyDescent="0.25">
      <c r="B760" s="231"/>
      <c r="C760" s="241"/>
    </row>
    <row r="761" spans="2:3" x14ac:dyDescent="0.25">
      <c r="B761" s="231"/>
      <c r="C761" s="241"/>
    </row>
    <row r="762" spans="2:3" x14ac:dyDescent="0.25">
      <c r="B762" s="231"/>
      <c r="C762" s="241"/>
    </row>
    <row r="763" spans="2:3" x14ac:dyDescent="0.25">
      <c r="B763" s="231"/>
      <c r="C763" s="241"/>
    </row>
    <row r="764" spans="2:3" x14ac:dyDescent="0.25">
      <c r="B764" s="231"/>
      <c r="C764" s="241"/>
    </row>
    <row r="765" spans="2:3" x14ac:dyDescent="0.25">
      <c r="B765" s="231"/>
      <c r="C765" s="241"/>
    </row>
    <row r="766" spans="2:3" x14ac:dyDescent="0.25">
      <c r="B766" s="231"/>
      <c r="C766" s="241"/>
    </row>
    <row r="767" spans="2:3" x14ac:dyDescent="0.25">
      <c r="B767" s="231"/>
      <c r="C767" s="241"/>
    </row>
    <row r="768" spans="2:3" x14ac:dyDescent="0.25">
      <c r="B768" s="231"/>
      <c r="C768" s="241"/>
    </row>
    <row r="769" spans="2:3" x14ac:dyDescent="0.25">
      <c r="B769" s="231"/>
      <c r="C769" s="241"/>
    </row>
    <row r="770" spans="2:3" x14ac:dyDescent="0.25">
      <c r="B770" s="231"/>
      <c r="C770" s="241"/>
    </row>
    <row r="771" spans="2:3" x14ac:dyDescent="0.25">
      <c r="B771" s="231"/>
      <c r="C771" s="241"/>
    </row>
    <row r="772" spans="2:3" x14ac:dyDescent="0.25">
      <c r="B772" s="231"/>
      <c r="C772" s="241"/>
    </row>
    <row r="773" spans="2:3" x14ac:dyDescent="0.25">
      <c r="B773" s="231"/>
      <c r="C773" s="241"/>
    </row>
    <row r="774" spans="2:3" x14ac:dyDescent="0.25">
      <c r="B774" s="231"/>
      <c r="C774" s="241"/>
    </row>
    <row r="775" spans="2:3" x14ac:dyDescent="0.25">
      <c r="B775" s="231"/>
      <c r="C775" s="241"/>
    </row>
    <row r="776" spans="2:3" x14ac:dyDescent="0.25">
      <c r="B776" s="231"/>
      <c r="C776" s="241"/>
    </row>
    <row r="777" spans="2:3" x14ac:dyDescent="0.25">
      <c r="B777" s="231"/>
      <c r="C777" s="241"/>
    </row>
    <row r="778" spans="2:3" x14ac:dyDescent="0.25">
      <c r="B778" s="231"/>
      <c r="C778" s="241"/>
    </row>
    <row r="779" spans="2:3" x14ac:dyDescent="0.25">
      <c r="B779" s="231"/>
      <c r="C779" s="241"/>
    </row>
    <row r="780" spans="2:3" x14ac:dyDescent="0.25">
      <c r="B780" s="231"/>
      <c r="C780" s="241"/>
    </row>
    <row r="781" spans="2:3" x14ac:dyDescent="0.25">
      <c r="B781" s="231"/>
      <c r="C781" s="241"/>
    </row>
    <row r="782" spans="2:3" x14ac:dyDescent="0.25">
      <c r="B782" s="231"/>
      <c r="C782" s="241"/>
    </row>
    <row r="783" spans="2:3" x14ac:dyDescent="0.25">
      <c r="B783" s="231"/>
      <c r="C783" s="241"/>
    </row>
    <row r="784" spans="2:3" x14ac:dyDescent="0.25">
      <c r="B784" s="231"/>
      <c r="C784" s="241"/>
    </row>
    <row r="785" spans="2:3" x14ac:dyDescent="0.25">
      <c r="B785" s="231"/>
      <c r="C785" s="241"/>
    </row>
    <row r="786" spans="2:3" x14ac:dyDescent="0.25">
      <c r="B786" s="231"/>
      <c r="C786" s="241"/>
    </row>
    <row r="787" spans="2:3" x14ac:dyDescent="0.25">
      <c r="B787" s="231"/>
      <c r="C787" s="241"/>
    </row>
    <row r="788" spans="2:3" x14ac:dyDescent="0.25">
      <c r="B788" s="231"/>
      <c r="C788" s="241"/>
    </row>
    <row r="789" spans="2:3" x14ac:dyDescent="0.25">
      <c r="B789" s="231"/>
      <c r="C789" s="241"/>
    </row>
    <row r="790" spans="2:3" x14ac:dyDescent="0.25">
      <c r="B790" s="231"/>
      <c r="C790" s="241"/>
    </row>
    <row r="791" spans="2:3" x14ac:dyDescent="0.25">
      <c r="B791" s="231"/>
      <c r="C791" s="241"/>
    </row>
    <row r="792" spans="2:3" x14ac:dyDescent="0.25">
      <c r="B792" s="231"/>
      <c r="C792" s="241"/>
    </row>
    <row r="793" spans="2:3" x14ac:dyDescent="0.25">
      <c r="B793" s="231"/>
      <c r="C793" s="241"/>
    </row>
    <row r="794" spans="2:3" x14ac:dyDescent="0.25">
      <c r="B794" s="231"/>
      <c r="C794" s="241"/>
    </row>
    <row r="795" spans="2:3" x14ac:dyDescent="0.25">
      <c r="B795" s="231"/>
      <c r="C795" s="241"/>
    </row>
    <row r="796" spans="2:3" x14ac:dyDescent="0.25">
      <c r="B796" s="231"/>
      <c r="C796" s="241"/>
    </row>
    <row r="797" spans="2:3" x14ac:dyDescent="0.25">
      <c r="B797" s="231"/>
      <c r="C797" s="241"/>
    </row>
    <row r="798" spans="2:3" x14ac:dyDescent="0.25">
      <c r="B798" s="231"/>
      <c r="C798" s="241"/>
    </row>
    <row r="799" spans="2:3" x14ac:dyDescent="0.25">
      <c r="B799" s="231"/>
      <c r="C799" s="241"/>
    </row>
    <row r="800" spans="2:3" x14ac:dyDescent="0.25">
      <c r="B800" s="231"/>
      <c r="C800" s="241"/>
    </row>
    <row r="801" spans="2:3" x14ac:dyDescent="0.25">
      <c r="B801" s="231"/>
      <c r="C801" s="241"/>
    </row>
    <row r="802" spans="2:3" x14ac:dyDescent="0.25">
      <c r="B802" s="231"/>
      <c r="C802" s="241"/>
    </row>
    <row r="803" spans="2:3" x14ac:dyDescent="0.25">
      <c r="B803" s="231"/>
      <c r="C803" s="241"/>
    </row>
    <row r="804" spans="2:3" x14ac:dyDescent="0.25">
      <c r="B804" s="231"/>
      <c r="C804" s="241"/>
    </row>
    <row r="805" spans="2:3" x14ac:dyDescent="0.25">
      <c r="B805" s="231"/>
      <c r="C805" s="241"/>
    </row>
    <row r="806" spans="2:3" x14ac:dyDescent="0.25">
      <c r="B806" s="231"/>
      <c r="C806" s="241"/>
    </row>
    <row r="807" spans="2:3" x14ac:dyDescent="0.25">
      <c r="B807" s="231"/>
      <c r="C807" s="241"/>
    </row>
    <row r="808" spans="2:3" x14ac:dyDescent="0.25">
      <c r="B808" s="231"/>
      <c r="C808" s="241"/>
    </row>
    <row r="809" spans="2:3" x14ac:dyDescent="0.25">
      <c r="B809" s="231"/>
      <c r="C809" s="241"/>
    </row>
    <row r="810" spans="2:3" x14ac:dyDescent="0.25">
      <c r="B810" s="231"/>
      <c r="C810" s="241"/>
    </row>
    <row r="811" spans="2:3" x14ac:dyDescent="0.25">
      <c r="B811" s="231"/>
      <c r="C811" s="241"/>
    </row>
    <row r="812" spans="2:3" x14ac:dyDescent="0.25">
      <c r="B812" s="231"/>
      <c r="C812" s="241"/>
    </row>
    <row r="813" spans="2:3" x14ac:dyDescent="0.25">
      <c r="B813" s="231"/>
      <c r="C813" s="241"/>
    </row>
    <row r="814" spans="2:3" x14ac:dyDescent="0.25">
      <c r="B814" s="231"/>
      <c r="C814" s="241"/>
    </row>
    <row r="815" spans="2:3" x14ac:dyDescent="0.25">
      <c r="B815" s="231"/>
      <c r="C815" s="241"/>
    </row>
    <row r="816" spans="2:3" x14ac:dyDescent="0.25">
      <c r="B816" s="231"/>
      <c r="C816" s="241"/>
    </row>
    <row r="817" spans="2:3" x14ac:dyDescent="0.25">
      <c r="B817" s="231"/>
      <c r="C817" s="241"/>
    </row>
    <row r="818" spans="2:3" x14ac:dyDescent="0.25">
      <c r="B818" s="231"/>
      <c r="C818" s="241"/>
    </row>
    <row r="819" spans="2:3" x14ac:dyDescent="0.25">
      <c r="B819" s="231"/>
      <c r="C819" s="241"/>
    </row>
    <row r="820" spans="2:3" x14ac:dyDescent="0.25">
      <c r="B820" s="231"/>
      <c r="C820" s="241"/>
    </row>
    <row r="821" spans="2:3" x14ac:dyDescent="0.25">
      <c r="B821" s="231"/>
      <c r="C821" s="241"/>
    </row>
    <row r="822" spans="2:3" x14ac:dyDescent="0.25">
      <c r="B822" s="231"/>
      <c r="C822" s="241"/>
    </row>
    <row r="823" spans="2:3" x14ac:dyDescent="0.25">
      <c r="B823" s="231"/>
      <c r="C823" s="241"/>
    </row>
    <row r="824" spans="2:3" x14ac:dyDescent="0.25">
      <c r="B824" s="231"/>
      <c r="C824" s="241"/>
    </row>
    <row r="825" spans="2:3" x14ac:dyDescent="0.25">
      <c r="B825" s="231"/>
      <c r="C825" s="241"/>
    </row>
    <row r="826" spans="2:3" x14ac:dyDescent="0.25">
      <c r="B826" s="231"/>
      <c r="C826" s="241"/>
    </row>
    <row r="827" spans="2:3" x14ac:dyDescent="0.25">
      <c r="B827" s="231"/>
      <c r="C827" s="241"/>
    </row>
    <row r="828" spans="2:3" x14ac:dyDescent="0.25">
      <c r="B828" s="231"/>
      <c r="C828" s="241"/>
    </row>
    <row r="829" spans="2:3" x14ac:dyDescent="0.25">
      <c r="B829" s="231"/>
      <c r="C829" s="241"/>
    </row>
    <row r="830" spans="2:3" x14ac:dyDescent="0.25">
      <c r="B830" s="231"/>
      <c r="C830" s="241"/>
    </row>
    <row r="831" spans="2:3" x14ac:dyDescent="0.25">
      <c r="B831" s="231"/>
      <c r="C831" s="241"/>
    </row>
    <row r="832" spans="2:3" x14ac:dyDescent="0.25">
      <c r="B832" s="231"/>
      <c r="C832" s="241"/>
    </row>
    <row r="833" spans="2:3" x14ac:dyDescent="0.25">
      <c r="B833" s="231"/>
      <c r="C833" s="241"/>
    </row>
    <row r="834" spans="2:3" x14ac:dyDescent="0.25">
      <c r="B834" s="231"/>
      <c r="C834" s="241"/>
    </row>
    <row r="835" spans="2:3" x14ac:dyDescent="0.25">
      <c r="B835" s="231"/>
      <c r="C835" s="241"/>
    </row>
    <row r="836" spans="2:3" x14ac:dyDescent="0.25">
      <c r="B836" s="231"/>
      <c r="C836" s="241"/>
    </row>
    <row r="837" spans="2:3" x14ac:dyDescent="0.25">
      <c r="B837" s="231"/>
      <c r="C837" s="241"/>
    </row>
    <row r="838" spans="2:3" x14ac:dyDescent="0.25">
      <c r="B838" s="231"/>
      <c r="C838" s="241"/>
    </row>
    <row r="839" spans="2:3" x14ac:dyDescent="0.25">
      <c r="B839" s="231"/>
      <c r="C839" s="241"/>
    </row>
    <row r="840" spans="2:3" x14ac:dyDescent="0.25">
      <c r="B840" s="231"/>
      <c r="C840" s="241"/>
    </row>
    <row r="841" spans="2:3" x14ac:dyDescent="0.25">
      <c r="B841" s="231"/>
      <c r="C841" s="241"/>
    </row>
    <row r="842" spans="2:3" x14ac:dyDescent="0.25">
      <c r="B842" s="231"/>
      <c r="C842" s="241"/>
    </row>
    <row r="843" spans="2:3" x14ac:dyDescent="0.25">
      <c r="B843" s="231"/>
      <c r="C843" s="241"/>
    </row>
    <row r="844" spans="2:3" x14ac:dyDescent="0.25">
      <c r="B844" s="231"/>
      <c r="C844" s="241"/>
    </row>
    <row r="845" spans="2:3" x14ac:dyDescent="0.25">
      <c r="B845" s="231"/>
      <c r="C845" s="241"/>
    </row>
    <row r="846" spans="2:3" x14ac:dyDescent="0.25">
      <c r="B846" s="231"/>
      <c r="C846" s="241"/>
    </row>
    <row r="847" spans="2:3" x14ac:dyDescent="0.25">
      <c r="B847" s="231"/>
      <c r="C847" s="241"/>
    </row>
    <row r="848" spans="2:3" x14ac:dyDescent="0.25">
      <c r="B848" s="231"/>
      <c r="C848" s="241"/>
    </row>
    <row r="849" spans="2:3" x14ac:dyDescent="0.25">
      <c r="B849" s="231"/>
      <c r="C849" s="241"/>
    </row>
    <row r="850" spans="2:3" x14ac:dyDescent="0.25">
      <c r="B850" s="231"/>
      <c r="C850" s="241"/>
    </row>
    <row r="851" spans="2:3" x14ac:dyDescent="0.25">
      <c r="B851" s="231"/>
      <c r="C851" s="241"/>
    </row>
    <row r="852" spans="2:3" x14ac:dyDescent="0.25">
      <c r="B852" s="231"/>
      <c r="C852" s="241"/>
    </row>
    <row r="853" spans="2:3" x14ac:dyDescent="0.25">
      <c r="B853" s="231"/>
      <c r="C853" s="241"/>
    </row>
    <row r="854" spans="2:3" x14ac:dyDescent="0.25">
      <c r="B854" s="231"/>
      <c r="C854" s="241"/>
    </row>
    <row r="855" spans="2:3" x14ac:dyDescent="0.25">
      <c r="B855" s="231"/>
      <c r="C855" s="241"/>
    </row>
    <row r="856" spans="2:3" x14ac:dyDescent="0.25">
      <c r="B856" s="231"/>
      <c r="C856" s="241"/>
    </row>
    <row r="857" spans="2:3" x14ac:dyDescent="0.25">
      <c r="B857" s="231"/>
      <c r="C857" s="241"/>
    </row>
    <row r="858" spans="2:3" x14ac:dyDescent="0.25">
      <c r="B858" s="231"/>
      <c r="C858" s="241"/>
    </row>
    <row r="859" spans="2:3" x14ac:dyDescent="0.25">
      <c r="B859" s="231"/>
      <c r="C859" s="241"/>
    </row>
    <row r="860" spans="2:3" x14ac:dyDescent="0.25">
      <c r="B860" s="231"/>
      <c r="C860" s="241"/>
    </row>
    <row r="861" spans="2:3" x14ac:dyDescent="0.25">
      <c r="B861" s="231"/>
      <c r="C861" s="241"/>
    </row>
    <row r="862" spans="2:3" x14ac:dyDescent="0.25">
      <c r="B862" s="231"/>
      <c r="C862" s="241"/>
    </row>
    <row r="863" spans="2:3" x14ac:dyDescent="0.25">
      <c r="B863" s="231"/>
      <c r="C863" s="241"/>
    </row>
    <row r="864" spans="2:3" x14ac:dyDescent="0.25">
      <c r="B864" s="231"/>
      <c r="C864" s="241"/>
    </row>
    <row r="865" spans="2:3" x14ac:dyDescent="0.25">
      <c r="B865" s="231"/>
      <c r="C865" s="241"/>
    </row>
    <row r="866" spans="2:3" x14ac:dyDescent="0.25">
      <c r="B866" s="231"/>
      <c r="C866" s="241"/>
    </row>
    <row r="867" spans="2:3" x14ac:dyDescent="0.25">
      <c r="B867" s="231"/>
      <c r="C867" s="241"/>
    </row>
    <row r="868" spans="2:3" x14ac:dyDescent="0.25">
      <c r="B868" s="231"/>
      <c r="C868" s="241"/>
    </row>
    <row r="869" spans="2:3" x14ac:dyDescent="0.25">
      <c r="B869" s="231"/>
      <c r="C869" s="241"/>
    </row>
    <row r="870" spans="2:3" x14ac:dyDescent="0.25">
      <c r="B870" s="231"/>
      <c r="C870" s="241"/>
    </row>
    <row r="871" spans="2:3" x14ac:dyDescent="0.25">
      <c r="B871" s="231"/>
      <c r="C871" s="241"/>
    </row>
    <row r="872" spans="2:3" x14ac:dyDescent="0.25">
      <c r="B872" s="231"/>
      <c r="C872" s="241"/>
    </row>
    <row r="873" spans="2:3" x14ac:dyDescent="0.25">
      <c r="B873" s="231"/>
      <c r="C873" s="241"/>
    </row>
    <row r="874" spans="2:3" x14ac:dyDescent="0.25">
      <c r="B874" s="231"/>
      <c r="C874" s="241"/>
    </row>
    <row r="875" spans="2:3" x14ac:dyDescent="0.25">
      <c r="B875" s="231"/>
      <c r="C875" s="241"/>
    </row>
    <row r="876" spans="2:3" x14ac:dyDescent="0.25">
      <c r="B876" s="231"/>
      <c r="C876" s="241"/>
    </row>
    <row r="877" spans="2:3" x14ac:dyDescent="0.25">
      <c r="B877" s="231"/>
      <c r="C877" s="241"/>
    </row>
    <row r="878" spans="2:3" x14ac:dyDescent="0.25">
      <c r="B878" s="231"/>
      <c r="C878" s="241"/>
    </row>
    <row r="879" spans="2:3" x14ac:dyDescent="0.25">
      <c r="B879" s="231"/>
      <c r="C879" s="241"/>
    </row>
    <row r="880" spans="2:3" x14ac:dyDescent="0.25">
      <c r="B880" s="231"/>
      <c r="C880" s="241"/>
    </row>
    <row r="881" spans="2:3" x14ac:dyDescent="0.25">
      <c r="B881" s="231"/>
      <c r="C881" s="241"/>
    </row>
    <row r="882" spans="2:3" x14ac:dyDescent="0.25">
      <c r="B882" s="231"/>
      <c r="C882" s="241"/>
    </row>
    <row r="883" spans="2:3" x14ac:dyDescent="0.25">
      <c r="B883" s="231"/>
      <c r="C883" s="241"/>
    </row>
    <row r="884" spans="2:3" x14ac:dyDescent="0.25">
      <c r="B884" s="231"/>
      <c r="C884" s="241"/>
    </row>
    <row r="885" spans="2:3" x14ac:dyDescent="0.25">
      <c r="B885" s="231"/>
      <c r="C885" s="241"/>
    </row>
    <row r="886" spans="2:3" x14ac:dyDescent="0.25">
      <c r="B886" s="231"/>
      <c r="C886" s="241"/>
    </row>
    <row r="887" spans="2:3" x14ac:dyDescent="0.25">
      <c r="B887" s="231"/>
      <c r="C887" s="241"/>
    </row>
    <row r="888" spans="2:3" x14ac:dyDescent="0.25">
      <c r="B888" s="231"/>
      <c r="C888" s="241"/>
    </row>
    <row r="889" spans="2:3" x14ac:dyDescent="0.25">
      <c r="B889" s="231"/>
      <c r="C889" s="241"/>
    </row>
    <row r="890" spans="2:3" x14ac:dyDescent="0.25">
      <c r="B890" s="231"/>
      <c r="C890" s="241"/>
    </row>
    <row r="891" spans="2:3" x14ac:dyDescent="0.25">
      <c r="B891" s="231"/>
      <c r="C891" s="241"/>
    </row>
    <row r="892" spans="2:3" x14ac:dyDescent="0.25">
      <c r="B892" s="231"/>
      <c r="C892" s="241"/>
    </row>
    <row r="893" spans="2:3" x14ac:dyDescent="0.25">
      <c r="B893" s="231"/>
      <c r="C893" s="241"/>
    </row>
    <row r="894" spans="2:3" x14ac:dyDescent="0.25">
      <c r="B894" s="231"/>
      <c r="C894" s="241"/>
    </row>
    <row r="895" spans="2:3" x14ac:dyDescent="0.25">
      <c r="B895" s="231"/>
      <c r="C895" s="241"/>
    </row>
    <row r="896" spans="2:3" x14ac:dyDescent="0.25">
      <c r="B896" s="231"/>
      <c r="C896" s="241"/>
    </row>
    <row r="897" spans="2:3" x14ac:dyDescent="0.25">
      <c r="B897" s="231"/>
      <c r="C897" s="241"/>
    </row>
    <row r="898" spans="2:3" x14ac:dyDescent="0.25">
      <c r="B898" s="231"/>
      <c r="C898" s="241"/>
    </row>
    <row r="899" spans="2:3" x14ac:dyDescent="0.25">
      <c r="B899" s="231"/>
      <c r="C899" s="241"/>
    </row>
    <row r="900" spans="2:3" x14ac:dyDescent="0.25">
      <c r="B900" s="231"/>
      <c r="C900" s="241"/>
    </row>
    <row r="901" spans="2:3" x14ac:dyDescent="0.25">
      <c r="B901" s="231"/>
      <c r="C901" s="241"/>
    </row>
    <row r="902" spans="2:3" x14ac:dyDescent="0.25">
      <c r="B902" s="231"/>
      <c r="C902" s="241"/>
    </row>
    <row r="903" spans="2:3" x14ac:dyDescent="0.25">
      <c r="B903" s="231"/>
      <c r="C903" s="241"/>
    </row>
    <row r="904" spans="2:3" x14ac:dyDescent="0.25">
      <c r="B904" s="231"/>
      <c r="C904" s="241"/>
    </row>
    <row r="905" spans="2:3" x14ac:dyDescent="0.25">
      <c r="B905" s="231"/>
      <c r="C905" s="241"/>
    </row>
    <row r="906" spans="2:3" x14ac:dyDescent="0.25">
      <c r="B906" s="231"/>
      <c r="C906" s="241"/>
    </row>
    <row r="907" spans="2:3" x14ac:dyDescent="0.25">
      <c r="B907" s="231"/>
      <c r="C907" s="241"/>
    </row>
    <row r="908" spans="2:3" x14ac:dyDescent="0.25">
      <c r="B908" s="231"/>
      <c r="C908" s="241"/>
    </row>
    <row r="909" spans="2:3" x14ac:dyDescent="0.25">
      <c r="B909" s="231"/>
      <c r="C909" s="241"/>
    </row>
    <row r="910" spans="2:3" x14ac:dyDescent="0.25">
      <c r="B910" s="231"/>
      <c r="C910" s="241"/>
    </row>
    <row r="911" spans="2:3" x14ac:dyDescent="0.25">
      <c r="B911" s="231"/>
      <c r="C911" s="241"/>
    </row>
    <row r="912" spans="2:3" x14ac:dyDescent="0.25">
      <c r="B912" s="231"/>
      <c r="C912" s="241"/>
    </row>
    <row r="913" spans="2:3" x14ac:dyDescent="0.25">
      <c r="B913" s="231"/>
      <c r="C913" s="241"/>
    </row>
    <row r="914" spans="2:3" x14ac:dyDescent="0.25">
      <c r="B914" s="231"/>
      <c r="C914" s="241"/>
    </row>
    <row r="915" spans="2:3" x14ac:dyDescent="0.25">
      <c r="B915" s="231"/>
      <c r="C915" s="241"/>
    </row>
    <row r="916" spans="2:3" x14ac:dyDescent="0.25">
      <c r="B916" s="231"/>
      <c r="C916" s="241"/>
    </row>
    <row r="917" spans="2:3" x14ac:dyDescent="0.25">
      <c r="B917" s="231"/>
      <c r="C917" s="241"/>
    </row>
    <row r="918" spans="2:3" x14ac:dyDescent="0.25">
      <c r="B918" s="231"/>
      <c r="C918" s="241"/>
    </row>
    <row r="919" spans="2:3" x14ac:dyDescent="0.25">
      <c r="B919" s="231"/>
      <c r="C919" s="241"/>
    </row>
    <row r="920" spans="2:3" x14ac:dyDescent="0.25">
      <c r="B920" s="231"/>
      <c r="C920" s="241"/>
    </row>
    <row r="921" spans="2:3" x14ac:dyDescent="0.25">
      <c r="B921" s="231"/>
      <c r="C921" s="241"/>
    </row>
    <row r="922" spans="2:3" x14ac:dyDescent="0.25">
      <c r="B922" s="231"/>
      <c r="C922" s="241"/>
    </row>
    <row r="923" spans="2:3" x14ac:dyDescent="0.25">
      <c r="B923" s="231"/>
      <c r="C923" s="241"/>
    </row>
    <row r="924" spans="2:3" x14ac:dyDescent="0.25">
      <c r="B924" s="231"/>
      <c r="C924" s="241"/>
    </row>
    <row r="925" spans="2:3" x14ac:dyDescent="0.25">
      <c r="B925" s="231"/>
      <c r="C925" s="241"/>
    </row>
    <row r="926" spans="2:3" x14ac:dyDescent="0.25">
      <c r="B926" s="231"/>
      <c r="C926" s="241"/>
    </row>
    <row r="927" spans="2:3" x14ac:dyDescent="0.25">
      <c r="B927" s="231"/>
      <c r="C927" s="241"/>
    </row>
    <row r="928" spans="2:3" x14ac:dyDescent="0.25">
      <c r="B928" s="231"/>
      <c r="C928" s="241"/>
    </row>
    <row r="929" spans="2:3" x14ac:dyDescent="0.25">
      <c r="B929" s="231"/>
      <c r="C929" s="241"/>
    </row>
  </sheetData>
  <mergeCells count="2">
    <mergeCell ref="A1:B1"/>
    <mergeCell ref="B18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898"/>
  <sheetViews>
    <sheetView topLeftCell="B1"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 x14ac:dyDescent="0.25"/>
  <cols>
    <col min="1" max="1" width="2.21875" customWidth="1"/>
    <col min="2" max="2" width="40.77734375" customWidth="1"/>
    <col min="4" max="4" width="19" customWidth="1"/>
  </cols>
  <sheetData>
    <row r="1" spans="1:42" ht="13.2" x14ac:dyDescent="0.25">
      <c r="A1" s="457" t="s">
        <v>144</v>
      </c>
      <c r="B1" s="442"/>
      <c r="C1" s="66"/>
      <c r="D1" s="66"/>
      <c r="E1" s="66"/>
      <c r="F1" s="65"/>
      <c r="G1" s="66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</row>
    <row r="2" spans="1:42" ht="13.2" x14ac:dyDescent="0.25">
      <c r="A2" s="351"/>
      <c r="B2" s="352"/>
      <c r="C2" s="353" t="s">
        <v>108</v>
      </c>
      <c r="D2" s="353" t="s">
        <v>109</v>
      </c>
      <c r="E2" s="353" t="s">
        <v>110</v>
      </c>
      <c r="F2" s="354" t="s">
        <v>145</v>
      </c>
      <c r="G2" s="355" t="s">
        <v>20</v>
      </c>
      <c r="H2" s="355" t="s">
        <v>21</v>
      </c>
      <c r="I2" s="355" t="s">
        <v>22</v>
      </c>
      <c r="J2" s="355" t="s">
        <v>23</v>
      </c>
      <c r="K2" s="355" t="s">
        <v>24</v>
      </c>
      <c r="L2" s="355" t="s">
        <v>25</v>
      </c>
      <c r="M2" s="355" t="s">
        <v>26</v>
      </c>
      <c r="N2" s="355" t="s">
        <v>27</v>
      </c>
      <c r="O2" s="355" t="s">
        <v>28</v>
      </c>
      <c r="P2" s="355" t="s">
        <v>29</v>
      </c>
      <c r="Q2" s="355" t="s">
        <v>30</v>
      </c>
      <c r="R2" s="355" t="s">
        <v>31</v>
      </c>
      <c r="S2" s="355" t="s">
        <v>32</v>
      </c>
      <c r="T2" s="355" t="s">
        <v>33</v>
      </c>
      <c r="U2" s="355" t="s">
        <v>34</v>
      </c>
      <c r="V2" s="355" t="s">
        <v>35</v>
      </c>
      <c r="W2" s="355" t="s">
        <v>36</v>
      </c>
      <c r="X2" s="355" t="s">
        <v>37</v>
      </c>
      <c r="Y2" s="355" t="s">
        <v>38</v>
      </c>
      <c r="Z2" s="355" t="s">
        <v>39</v>
      </c>
      <c r="AA2" s="355" t="s">
        <v>40</v>
      </c>
      <c r="AB2" s="355" t="s">
        <v>41</v>
      </c>
      <c r="AC2" s="355" t="s">
        <v>42</v>
      </c>
      <c r="AD2" s="355" t="s">
        <v>43</v>
      </c>
      <c r="AE2" s="355" t="s">
        <v>44</v>
      </c>
      <c r="AF2" s="355" t="s">
        <v>45</v>
      </c>
      <c r="AG2" s="355" t="s">
        <v>46</v>
      </c>
      <c r="AH2" s="355" t="s">
        <v>47</v>
      </c>
      <c r="AI2" s="355" t="s">
        <v>48</v>
      </c>
      <c r="AJ2" s="355" t="s">
        <v>49</v>
      </c>
      <c r="AK2" s="355" t="s">
        <v>50</v>
      </c>
      <c r="AL2" s="356"/>
      <c r="AM2" s="314"/>
      <c r="AN2" s="314"/>
      <c r="AO2" s="314"/>
      <c r="AP2" s="314"/>
    </row>
    <row r="3" spans="1:42" ht="13.2" x14ac:dyDescent="0.25">
      <c r="A3" s="357"/>
      <c r="B3" s="358"/>
      <c r="C3" s="357"/>
      <c r="D3" s="357"/>
      <c r="E3" s="359"/>
      <c r="F3" s="357"/>
      <c r="G3" s="360"/>
      <c r="H3" s="360"/>
      <c r="I3" s="360"/>
      <c r="J3" s="360"/>
      <c r="K3" s="360"/>
      <c r="L3" s="360"/>
      <c r="M3" s="360"/>
      <c r="N3" s="360"/>
      <c r="O3" s="360"/>
      <c r="P3" s="360"/>
      <c r="Q3" s="360"/>
      <c r="R3" s="360"/>
      <c r="S3" s="360"/>
      <c r="T3" s="360"/>
      <c r="U3" s="360"/>
      <c r="V3" s="360"/>
      <c r="W3" s="360"/>
      <c r="X3" s="360"/>
      <c r="Y3" s="360"/>
      <c r="Z3" s="360"/>
      <c r="AA3" s="360"/>
      <c r="AB3" s="360"/>
      <c r="AC3" s="360"/>
      <c r="AD3" s="360"/>
      <c r="AE3" s="360"/>
      <c r="AF3" s="360"/>
      <c r="AG3" s="360"/>
      <c r="AH3" s="360"/>
      <c r="AI3" s="360"/>
      <c r="AJ3" s="360"/>
      <c r="AK3" s="360"/>
      <c r="AL3" s="360"/>
      <c r="AM3" s="73"/>
      <c r="AN3" s="73"/>
      <c r="AO3" s="73"/>
      <c r="AP3" s="73"/>
    </row>
    <row r="4" spans="1:42" ht="13.2" x14ac:dyDescent="0.25">
      <c r="A4" s="361"/>
      <c r="B4" s="362" t="s">
        <v>262</v>
      </c>
      <c r="C4" s="363" t="s">
        <v>167</v>
      </c>
      <c r="D4" s="361"/>
      <c r="E4" s="361"/>
      <c r="F4" s="361"/>
      <c r="G4" s="361">
        <f>'P&amp;L'!G20+IS!G123+IS!G73+IS!G85</f>
        <v>-50368.537500000006</v>
      </c>
      <c r="H4" s="361">
        <f>'P&amp;L'!H20+IS!H123+IS!H73+IS!H85</f>
        <v>-54639.048550178559</v>
      </c>
      <c r="I4" s="361">
        <f>'P&amp;L'!I20+IS!I123+IS!I73+IS!I85</f>
        <v>95603.291586959473</v>
      </c>
      <c r="J4" s="361">
        <f>'P&amp;L'!J20+IS!J123+IS!J73+IS!J85</f>
        <v>72957.565914070583</v>
      </c>
      <c r="K4" s="361">
        <f>'P&amp;L'!K20+IS!K123+IS!K73+IS!K85</f>
        <v>56381.535277715651</v>
      </c>
      <c r="L4" s="361">
        <f>'P&amp;L'!L20+IS!L123+IS!L73+IS!L85</f>
        <v>40572.330899134104</v>
      </c>
      <c r="M4" s="361">
        <f>'P&amp;L'!M20+IS!M123+IS!M73+IS!M85</f>
        <v>-1534.5276713933454</v>
      </c>
      <c r="N4" s="361">
        <f>'P&amp;L'!N20+IS!N123+IS!N73+IS!N85</f>
        <v>-10009.392208998073</v>
      </c>
      <c r="O4" s="361">
        <f>'P&amp;L'!O20+IS!O123+IS!O73+IS!O85</f>
        <v>-63081.144140192919</v>
      </c>
      <c r="P4" s="361">
        <f>'P&amp;L'!P20+IS!P123+IS!P73+IS!P85</f>
        <v>-78131.706669075473</v>
      </c>
      <c r="Q4" s="361">
        <f>'P&amp;L'!Q20+IS!Q123+IS!Q73+IS!Q85</f>
        <v>2678170.2517870371</v>
      </c>
      <c r="R4" s="361">
        <f>'P&amp;L'!R20+IS!R123+IS!R73+IS!R85</f>
        <v>4567281.1268502055</v>
      </c>
      <c r="S4" s="361">
        <f>'P&amp;L'!S20+IS!S123+IS!S73+IS!S85</f>
        <v>8998372.3461726829</v>
      </c>
      <c r="T4" s="361">
        <f>'P&amp;L'!T20+IS!T123+IS!T73+IS!T85</f>
        <v>7586012.8896999378</v>
      </c>
      <c r="U4" s="361">
        <f>'P&amp;L'!U20</f>
        <v>5650342.6527072527</v>
      </c>
      <c r="V4" s="361">
        <f>'P&amp;L'!V20</f>
        <v>5900068.7710295934</v>
      </c>
      <c r="W4" s="361">
        <f>'P&amp;L'!W20</f>
        <v>6167511.069512805</v>
      </c>
      <c r="X4" s="361">
        <f>'P&amp;L'!X20</f>
        <v>5611988.3068836583</v>
      </c>
      <c r="Y4" s="361">
        <f>'P&amp;L'!Y20</f>
        <v>6213393.230359097</v>
      </c>
      <c r="Z4" s="361">
        <f>'P&amp;L'!Z20</f>
        <v>6627630.0201796144</v>
      </c>
      <c r="AA4" s="361">
        <f>'P&amp;L'!AA20</f>
        <v>6454050.8097185204</v>
      </c>
      <c r="AB4" s="361">
        <f>'P&amp;L'!AB20</f>
        <v>6392904.6212221254</v>
      </c>
      <c r="AC4" s="361">
        <f>'P&amp;L'!AC20</f>
        <v>6735025.4605215788</v>
      </c>
      <c r="AD4" s="361">
        <f>'P&amp;L'!AD20</f>
        <v>6177176.4242550768</v>
      </c>
      <c r="AE4" s="361">
        <f>'P&amp;L'!AE20</f>
        <v>5949548.0140641034</v>
      </c>
      <c r="AF4" s="361">
        <f>'P&amp;L'!AF20</f>
        <v>5826542.6841128143</v>
      </c>
      <c r="AG4" s="361">
        <f>'P&amp;L'!AG20</f>
        <v>3600461.0762073263</v>
      </c>
      <c r="AH4" s="361">
        <f>'P&amp;L'!AH20</f>
        <v>3793151.7025326849</v>
      </c>
      <c r="AI4" s="361">
        <f>'P&amp;L'!AI20</f>
        <v>1056682.9276077307</v>
      </c>
      <c r="AJ4" s="361">
        <f>'P&amp;L'!AJ20</f>
        <v>6227371.1345406678</v>
      </c>
      <c r="AK4" s="361">
        <f>'P&amp;L'!AK20</f>
        <v>5288811.2156619374</v>
      </c>
      <c r="AL4" s="361"/>
      <c r="AM4" s="364"/>
      <c r="AN4" s="364"/>
      <c r="AO4" s="364"/>
      <c r="AP4" s="364"/>
    </row>
    <row r="5" spans="1:42" ht="15" customHeight="1" x14ac:dyDescent="0.25">
      <c r="A5" s="365"/>
      <c r="B5" s="362" t="s">
        <v>263</v>
      </c>
      <c r="C5" s="363" t="s">
        <v>167</v>
      </c>
      <c r="D5" s="365"/>
      <c r="E5" s="365"/>
      <c r="F5" s="365"/>
      <c r="G5" s="361">
        <f>'P&amp;L'!G14</f>
        <v>0</v>
      </c>
      <c r="H5" s="361">
        <f>'P&amp;L'!H14</f>
        <v>1898.0104395544488</v>
      </c>
      <c r="I5" s="361">
        <f>'P&amp;L'!I14</f>
        <v>3842.6065372348498</v>
      </c>
      <c r="J5" s="361">
        <f>'P&amp;L'!J14</f>
        <v>13614.173669174243</v>
      </c>
      <c r="K5" s="361">
        <f>'P&amp;L'!K14</f>
        <v>15750.000000000004</v>
      </c>
      <c r="L5" s="361">
        <f>'P&amp;L'!L14</f>
        <v>17936.198653789546</v>
      </c>
      <c r="M5" s="361">
        <f>'P&amp;L'!M14</f>
        <v>20173.684320482967</v>
      </c>
      <c r="N5" s="361">
        <f>'P&amp;L'!N14</f>
        <v>22463.386554137509</v>
      </c>
      <c r="O5" s="361">
        <f>'P&amp;L'!O14</f>
        <v>24806.250000000015</v>
      </c>
      <c r="P5" s="361">
        <f>'P&amp;L'!P14</f>
        <v>27203.234624914156</v>
      </c>
      <c r="Q5" s="361">
        <f>'P&amp;L'!Q14</f>
        <v>39441.570214976266</v>
      </c>
      <c r="R5" s="361">
        <f>'P&amp;L'!R14</f>
        <v>22814.632234802211</v>
      </c>
      <c r="S5" s="361">
        <f>'P&amp;L'!S14</f>
        <v>329098.3171875003</v>
      </c>
      <c r="T5" s="361">
        <f>'P&amp;L'!T14</f>
        <v>797775.66022754519</v>
      </c>
      <c r="U5" s="361">
        <f>'P&amp;L'!U14</f>
        <v>807566.15015163936</v>
      </c>
      <c r="V5" s="361">
        <f>'P&amp;L'!V14</f>
        <v>923298.24664942641</v>
      </c>
      <c r="W5" s="361">
        <f>'P&amp;L'!W14</f>
        <v>931475.28812500136</v>
      </c>
      <c r="X5" s="361">
        <f>'P&amp;L'!X14</f>
        <v>939715.48095748585</v>
      </c>
      <c r="Y5" s="361">
        <f>'P&amp;L'!Y14</f>
        <v>948019.14363767381</v>
      </c>
      <c r="Z5" s="361">
        <f>'P&amp;L'!Z14</f>
        <v>987828.00801105017</v>
      </c>
      <c r="AA5" s="361">
        <f>'P&amp;L'!AA14</f>
        <v>996645.41541015799</v>
      </c>
      <c r="AB5" s="361">
        <f>'P&amp;L'!AB14</f>
        <v>1005531.9729262587</v>
      </c>
      <c r="AC5" s="361">
        <f>'P&amp;L'!AC14</f>
        <v>1034488.0498424629</v>
      </c>
      <c r="AD5" s="361">
        <f>'P&amp;L'!AD14</f>
        <v>1043514.0140911965</v>
      </c>
      <c r="AE5" s="361">
        <f>'P&amp;L'!AE14</f>
        <v>1052610.2321654316</v>
      </c>
      <c r="AF5" s="361">
        <f>'P&amp;L'!AF14</f>
        <v>1061777.0690279431</v>
      </c>
      <c r="AG5" s="361">
        <f>'P&amp;L'!AG14</f>
        <v>1074439.2790975613</v>
      </c>
      <c r="AH5" s="361">
        <f>'P&amp;L'!AH14</f>
        <v>1118454.6268595036</v>
      </c>
      <c r="AI5" s="361">
        <f>'P&amp;L'!AI14</f>
        <v>1128303.4405266969</v>
      </c>
      <c r="AJ5" s="361">
        <f>'P&amp;L'!AJ14</f>
        <v>1138230.0584050959</v>
      </c>
      <c r="AK5" s="361">
        <f>'P&amp;L'!AK14</f>
        <v>1148234.9068501925</v>
      </c>
      <c r="AL5" s="365"/>
      <c r="AM5" s="317"/>
      <c r="AN5" s="317"/>
      <c r="AO5" s="317"/>
      <c r="AP5" s="317"/>
    </row>
    <row r="6" spans="1:42" ht="13.2" x14ac:dyDescent="0.25">
      <c r="A6" s="366"/>
      <c r="B6" s="367" t="s">
        <v>223</v>
      </c>
      <c r="C6" s="368" t="s">
        <v>167</v>
      </c>
      <c r="D6" s="369"/>
      <c r="E6" s="369"/>
      <c r="F6" s="369"/>
      <c r="G6" s="370">
        <f t="shared" ref="G6:AK6" si="0">G4+G5</f>
        <v>-50368.537500000006</v>
      </c>
      <c r="H6" s="370">
        <f t="shared" si="0"/>
        <v>-52741.038110624111</v>
      </c>
      <c r="I6" s="370">
        <f t="shared" si="0"/>
        <v>99445.898124194326</v>
      </c>
      <c r="J6" s="370">
        <f t="shared" si="0"/>
        <v>86571.739583244824</v>
      </c>
      <c r="K6" s="370">
        <f t="shared" si="0"/>
        <v>72131.535277715651</v>
      </c>
      <c r="L6" s="370">
        <f t="shared" si="0"/>
        <v>58508.529552923646</v>
      </c>
      <c r="M6" s="370">
        <f t="shared" si="0"/>
        <v>18639.156649089622</v>
      </c>
      <c r="N6" s="370">
        <f t="shared" si="0"/>
        <v>12453.994345139436</v>
      </c>
      <c r="O6" s="370">
        <f t="shared" si="0"/>
        <v>-38274.894140192904</v>
      </c>
      <c r="P6" s="370">
        <f t="shared" si="0"/>
        <v>-50928.472044161317</v>
      </c>
      <c r="Q6" s="370">
        <f t="shared" si="0"/>
        <v>2717611.8220020132</v>
      </c>
      <c r="R6" s="370">
        <f t="shared" si="0"/>
        <v>4590095.7590850079</v>
      </c>
      <c r="S6" s="370">
        <f t="shared" si="0"/>
        <v>9327470.6633601841</v>
      </c>
      <c r="T6" s="370">
        <f t="shared" si="0"/>
        <v>8383788.5499274833</v>
      </c>
      <c r="U6" s="370">
        <f t="shared" si="0"/>
        <v>6457908.8028588919</v>
      </c>
      <c r="V6" s="370">
        <f t="shared" si="0"/>
        <v>6823367.0176790198</v>
      </c>
      <c r="W6" s="370">
        <f t="shared" si="0"/>
        <v>7098986.3576378059</v>
      </c>
      <c r="X6" s="370">
        <f t="shared" si="0"/>
        <v>6551703.787841144</v>
      </c>
      <c r="Y6" s="370">
        <f t="shared" si="0"/>
        <v>7161412.3739967709</v>
      </c>
      <c r="Z6" s="370">
        <f t="shared" si="0"/>
        <v>7615458.0281906649</v>
      </c>
      <c r="AA6" s="370">
        <f t="shared" si="0"/>
        <v>7450696.2251286786</v>
      </c>
      <c r="AB6" s="370">
        <f t="shared" si="0"/>
        <v>7398436.5941483844</v>
      </c>
      <c r="AC6" s="370">
        <f t="shared" si="0"/>
        <v>7769513.5103640417</v>
      </c>
      <c r="AD6" s="370">
        <f t="shared" si="0"/>
        <v>7220690.4383462733</v>
      </c>
      <c r="AE6" s="370">
        <f t="shared" si="0"/>
        <v>7002158.246229535</v>
      </c>
      <c r="AF6" s="370">
        <f t="shared" si="0"/>
        <v>6888319.7531407569</v>
      </c>
      <c r="AG6" s="370">
        <f t="shared" si="0"/>
        <v>4674900.3553048875</v>
      </c>
      <c r="AH6" s="370">
        <f t="shared" si="0"/>
        <v>4911606.3293921882</v>
      </c>
      <c r="AI6" s="370">
        <f t="shared" si="0"/>
        <v>2184986.3681344278</v>
      </c>
      <c r="AJ6" s="370">
        <f t="shared" si="0"/>
        <v>7365601.1929457635</v>
      </c>
      <c r="AK6" s="370">
        <f t="shared" si="0"/>
        <v>6437046.1225121301</v>
      </c>
      <c r="AL6" s="371"/>
    </row>
    <row r="7" spans="1:42" ht="13.2" x14ac:dyDescent="0.25">
      <c r="A7" s="371"/>
      <c r="B7" s="372"/>
      <c r="C7" s="373"/>
      <c r="D7" s="371"/>
      <c r="E7" s="371"/>
      <c r="F7" s="371"/>
      <c r="G7" s="374"/>
      <c r="H7" s="371"/>
      <c r="I7" s="371"/>
      <c r="J7" s="371"/>
      <c r="K7" s="371"/>
      <c r="L7" s="371"/>
      <c r="M7" s="371"/>
      <c r="N7" s="371"/>
      <c r="O7" s="371"/>
      <c r="P7" s="371"/>
      <c r="Q7" s="371"/>
      <c r="R7" s="371"/>
      <c r="S7" s="371"/>
      <c r="T7" s="371"/>
      <c r="U7" s="371"/>
      <c r="V7" s="371"/>
      <c r="W7" s="371"/>
      <c r="X7" s="371"/>
      <c r="Y7" s="371"/>
      <c r="Z7" s="371"/>
      <c r="AA7" s="371"/>
      <c r="AB7" s="371"/>
      <c r="AC7" s="371"/>
      <c r="AD7" s="371"/>
      <c r="AE7" s="371"/>
      <c r="AF7" s="371"/>
      <c r="AG7" s="371"/>
      <c r="AH7" s="371"/>
      <c r="AI7" s="371"/>
      <c r="AJ7" s="371"/>
      <c r="AK7" s="371"/>
      <c r="AL7" s="371"/>
    </row>
    <row r="8" spans="1:42" ht="13.2" x14ac:dyDescent="0.25">
      <c r="A8" s="361"/>
      <c r="B8" s="362" t="s">
        <v>264</v>
      </c>
      <c r="C8" s="363" t="s">
        <v>167</v>
      </c>
      <c r="D8" s="361"/>
      <c r="E8" s="361"/>
      <c r="F8" s="361"/>
      <c r="G8" s="361">
        <f>-IS!G73-IS!G124</f>
        <v>-30000</v>
      </c>
      <c r="H8" s="361">
        <f>-IS!H73-IS!H124</f>
        <v>-30368.167032871181</v>
      </c>
      <c r="I8" s="361">
        <f>-IS!I73-IS!I124</f>
        <v>-153704.261489394</v>
      </c>
      <c r="J8" s="361">
        <f>-IS!J73-IS!J124</f>
        <v>-31118.111243826839</v>
      </c>
      <c r="K8" s="361">
        <f>-IS!K73-IS!K124</f>
        <v>-31500.000000000007</v>
      </c>
      <c r="L8" s="361">
        <f>-IS!L73-IS!L124</f>
        <v>-31886.575384514748</v>
      </c>
      <c r="M8" s="361">
        <f>-IS!M73-IS!M124</f>
        <v>-32277.89491277275</v>
      </c>
      <c r="N8" s="361">
        <f>-IS!N73-IS!N124</f>
        <v>-32674.016806018193</v>
      </c>
      <c r="O8" s="361">
        <f>-IS!O73-IS!O124</f>
        <v>-33075.000000000022</v>
      </c>
      <c r="P8" s="361">
        <f>-IS!P73-IS!P124</f>
        <v>-33480.904153740499</v>
      </c>
      <c r="Q8" s="361">
        <f>-IS!Q73-IS!Q124</f>
        <v>-2560000</v>
      </c>
      <c r="R8" s="361">
        <f>-IS!R73-IS!R124</f>
        <v>-2672398.6988926642</v>
      </c>
      <c r="S8" s="361">
        <f>-IS!S73-IS!S124</f>
        <v>-5287426.595235154</v>
      </c>
      <c r="T8" s="361">
        <f>-IS!T73-IS!T124</f>
        <v>0</v>
      </c>
      <c r="U8" s="361">
        <f>-IS!U73-IS!U124</f>
        <v>-1344000.0000000005</v>
      </c>
      <c r="V8" s="361">
        <f>-IS!V73-IS!V124</f>
        <v>32515.433846019667</v>
      </c>
      <c r="W8" s="361">
        <f>-IS!W73-IS!W124</f>
        <v>33037.193217030333</v>
      </c>
      <c r="X8" s="361">
        <f>-IS!X73-IS!X124</f>
        <v>33565.355741357591</v>
      </c>
      <c r="Y8" s="361">
        <f>-IS!Y73-IS!Y124</f>
        <v>-406900.00000000023</v>
      </c>
      <c r="Z8" s="361">
        <f>-IS!Z73-IS!Z124</f>
        <v>34641.205538320668</v>
      </c>
      <c r="AA8" s="361">
        <f>-IS!AA73-IS!AA124</f>
        <v>35189.05287788187</v>
      </c>
      <c r="AB8" s="361">
        <f>-IS!AB73-IS!AB124</f>
        <v>35743.623528425494</v>
      </c>
      <c r="AC8" s="361">
        <f>-IS!AC73-IS!AC124</f>
        <v>16305.000000000051</v>
      </c>
      <c r="AD8" s="361">
        <f>-IS!AD73-IS!AD124</f>
        <v>16873.265815236722</v>
      </c>
      <c r="AE8" s="361">
        <f>-IS!AE73-IS!AE124</f>
        <v>17448.50552177598</v>
      </c>
      <c r="AF8" s="361">
        <f>-IS!AF73-IS!AF124</f>
        <v>-30000</v>
      </c>
      <c r="AG8" s="361">
        <f>-IS!AG73-IS!AG124</f>
        <v>-467582.25000000064</v>
      </c>
      <c r="AH8" s="361">
        <f>-IS!AH73-IS!AH124</f>
        <v>19216.929105998577</v>
      </c>
      <c r="AI8" s="361">
        <f>-IS!AI73-IS!AI124</f>
        <v>19820.930797864799</v>
      </c>
      <c r="AJ8" s="361">
        <f>-IS!AJ73-IS!AJ124</f>
        <v>20432.34494008914</v>
      </c>
      <c r="AK8" s="361">
        <f>-IS!AK73-IS!AK124</f>
        <v>21051.262500000092</v>
      </c>
      <c r="AL8" s="361"/>
      <c r="AM8" s="364"/>
      <c r="AN8" s="364"/>
      <c r="AO8" s="364"/>
      <c r="AP8" s="364"/>
    </row>
    <row r="9" spans="1:42" ht="13.2" x14ac:dyDescent="0.25">
      <c r="A9" s="366"/>
      <c r="B9" s="367" t="s">
        <v>265</v>
      </c>
      <c r="C9" s="368" t="s">
        <v>167</v>
      </c>
      <c r="D9" s="369"/>
      <c r="E9" s="369"/>
      <c r="F9" s="369"/>
      <c r="G9" s="375">
        <f t="shared" ref="G9:AK9" si="1">IF(G8="-",0,G8)</f>
        <v>-30000</v>
      </c>
      <c r="H9" s="375">
        <f t="shared" si="1"/>
        <v>-30368.167032871181</v>
      </c>
      <c r="I9" s="375">
        <f t="shared" si="1"/>
        <v>-153704.261489394</v>
      </c>
      <c r="J9" s="375">
        <f t="shared" si="1"/>
        <v>-31118.111243826839</v>
      </c>
      <c r="K9" s="375">
        <f t="shared" si="1"/>
        <v>-31500.000000000007</v>
      </c>
      <c r="L9" s="375">
        <f t="shared" si="1"/>
        <v>-31886.575384514748</v>
      </c>
      <c r="M9" s="375">
        <f t="shared" si="1"/>
        <v>-32277.89491277275</v>
      </c>
      <c r="N9" s="375">
        <f t="shared" si="1"/>
        <v>-32674.016806018193</v>
      </c>
      <c r="O9" s="375">
        <f t="shared" si="1"/>
        <v>-33075.000000000022</v>
      </c>
      <c r="P9" s="375">
        <f t="shared" si="1"/>
        <v>-33480.904153740499</v>
      </c>
      <c r="Q9" s="375">
        <f t="shared" si="1"/>
        <v>-2560000</v>
      </c>
      <c r="R9" s="375">
        <f t="shared" si="1"/>
        <v>-2672398.6988926642</v>
      </c>
      <c r="S9" s="375">
        <f t="shared" si="1"/>
        <v>-5287426.595235154</v>
      </c>
      <c r="T9" s="375">
        <f t="shared" si="1"/>
        <v>0</v>
      </c>
      <c r="U9" s="375">
        <f t="shared" si="1"/>
        <v>-1344000.0000000005</v>
      </c>
      <c r="V9" s="375">
        <f t="shared" si="1"/>
        <v>32515.433846019667</v>
      </c>
      <c r="W9" s="375">
        <f t="shared" si="1"/>
        <v>33037.193217030333</v>
      </c>
      <c r="X9" s="375">
        <f t="shared" si="1"/>
        <v>33565.355741357591</v>
      </c>
      <c r="Y9" s="375">
        <f t="shared" si="1"/>
        <v>-406900.00000000023</v>
      </c>
      <c r="Z9" s="375">
        <f t="shared" si="1"/>
        <v>34641.205538320668</v>
      </c>
      <c r="AA9" s="375">
        <f t="shared" si="1"/>
        <v>35189.05287788187</v>
      </c>
      <c r="AB9" s="375">
        <f t="shared" si="1"/>
        <v>35743.623528425494</v>
      </c>
      <c r="AC9" s="375">
        <f t="shared" si="1"/>
        <v>16305.000000000051</v>
      </c>
      <c r="AD9" s="375">
        <f t="shared" si="1"/>
        <v>16873.265815236722</v>
      </c>
      <c r="AE9" s="375">
        <f t="shared" si="1"/>
        <v>17448.50552177598</v>
      </c>
      <c r="AF9" s="375">
        <f t="shared" si="1"/>
        <v>-30000</v>
      </c>
      <c r="AG9" s="375">
        <f t="shared" si="1"/>
        <v>-467582.25000000064</v>
      </c>
      <c r="AH9" s="375">
        <f t="shared" si="1"/>
        <v>19216.929105998577</v>
      </c>
      <c r="AI9" s="375">
        <f t="shared" si="1"/>
        <v>19820.930797864799</v>
      </c>
      <c r="AJ9" s="375">
        <f t="shared" si="1"/>
        <v>20432.34494008914</v>
      </c>
      <c r="AK9" s="375">
        <f t="shared" si="1"/>
        <v>21051.262500000092</v>
      </c>
      <c r="AL9" s="371"/>
      <c r="AM9" s="342"/>
      <c r="AN9" s="342"/>
      <c r="AO9" s="342"/>
      <c r="AP9" s="342"/>
    </row>
    <row r="10" spans="1:42" ht="13.2" x14ac:dyDescent="0.25">
      <c r="A10" s="371"/>
      <c r="B10" s="372"/>
      <c r="C10" s="373"/>
      <c r="D10" s="371"/>
      <c r="E10" s="371"/>
      <c r="F10" s="371"/>
      <c r="G10" s="374"/>
      <c r="H10" s="371"/>
      <c r="I10" s="371"/>
      <c r="J10" s="371"/>
      <c r="K10" s="371"/>
      <c r="L10" s="371"/>
      <c r="M10" s="371"/>
      <c r="N10" s="371"/>
      <c r="O10" s="371"/>
      <c r="P10" s="371"/>
      <c r="Q10" s="371"/>
      <c r="R10" s="371"/>
      <c r="S10" s="371"/>
      <c r="T10" s="371"/>
      <c r="U10" s="371"/>
      <c r="V10" s="371"/>
      <c r="W10" s="371"/>
      <c r="X10" s="371"/>
      <c r="Y10" s="371"/>
      <c r="Z10" s="371"/>
      <c r="AA10" s="371"/>
      <c r="AB10" s="371"/>
      <c r="AC10" s="371"/>
      <c r="AD10" s="371"/>
      <c r="AE10" s="371"/>
      <c r="AF10" s="371"/>
      <c r="AG10" s="371"/>
      <c r="AH10" s="371"/>
      <c r="AI10" s="371"/>
      <c r="AJ10" s="371"/>
      <c r="AK10" s="371"/>
      <c r="AL10" s="371"/>
    </row>
    <row r="11" spans="1:42" ht="13.2" x14ac:dyDescent="0.25">
      <c r="A11" s="365"/>
      <c r="B11" s="362" t="s">
        <v>266</v>
      </c>
      <c r="C11" s="363" t="s">
        <v>167</v>
      </c>
      <c r="D11" s="365"/>
      <c r="E11" s="365"/>
      <c r="F11" s="365"/>
      <c r="G11" s="376">
        <v>200000</v>
      </c>
      <c r="H11" s="376">
        <f>-IS!H85</f>
        <v>-8333</v>
      </c>
      <c r="I11" s="376">
        <f>-IS!I85</f>
        <v>-8333</v>
      </c>
      <c r="J11" s="376">
        <f>-IS!J85</f>
        <v>-8333</v>
      </c>
      <c r="K11" s="376">
        <f>-IS!K85</f>
        <v>-8333</v>
      </c>
      <c r="L11" s="376">
        <f>-IS!L85</f>
        <v>-8333</v>
      </c>
      <c r="M11" s="376">
        <f>-IS!M85</f>
        <v>-8333</v>
      </c>
      <c r="N11" s="376">
        <f>-IS!N85</f>
        <v>-8333</v>
      </c>
      <c r="O11" s="376">
        <f>-IS!O85+500000</f>
        <v>491667</v>
      </c>
      <c r="P11" s="376">
        <f>-IS!P85</f>
        <v>-29166</v>
      </c>
      <c r="Q11" s="376">
        <f>-IS!Q85</f>
        <v>-29166</v>
      </c>
      <c r="R11" s="376">
        <f>-IS!R85</f>
        <v>-29166</v>
      </c>
      <c r="S11" s="376">
        <f>-IS!S85</f>
        <v>-29166</v>
      </c>
      <c r="T11" s="376">
        <f>-IS!T85</f>
        <v>-29166</v>
      </c>
      <c r="U11" s="376">
        <f>-IS!U85</f>
        <v>-29166</v>
      </c>
      <c r="V11" s="376">
        <f>-IS!V85</f>
        <v>-29166</v>
      </c>
      <c r="W11" s="376">
        <f>-IS!W85</f>
        <v>-29166</v>
      </c>
      <c r="X11" s="376">
        <f>-IS!X85</f>
        <v>-29166</v>
      </c>
      <c r="Y11" s="376">
        <f>-IS!Y85</f>
        <v>-29166</v>
      </c>
      <c r="Z11" s="376">
        <f>-IS!Z85</f>
        <v>-29166</v>
      </c>
      <c r="AA11" s="376">
        <f>-IS!AA85</f>
        <v>-29166</v>
      </c>
      <c r="AB11" s="376">
        <f>-IS!AB85</f>
        <v>-29166</v>
      </c>
      <c r="AC11" s="376">
        <f>-IS!AC85</f>
        <v>-29166</v>
      </c>
      <c r="AD11" s="376">
        <f>-IS!AD85</f>
        <v>-29166</v>
      </c>
      <c r="AE11" s="376">
        <f>-IS!AE85</f>
        <v>-29166</v>
      </c>
      <c r="AF11" s="376">
        <f>-IS!AF85</f>
        <v>-29166</v>
      </c>
      <c r="AG11" s="376">
        <f>-IS!AG85</f>
        <v>-29166</v>
      </c>
      <c r="AH11" s="376">
        <f>-IS!AH85</f>
        <v>-29166</v>
      </c>
      <c r="AI11" s="376">
        <f>-IS!AI85</f>
        <v>-29166</v>
      </c>
      <c r="AJ11" s="376">
        <f>-IS!AJ85</f>
        <v>-29166</v>
      </c>
      <c r="AK11" s="376">
        <f>-IS!AK85</f>
        <v>-20850</v>
      </c>
      <c r="AL11" s="365"/>
      <c r="AM11" s="317"/>
      <c r="AN11" s="317"/>
      <c r="AO11" s="317"/>
      <c r="AP11" s="317"/>
    </row>
    <row r="12" spans="1:42" ht="13.2" x14ac:dyDescent="0.25">
      <c r="A12" s="366"/>
      <c r="B12" s="367" t="s">
        <v>267</v>
      </c>
      <c r="C12" s="368" t="s">
        <v>167</v>
      </c>
      <c r="D12" s="369"/>
      <c r="E12" s="369"/>
      <c r="F12" s="369"/>
      <c r="G12" s="370">
        <f t="shared" ref="G12:AK12" si="2">G11</f>
        <v>200000</v>
      </c>
      <c r="H12" s="370">
        <f t="shared" si="2"/>
        <v>-8333</v>
      </c>
      <c r="I12" s="370">
        <f t="shared" si="2"/>
        <v>-8333</v>
      </c>
      <c r="J12" s="370">
        <f t="shared" si="2"/>
        <v>-8333</v>
      </c>
      <c r="K12" s="370">
        <f t="shared" si="2"/>
        <v>-8333</v>
      </c>
      <c r="L12" s="370">
        <f t="shared" si="2"/>
        <v>-8333</v>
      </c>
      <c r="M12" s="370">
        <f t="shared" si="2"/>
        <v>-8333</v>
      </c>
      <c r="N12" s="370">
        <f t="shared" si="2"/>
        <v>-8333</v>
      </c>
      <c r="O12" s="370">
        <f t="shared" si="2"/>
        <v>491667</v>
      </c>
      <c r="P12" s="370">
        <f t="shared" si="2"/>
        <v>-29166</v>
      </c>
      <c r="Q12" s="370">
        <f t="shared" si="2"/>
        <v>-29166</v>
      </c>
      <c r="R12" s="370">
        <f t="shared" si="2"/>
        <v>-29166</v>
      </c>
      <c r="S12" s="370">
        <f t="shared" si="2"/>
        <v>-29166</v>
      </c>
      <c r="T12" s="370">
        <f t="shared" si="2"/>
        <v>-29166</v>
      </c>
      <c r="U12" s="370">
        <f t="shared" si="2"/>
        <v>-29166</v>
      </c>
      <c r="V12" s="370">
        <f t="shared" si="2"/>
        <v>-29166</v>
      </c>
      <c r="W12" s="370">
        <f t="shared" si="2"/>
        <v>-29166</v>
      </c>
      <c r="X12" s="370">
        <f t="shared" si="2"/>
        <v>-29166</v>
      </c>
      <c r="Y12" s="370">
        <f t="shared" si="2"/>
        <v>-29166</v>
      </c>
      <c r="Z12" s="370">
        <f t="shared" si="2"/>
        <v>-29166</v>
      </c>
      <c r="AA12" s="370">
        <f t="shared" si="2"/>
        <v>-29166</v>
      </c>
      <c r="AB12" s="370">
        <f t="shared" si="2"/>
        <v>-29166</v>
      </c>
      <c r="AC12" s="370">
        <f t="shared" si="2"/>
        <v>-29166</v>
      </c>
      <c r="AD12" s="370">
        <f t="shared" si="2"/>
        <v>-29166</v>
      </c>
      <c r="AE12" s="370">
        <f t="shared" si="2"/>
        <v>-29166</v>
      </c>
      <c r="AF12" s="370">
        <f t="shared" si="2"/>
        <v>-29166</v>
      </c>
      <c r="AG12" s="370">
        <f t="shared" si="2"/>
        <v>-29166</v>
      </c>
      <c r="AH12" s="370">
        <f t="shared" si="2"/>
        <v>-29166</v>
      </c>
      <c r="AI12" s="370">
        <f t="shared" si="2"/>
        <v>-29166</v>
      </c>
      <c r="AJ12" s="370">
        <f t="shared" si="2"/>
        <v>-29166</v>
      </c>
      <c r="AK12" s="370">
        <f t="shared" si="2"/>
        <v>-20850</v>
      </c>
      <c r="AL12" s="371"/>
    </row>
    <row r="13" spans="1:42" ht="13.2" x14ac:dyDescent="0.25">
      <c r="A13" s="371"/>
      <c r="B13" s="372"/>
      <c r="C13" s="373"/>
      <c r="D13" s="371"/>
      <c r="E13" s="371"/>
      <c r="F13" s="371"/>
      <c r="G13" s="374"/>
      <c r="H13" s="371"/>
      <c r="I13" s="371"/>
      <c r="J13" s="371"/>
      <c r="K13" s="371"/>
      <c r="L13" s="371"/>
      <c r="M13" s="371"/>
      <c r="N13" s="371"/>
      <c r="O13" s="371"/>
      <c r="P13" s="371"/>
      <c r="Q13" s="371"/>
      <c r="R13" s="371"/>
      <c r="S13" s="371"/>
      <c r="T13" s="371"/>
      <c r="U13" s="371"/>
      <c r="V13" s="371"/>
      <c r="W13" s="371"/>
      <c r="X13" s="371"/>
      <c r="Y13" s="371"/>
      <c r="Z13" s="371"/>
      <c r="AA13" s="371"/>
      <c r="AB13" s="371"/>
      <c r="AC13" s="371"/>
      <c r="AD13" s="371"/>
      <c r="AE13" s="371"/>
      <c r="AF13" s="371"/>
      <c r="AG13" s="371"/>
      <c r="AH13" s="371"/>
      <c r="AI13" s="371"/>
      <c r="AJ13" s="371"/>
      <c r="AK13" s="371"/>
      <c r="AL13" s="371"/>
    </row>
    <row r="14" spans="1:42" ht="13.2" x14ac:dyDescent="0.25">
      <c r="A14" s="366"/>
      <c r="B14" s="367" t="s">
        <v>268</v>
      </c>
      <c r="C14" s="368" t="s">
        <v>167</v>
      </c>
      <c r="D14" s="369"/>
      <c r="E14" s="369"/>
      <c r="F14" s="369"/>
      <c r="G14" s="370">
        <f t="shared" ref="G14:AK14" si="3">G6+G9+G12</f>
        <v>119631.46249999999</v>
      </c>
      <c r="H14" s="370">
        <f t="shared" si="3"/>
        <v>-91442.205143495288</v>
      </c>
      <c r="I14" s="370">
        <f t="shared" si="3"/>
        <v>-62591.363365199679</v>
      </c>
      <c r="J14" s="370">
        <f t="shared" si="3"/>
        <v>47120.628339417985</v>
      </c>
      <c r="K14" s="370">
        <f t="shared" si="3"/>
        <v>32298.535277715644</v>
      </c>
      <c r="L14" s="370">
        <f t="shared" si="3"/>
        <v>18288.954168408898</v>
      </c>
      <c r="M14" s="370">
        <f t="shared" si="3"/>
        <v>-21971.738263683128</v>
      </c>
      <c r="N14" s="370">
        <f t="shared" si="3"/>
        <v>-28553.022460878758</v>
      </c>
      <c r="O14" s="370">
        <f t="shared" si="3"/>
        <v>420317.10585980711</v>
      </c>
      <c r="P14" s="370">
        <f t="shared" si="3"/>
        <v>-113575.37619790182</v>
      </c>
      <c r="Q14" s="370">
        <f t="shared" si="3"/>
        <v>128445.82200201321</v>
      </c>
      <c r="R14" s="370">
        <f t="shared" si="3"/>
        <v>1888531.0601923438</v>
      </c>
      <c r="S14" s="370">
        <f t="shared" si="3"/>
        <v>4010878.06812503</v>
      </c>
      <c r="T14" s="370">
        <f t="shared" si="3"/>
        <v>8354622.5499274833</v>
      </c>
      <c r="U14" s="370">
        <f t="shared" si="3"/>
        <v>5084742.802858891</v>
      </c>
      <c r="V14" s="370">
        <f t="shared" si="3"/>
        <v>6826716.451525039</v>
      </c>
      <c r="W14" s="370">
        <f t="shared" si="3"/>
        <v>7102857.5508548366</v>
      </c>
      <c r="X14" s="370">
        <f t="shared" si="3"/>
        <v>6556103.1435825014</v>
      </c>
      <c r="Y14" s="370">
        <f t="shared" si="3"/>
        <v>6725346.3739967709</v>
      </c>
      <c r="Z14" s="370">
        <f t="shared" si="3"/>
        <v>7620933.2337289853</v>
      </c>
      <c r="AA14" s="370">
        <f t="shared" si="3"/>
        <v>7456719.2780065602</v>
      </c>
      <c r="AB14" s="370">
        <f t="shared" si="3"/>
        <v>7405014.21767681</v>
      </c>
      <c r="AC14" s="370">
        <f t="shared" si="3"/>
        <v>7756652.5103640417</v>
      </c>
      <c r="AD14" s="370">
        <f t="shared" si="3"/>
        <v>7208397.7041615099</v>
      </c>
      <c r="AE14" s="370">
        <f t="shared" si="3"/>
        <v>6990440.7517513111</v>
      </c>
      <c r="AF14" s="370">
        <f t="shared" si="3"/>
        <v>6829153.7531407569</v>
      </c>
      <c r="AG14" s="370">
        <f t="shared" si="3"/>
        <v>4178152.1053048866</v>
      </c>
      <c r="AH14" s="370">
        <f t="shared" si="3"/>
        <v>4901657.2584981872</v>
      </c>
      <c r="AI14" s="370">
        <f t="shared" si="3"/>
        <v>2175641.2989322925</v>
      </c>
      <c r="AJ14" s="370">
        <f t="shared" si="3"/>
        <v>7356867.5378858522</v>
      </c>
      <c r="AK14" s="370">
        <f t="shared" si="3"/>
        <v>6437247.3850121303</v>
      </c>
      <c r="AL14" s="371"/>
    </row>
    <row r="15" spans="1:42" ht="13.2" x14ac:dyDescent="0.25">
      <c r="A15" s="371"/>
      <c r="B15" s="372"/>
      <c r="C15" s="377"/>
      <c r="D15" s="371"/>
      <c r="E15" s="371"/>
      <c r="F15" s="371"/>
      <c r="G15" s="374"/>
      <c r="H15" s="371"/>
      <c r="I15" s="371"/>
      <c r="J15" s="371"/>
      <c r="K15" s="371"/>
      <c r="L15" s="371"/>
      <c r="M15" s="371"/>
      <c r="N15" s="371"/>
      <c r="O15" s="371"/>
      <c r="P15" s="371"/>
      <c r="Q15" s="371"/>
      <c r="R15" s="371"/>
      <c r="S15" s="371"/>
      <c r="T15" s="371"/>
      <c r="U15" s="371"/>
      <c r="V15" s="371"/>
      <c r="W15" s="371"/>
      <c r="X15" s="371"/>
      <c r="Y15" s="371"/>
      <c r="Z15" s="371"/>
      <c r="AA15" s="371"/>
      <c r="AB15" s="371"/>
      <c r="AC15" s="371"/>
      <c r="AD15" s="371"/>
      <c r="AE15" s="371"/>
      <c r="AF15" s="371"/>
      <c r="AG15" s="371"/>
      <c r="AH15" s="371"/>
      <c r="AI15" s="371"/>
      <c r="AJ15" s="371"/>
      <c r="AK15" s="371"/>
      <c r="AL15" s="371"/>
    </row>
    <row r="16" spans="1:42" ht="13.2" x14ac:dyDescent="0.25">
      <c r="A16" s="371"/>
      <c r="B16" s="372"/>
      <c r="C16" s="377"/>
      <c r="D16" s="371"/>
      <c r="E16" s="371"/>
      <c r="F16" s="371"/>
      <c r="G16" s="374"/>
      <c r="H16" s="371"/>
      <c r="I16" s="371"/>
      <c r="J16" s="371"/>
      <c r="K16" s="371"/>
      <c r="L16" s="371"/>
      <c r="M16" s="371"/>
      <c r="N16" s="371"/>
      <c r="O16" s="371"/>
      <c r="P16" s="371"/>
      <c r="Q16" s="371"/>
      <c r="R16" s="371"/>
      <c r="S16" s="371"/>
      <c r="T16" s="371"/>
      <c r="U16" s="371"/>
      <c r="V16" s="371"/>
      <c r="W16" s="371"/>
      <c r="X16" s="371"/>
      <c r="Y16" s="371"/>
      <c r="Z16" s="371"/>
      <c r="AA16" s="371"/>
      <c r="AB16" s="371"/>
      <c r="AC16" s="371"/>
      <c r="AD16" s="371"/>
      <c r="AE16" s="371"/>
      <c r="AF16" s="371"/>
      <c r="AG16" s="371"/>
      <c r="AH16" s="371"/>
      <c r="AI16" s="371"/>
      <c r="AJ16" s="371"/>
      <c r="AK16" s="371"/>
      <c r="AL16" s="371"/>
    </row>
    <row r="17" spans="2:7" ht="13.2" x14ac:dyDescent="0.25">
      <c r="B17" s="118"/>
      <c r="C17" s="231"/>
      <c r="G17" s="119"/>
    </row>
    <row r="18" spans="2:7" ht="13.2" x14ac:dyDescent="0.25">
      <c r="B18" s="118"/>
      <c r="C18" s="231"/>
      <c r="G18" s="119"/>
    </row>
    <row r="19" spans="2:7" ht="13.2" x14ac:dyDescent="0.25">
      <c r="B19" s="118"/>
      <c r="C19" s="231"/>
      <c r="G19" s="119"/>
    </row>
    <row r="20" spans="2:7" ht="13.2" x14ac:dyDescent="0.25">
      <c r="B20" s="118"/>
      <c r="C20" s="231"/>
      <c r="G20" s="119"/>
    </row>
    <row r="21" spans="2:7" ht="13.2" x14ac:dyDescent="0.25">
      <c r="B21" s="118"/>
      <c r="C21" s="231"/>
      <c r="G21" s="119"/>
    </row>
    <row r="22" spans="2:7" ht="13.2" x14ac:dyDescent="0.25">
      <c r="B22" s="118"/>
      <c r="C22" s="231"/>
      <c r="G22" s="119"/>
    </row>
    <row r="23" spans="2:7" ht="13.2" x14ac:dyDescent="0.25">
      <c r="B23" s="118"/>
      <c r="C23" s="231"/>
      <c r="G23" s="119"/>
    </row>
    <row r="24" spans="2:7" ht="13.2" x14ac:dyDescent="0.25">
      <c r="B24" s="118"/>
      <c r="C24" s="231"/>
      <c r="G24" s="119"/>
    </row>
    <row r="25" spans="2:7" ht="13.2" x14ac:dyDescent="0.25">
      <c r="B25" s="118"/>
      <c r="C25" s="231"/>
      <c r="G25" s="119"/>
    </row>
    <row r="26" spans="2:7" ht="13.2" x14ac:dyDescent="0.25">
      <c r="B26" s="118"/>
      <c r="C26" s="231"/>
      <c r="G26" s="119"/>
    </row>
    <row r="27" spans="2:7" ht="13.2" x14ac:dyDescent="0.25">
      <c r="B27" s="118"/>
      <c r="C27" s="231"/>
      <c r="G27" s="119"/>
    </row>
    <row r="28" spans="2:7" ht="13.2" x14ac:dyDescent="0.25">
      <c r="B28" s="118"/>
      <c r="C28" s="231"/>
      <c r="G28" s="119"/>
    </row>
    <row r="29" spans="2:7" ht="13.2" x14ac:dyDescent="0.25">
      <c r="B29" s="118"/>
      <c r="C29" s="231"/>
      <c r="G29" s="119"/>
    </row>
    <row r="30" spans="2:7" ht="13.2" x14ac:dyDescent="0.25">
      <c r="B30" s="118"/>
      <c r="C30" s="231"/>
      <c r="G30" s="119"/>
    </row>
    <row r="31" spans="2:7" ht="13.2" x14ac:dyDescent="0.25">
      <c r="B31" s="118"/>
      <c r="C31" s="231"/>
      <c r="G31" s="119"/>
    </row>
    <row r="32" spans="2:7" ht="13.2" x14ac:dyDescent="0.25">
      <c r="B32" s="118"/>
      <c r="C32" s="231"/>
      <c r="G32" s="119"/>
    </row>
    <row r="33" spans="2:7" ht="13.2" x14ac:dyDescent="0.25">
      <c r="B33" s="118"/>
      <c r="C33" s="231"/>
      <c r="G33" s="119"/>
    </row>
    <row r="34" spans="2:7" ht="13.2" x14ac:dyDescent="0.25">
      <c r="B34" s="118"/>
      <c r="C34" s="231"/>
      <c r="G34" s="119"/>
    </row>
    <row r="35" spans="2:7" ht="13.2" x14ac:dyDescent="0.25">
      <c r="B35" s="118"/>
      <c r="C35" s="231"/>
      <c r="G35" s="119"/>
    </row>
    <row r="36" spans="2:7" ht="13.2" x14ac:dyDescent="0.25">
      <c r="B36" s="118"/>
      <c r="C36" s="231"/>
      <c r="G36" s="119"/>
    </row>
    <row r="37" spans="2:7" ht="13.2" x14ac:dyDescent="0.25">
      <c r="B37" s="118"/>
      <c r="C37" s="231"/>
      <c r="G37" s="119"/>
    </row>
    <row r="38" spans="2:7" ht="13.2" x14ac:dyDescent="0.25">
      <c r="B38" s="118"/>
      <c r="C38" s="231"/>
      <c r="G38" s="119"/>
    </row>
    <row r="39" spans="2:7" ht="13.2" x14ac:dyDescent="0.25">
      <c r="B39" s="118"/>
      <c r="C39" s="231"/>
      <c r="G39" s="119"/>
    </row>
    <row r="40" spans="2:7" ht="13.2" x14ac:dyDescent="0.25">
      <c r="B40" s="118"/>
      <c r="C40" s="231"/>
      <c r="G40" s="119"/>
    </row>
    <row r="41" spans="2:7" ht="13.2" x14ac:dyDescent="0.25">
      <c r="B41" s="118"/>
      <c r="C41" s="231"/>
      <c r="G41" s="119"/>
    </row>
    <row r="42" spans="2:7" ht="13.2" x14ac:dyDescent="0.25">
      <c r="B42" s="118"/>
      <c r="C42" s="231"/>
      <c r="G42" s="119"/>
    </row>
    <row r="43" spans="2:7" ht="13.2" x14ac:dyDescent="0.25">
      <c r="B43" s="118"/>
      <c r="C43" s="231"/>
      <c r="G43" s="119"/>
    </row>
    <row r="44" spans="2:7" ht="13.2" x14ac:dyDescent="0.25">
      <c r="B44" s="118"/>
      <c r="C44" s="231"/>
      <c r="G44" s="119"/>
    </row>
    <row r="45" spans="2:7" ht="13.2" x14ac:dyDescent="0.25">
      <c r="B45" s="118"/>
      <c r="C45" s="231"/>
      <c r="G45" s="119"/>
    </row>
    <row r="46" spans="2:7" ht="13.2" x14ac:dyDescent="0.25">
      <c r="B46" s="118"/>
      <c r="C46" s="231"/>
      <c r="G46" s="119"/>
    </row>
    <row r="47" spans="2:7" ht="13.2" x14ac:dyDescent="0.25">
      <c r="B47" s="118"/>
      <c r="C47" s="231"/>
      <c r="G47" s="119"/>
    </row>
    <row r="48" spans="2:7" ht="13.2" x14ac:dyDescent="0.25">
      <c r="B48" s="118"/>
      <c r="C48" s="231"/>
      <c r="G48" s="119"/>
    </row>
    <row r="49" spans="2:7" ht="13.2" x14ac:dyDescent="0.25">
      <c r="B49" s="118"/>
      <c r="C49" s="231"/>
      <c r="G49" s="119"/>
    </row>
    <row r="50" spans="2:7" ht="13.2" x14ac:dyDescent="0.25">
      <c r="B50" s="118"/>
      <c r="C50" s="231"/>
      <c r="G50" s="119"/>
    </row>
    <row r="51" spans="2:7" ht="13.2" x14ac:dyDescent="0.25">
      <c r="B51" s="118"/>
      <c r="C51" s="231"/>
      <c r="G51" s="119"/>
    </row>
    <row r="52" spans="2:7" ht="13.2" x14ac:dyDescent="0.25">
      <c r="B52" s="118"/>
      <c r="C52" s="231"/>
      <c r="G52" s="119"/>
    </row>
    <row r="53" spans="2:7" ht="13.2" x14ac:dyDescent="0.25">
      <c r="B53" s="118"/>
      <c r="C53" s="231"/>
      <c r="G53" s="119"/>
    </row>
    <row r="54" spans="2:7" ht="13.2" x14ac:dyDescent="0.25">
      <c r="B54" s="118"/>
      <c r="C54" s="231"/>
      <c r="G54" s="119"/>
    </row>
    <row r="55" spans="2:7" ht="13.2" x14ac:dyDescent="0.25">
      <c r="B55" s="118"/>
      <c r="C55" s="231"/>
      <c r="G55" s="119"/>
    </row>
    <row r="56" spans="2:7" ht="13.2" x14ac:dyDescent="0.25">
      <c r="B56" s="118"/>
      <c r="C56" s="231"/>
      <c r="G56" s="119"/>
    </row>
    <row r="57" spans="2:7" ht="13.2" x14ac:dyDescent="0.25">
      <c r="B57" s="118"/>
      <c r="C57" s="231"/>
      <c r="G57" s="119"/>
    </row>
    <row r="58" spans="2:7" ht="13.2" x14ac:dyDescent="0.25">
      <c r="B58" s="118"/>
      <c r="C58" s="231"/>
      <c r="G58" s="119"/>
    </row>
    <row r="59" spans="2:7" ht="13.2" x14ac:dyDescent="0.25">
      <c r="B59" s="118"/>
      <c r="C59" s="231"/>
      <c r="G59" s="119"/>
    </row>
    <row r="60" spans="2:7" ht="13.2" x14ac:dyDescent="0.25">
      <c r="B60" s="118"/>
      <c r="C60" s="231"/>
      <c r="G60" s="119"/>
    </row>
    <row r="61" spans="2:7" ht="13.2" x14ac:dyDescent="0.25">
      <c r="B61" s="118"/>
      <c r="C61" s="231"/>
      <c r="G61" s="119"/>
    </row>
    <row r="62" spans="2:7" ht="13.2" x14ac:dyDescent="0.25">
      <c r="B62" s="118"/>
      <c r="C62" s="231"/>
      <c r="G62" s="119"/>
    </row>
    <row r="63" spans="2:7" ht="13.2" x14ac:dyDescent="0.25">
      <c r="B63" s="118"/>
      <c r="C63" s="231"/>
      <c r="G63" s="119"/>
    </row>
    <row r="64" spans="2:7" ht="13.2" x14ac:dyDescent="0.25">
      <c r="B64" s="118"/>
      <c r="C64" s="231"/>
      <c r="G64" s="119"/>
    </row>
    <row r="65" spans="2:7" ht="13.2" x14ac:dyDescent="0.25">
      <c r="B65" s="118"/>
      <c r="C65" s="231"/>
      <c r="G65" s="119"/>
    </row>
    <row r="66" spans="2:7" ht="13.2" x14ac:dyDescent="0.25">
      <c r="B66" s="118"/>
      <c r="C66" s="231"/>
      <c r="G66" s="119"/>
    </row>
    <row r="67" spans="2:7" ht="13.2" x14ac:dyDescent="0.25">
      <c r="B67" s="118"/>
      <c r="C67" s="231"/>
      <c r="G67" s="119"/>
    </row>
    <row r="68" spans="2:7" ht="13.2" x14ac:dyDescent="0.25">
      <c r="B68" s="118"/>
      <c r="C68" s="231"/>
      <c r="G68" s="119"/>
    </row>
    <row r="69" spans="2:7" ht="13.2" x14ac:dyDescent="0.25">
      <c r="B69" s="118"/>
      <c r="C69" s="231"/>
      <c r="G69" s="119"/>
    </row>
    <row r="70" spans="2:7" ht="13.2" x14ac:dyDescent="0.25">
      <c r="B70" s="118"/>
      <c r="C70" s="231"/>
      <c r="G70" s="119"/>
    </row>
    <row r="71" spans="2:7" ht="13.2" x14ac:dyDescent="0.25">
      <c r="B71" s="118"/>
      <c r="C71" s="231"/>
      <c r="G71" s="119"/>
    </row>
    <row r="72" spans="2:7" ht="13.2" x14ac:dyDescent="0.25">
      <c r="B72" s="118"/>
      <c r="C72" s="231"/>
      <c r="G72" s="119"/>
    </row>
    <row r="73" spans="2:7" ht="13.2" x14ac:dyDescent="0.25">
      <c r="B73" s="118"/>
      <c r="C73" s="231"/>
      <c r="G73" s="119"/>
    </row>
    <row r="74" spans="2:7" ht="13.2" x14ac:dyDescent="0.25">
      <c r="B74" s="118"/>
      <c r="C74" s="231"/>
      <c r="G74" s="119"/>
    </row>
    <row r="75" spans="2:7" ht="13.2" x14ac:dyDescent="0.25">
      <c r="B75" s="118"/>
      <c r="C75" s="231"/>
      <c r="G75" s="119"/>
    </row>
    <row r="76" spans="2:7" ht="13.2" x14ac:dyDescent="0.25">
      <c r="B76" s="118"/>
      <c r="C76" s="231"/>
      <c r="G76" s="119"/>
    </row>
    <row r="77" spans="2:7" ht="13.2" x14ac:dyDescent="0.25">
      <c r="B77" s="118"/>
      <c r="C77" s="231"/>
      <c r="G77" s="119"/>
    </row>
    <row r="78" spans="2:7" ht="13.2" x14ac:dyDescent="0.25">
      <c r="B78" s="118"/>
      <c r="C78" s="231"/>
      <c r="G78" s="119"/>
    </row>
    <row r="79" spans="2:7" ht="13.2" x14ac:dyDescent="0.25">
      <c r="B79" s="118"/>
      <c r="C79" s="231"/>
      <c r="G79" s="119"/>
    </row>
    <row r="80" spans="2:7" ht="13.2" x14ac:dyDescent="0.25">
      <c r="B80" s="118"/>
      <c r="C80" s="231"/>
      <c r="G80" s="119"/>
    </row>
    <row r="81" spans="2:7" ht="13.2" x14ac:dyDescent="0.25">
      <c r="B81" s="118"/>
      <c r="C81" s="231"/>
      <c r="G81" s="119"/>
    </row>
    <row r="82" spans="2:7" ht="13.2" x14ac:dyDescent="0.25">
      <c r="B82" s="118"/>
      <c r="C82" s="231"/>
      <c r="G82" s="119"/>
    </row>
    <row r="83" spans="2:7" ht="13.2" x14ac:dyDescent="0.25">
      <c r="B83" s="118"/>
      <c r="C83" s="231"/>
      <c r="G83" s="119"/>
    </row>
    <row r="84" spans="2:7" ht="13.2" x14ac:dyDescent="0.25">
      <c r="B84" s="118"/>
      <c r="C84" s="231"/>
      <c r="G84" s="119"/>
    </row>
    <row r="85" spans="2:7" ht="13.2" x14ac:dyDescent="0.25">
      <c r="B85" s="118"/>
      <c r="C85" s="231"/>
      <c r="G85" s="119"/>
    </row>
    <row r="86" spans="2:7" ht="13.2" x14ac:dyDescent="0.25">
      <c r="B86" s="118"/>
      <c r="C86" s="231"/>
      <c r="G86" s="119"/>
    </row>
    <row r="87" spans="2:7" ht="13.2" x14ac:dyDescent="0.25">
      <c r="B87" s="118"/>
      <c r="C87" s="231"/>
      <c r="G87" s="119"/>
    </row>
    <row r="88" spans="2:7" ht="13.2" x14ac:dyDescent="0.25">
      <c r="B88" s="118"/>
      <c r="C88" s="231"/>
      <c r="G88" s="119"/>
    </row>
    <row r="89" spans="2:7" ht="13.2" x14ac:dyDescent="0.25">
      <c r="B89" s="118"/>
      <c r="C89" s="231"/>
      <c r="G89" s="119"/>
    </row>
    <row r="90" spans="2:7" ht="13.2" x14ac:dyDescent="0.25">
      <c r="B90" s="118"/>
      <c r="C90" s="231"/>
      <c r="G90" s="119"/>
    </row>
    <row r="91" spans="2:7" ht="13.2" x14ac:dyDescent="0.25">
      <c r="B91" s="118"/>
      <c r="C91" s="231"/>
      <c r="G91" s="119"/>
    </row>
    <row r="92" spans="2:7" ht="13.2" x14ac:dyDescent="0.25">
      <c r="B92" s="118"/>
      <c r="C92" s="231"/>
      <c r="G92" s="119"/>
    </row>
    <row r="93" spans="2:7" ht="13.2" x14ac:dyDescent="0.25">
      <c r="B93" s="118"/>
      <c r="C93" s="231"/>
      <c r="G93" s="119"/>
    </row>
    <row r="94" spans="2:7" ht="13.2" x14ac:dyDescent="0.25">
      <c r="B94" s="118"/>
      <c r="C94" s="231"/>
      <c r="G94" s="119"/>
    </row>
    <row r="95" spans="2:7" ht="13.2" x14ac:dyDescent="0.25">
      <c r="B95" s="118"/>
      <c r="C95" s="231"/>
      <c r="G95" s="119"/>
    </row>
    <row r="96" spans="2:7" ht="13.2" x14ac:dyDescent="0.25">
      <c r="B96" s="118"/>
      <c r="C96" s="231"/>
      <c r="G96" s="119"/>
    </row>
    <row r="97" spans="2:7" ht="13.2" x14ac:dyDescent="0.25">
      <c r="B97" s="118"/>
      <c r="C97" s="231"/>
      <c r="G97" s="119"/>
    </row>
    <row r="98" spans="2:7" ht="13.2" x14ac:dyDescent="0.25">
      <c r="B98" s="118"/>
      <c r="C98" s="231"/>
      <c r="G98" s="119"/>
    </row>
    <row r="99" spans="2:7" ht="13.2" x14ac:dyDescent="0.25">
      <c r="B99" s="118"/>
      <c r="C99" s="231"/>
      <c r="G99" s="119"/>
    </row>
    <row r="100" spans="2:7" ht="13.2" x14ac:dyDescent="0.25">
      <c r="B100" s="118"/>
      <c r="C100" s="231"/>
      <c r="G100" s="119"/>
    </row>
    <row r="101" spans="2:7" ht="13.2" x14ac:dyDescent="0.25">
      <c r="B101" s="118"/>
      <c r="C101" s="231"/>
      <c r="G101" s="119"/>
    </row>
    <row r="102" spans="2:7" ht="13.2" x14ac:dyDescent="0.25">
      <c r="B102" s="118"/>
      <c r="C102" s="231"/>
      <c r="G102" s="119"/>
    </row>
    <row r="103" spans="2:7" ht="13.2" x14ac:dyDescent="0.25">
      <c r="B103" s="118"/>
      <c r="C103" s="231"/>
      <c r="G103" s="119"/>
    </row>
    <row r="104" spans="2:7" ht="13.2" x14ac:dyDescent="0.25">
      <c r="B104" s="118"/>
      <c r="C104" s="231"/>
      <c r="G104" s="119"/>
    </row>
    <row r="105" spans="2:7" ht="13.2" x14ac:dyDescent="0.25">
      <c r="B105" s="118"/>
      <c r="C105" s="231"/>
      <c r="G105" s="119"/>
    </row>
    <row r="106" spans="2:7" ht="13.2" x14ac:dyDescent="0.25">
      <c r="B106" s="118"/>
      <c r="C106" s="231"/>
      <c r="G106" s="119"/>
    </row>
    <row r="107" spans="2:7" ht="13.2" x14ac:dyDescent="0.25">
      <c r="B107" s="118"/>
      <c r="C107" s="231"/>
      <c r="G107" s="119"/>
    </row>
    <row r="108" spans="2:7" ht="13.2" x14ac:dyDescent="0.25">
      <c r="B108" s="118"/>
      <c r="C108" s="231"/>
      <c r="G108" s="119"/>
    </row>
    <row r="109" spans="2:7" ht="13.2" x14ac:dyDescent="0.25">
      <c r="B109" s="118"/>
      <c r="C109" s="231"/>
      <c r="G109" s="119"/>
    </row>
    <row r="110" spans="2:7" ht="13.2" x14ac:dyDescent="0.25">
      <c r="B110" s="118"/>
      <c r="C110" s="231"/>
      <c r="G110" s="119"/>
    </row>
    <row r="111" spans="2:7" ht="13.2" x14ac:dyDescent="0.25">
      <c r="B111" s="118"/>
      <c r="C111" s="231"/>
      <c r="G111" s="119"/>
    </row>
    <row r="112" spans="2:7" ht="13.2" x14ac:dyDescent="0.25">
      <c r="B112" s="118"/>
      <c r="C112" s="231"/>
      <c r="G112" s="119"/>
    </row>
    <row r="113" spans="2:7" ht="13.2" x14ac:dyDescent="0.25">
      <c r="B113" s="118"/>
      <c r="C113" s="231"/>
      <c r="G113" s="119"/>
    </row>
    <row r="114" spans="2:7" ht="13.2" x14ac:dyDescent="0.25">
      <c r="B114" s="118"/>
      <c r="C114" s="231"/>
      <c r="G114" s="119"/>
    </row>
    <row r="115" spans="2:7" ht="13.2" x14ac:dyDescent="0.25">
      <c r="B115" s="118"/>
      <c r="C115" s="231"/>
      <c r="G115" s="119"/>
    </row>
    <row r="116" spans="2:7" ht="13.2" x14ac:dyDescent="0.25">
      <c r="B116" s="118"/>
      <c r="C116" s="231"/>
      <c r="G116" s="119"/>
    </row>
    <row r="117" spans="2:7" ht="13.2" x14ac:dyDescent="0.25">
      <c r="B117" s="118"/>
      <c r="C117" s="231"/>
      <c r="G117" s="119"/>
    </row>
    <row r="118" spans="2:7" ht="13.2" x14ac:dyDescent="0.25">
      <c r="B118" s="118"/>
      <c r="C118" s="231"/>
      <c r="G118" s="119"/>
    </row>
    <row r="119" spans="2:7" ht="13.2" x14ac:dyDescent="0.25">
      <c r="B119" s="118"/>
      <c r="C119" s="231"/>
      <c r="G119" s="119"/>
    </row>
    <row r="120" spans="2:7" ht="13.2" x14ac:dyDescent="0.25">
      <c r="B120" s="118"/>
      <c r="C120" s="231"/>
      <c r="G120" s="119"/>
    </row>
    <row r="121" spans="2:7" ht="13.2" x14ac:dyDescent="0.25">
      <c r="B121" s="118"/>
      <c r="C121" s="231"/>
      <c r="G121" s="119"/>
    </row>
    <row r="122" spans="2:7" ht="13.2" x14ac:dyDescent="0.25">
      <c r="B122" s="118"/>
      <c r="C122" s="231"/>
      <c r="G122" s="119"/>
    </row>
    <row r="123" spans="2:7" ht="13.2" x14ac:dyDescent="0.25">
      <c r="B123" s="118"/>
      <c r="C123" s="231"/>
      <c r="G123" s="119"/>
    </row>
    <row r="124" spans="2:7" ht="13.2" x14ac:dyDescent="0.25">
      <c r="B124" s="118"/>
      <c r="C124" s="231"/>
      <c r="G124" s="119"/>
    </row>
    <row r="125" spans="2:7" ht="13.2" x14ac:dyDescent="0.25">
      <c r="B125" s="118"/>
      <c r="C125" s="231"/>
      <c r="G125" s="119"/>
    </row>
    <row r="126" spans="2:7" ht="13.2" x14ac:dyDescent="0.25">
      <c r="B126" s="118"/>
      <c r="C126" s="231"/>
      <c r="G126" s="119"/>
    </row>
    <row r="127" spans="2:7" ht="13.2" x14ac:dyDescent="0.25">
      <c r="B127" s="118"/>
      <c r="C127" s="231"/>
      <c r="G127" s="119"/>
    </row>
    <row r="128" spans="2:7" ht="13.2" x14ac:dyDescent="0.25">
      <c r="B128" s="118"/>
      <c r="C128" s="231"/>
      <c r="G128" s="119"/>
    </row>
    <row r="129" spans="2:7" ht="13.2" x14ac:dyDescent="0.25">
      <c r="B129" s="118"/>
      <c r="C129" s="231"/>
      <c r="G129" s="119"/>
    </row>
    <row r="130" spans="2:7" ht="13.2" x14ac:dyDescent="0.25">
      <c r="B130" s="118"/>
      <c r="C130" s="231"/>
      <c r="G130" s="119"/>
    </row>
    <row r="131" spans="2:7" ht="13.2" x14ac:dyDescent="0.25">
      <c r="B131" s="118"/>
      <c r="C131" s="231"/>
      <c r="G131" s="119"/>
    </row>
    <row r="132" spans="2:7" ht="13.2" x14ac:dyDescent="0.25">
      <c r="B132" s="118"/>
      <c r="C132" s="231"/>
      <c r="G132" s="119"/>
    </row>
    <row r="133" spans="2:7" ht="13.2" x14ac:dyDescent="0.25">
      <c r="B133" s="118"/>
      <c r="C133" s="231"/>
      <c r="G133" s="119"/>
    </row>
    <row r="134" spans="2:7" ht="13.2" x14ac:dyDescent="0.25">
      <c r="B134" s="118"/>
      <c r="C134" s="231"/>
      <c r="G134" s="119"/>
    </row>
    <row r="135" spans="2:7" ht="13.2" x14ac:dyDescent="0.25">
      <c r="B135" s="118"/>
      <c r="C135" s="231"/>
      <c r="G135" s="119"/>
    </row>
    <row r="136" spans="2:7" ht="13.2" x14ac:dyDescent="0.25">
      <c r="B136" s="118"/>
      <c r="C136" s="231"/>
      <c r="G136" s="119"/>
    </row>
    <row r="137" spans="2:7" ht="13.2" x14ac:dyDescent="0.25">
      <c r="B137" s="118"/>
      <c r="C137" s="231"/>
      <c r="G137" s="119"/>
    </row>
    <row r="138" spans="2:7" ht="13.2" x14ac:dyDescent="0.25">
      <c r="B138" s="118"/>
      <c r="C138" s="231"/>
      <c r="G138" s="119"/>
    </row>
    <row r="139" spans="2:7" ht="13.2" x14ac:dyDescent="0.25">
      <c r="B139" s="118"/>
      <c r="C139" s="231"/>
      <c r="G139" s="119"/>
    </row>
    <row r="140" spans="2:7" ht="13.2" x14ac:dyDescent="0.25">
      <c r="B140" s="118"/>
      <c r="C140" s="231"/>
      <c r="G140" s="119"/>
    </row>
    <row r="141" spans="2:7" ht="13.2" x14ac:dyDescent="0.25">
      <c r="B141" s="118"/>
      <c r="C141" s="231"/>
      <c r="G141" s="119"/>
    </row>
    <row r="142" spans="2:7" ht="13.2" x14ac:dyDescent="0.25">
      <c r="B142" s="118"/>
      <c r="C142" s="231"/>
      <c r="G142" s="119"/>
    </row>
    <row r="143" spans="2:7" ht="13.2" x14ac:dyDescent="0.25">
      <c r="B143" s="118"/>
      <c r="C143" s="231"/>
      <c r="G143" s="119"/>
    </row>
    <row r="144" spans="2:7" ht="13.2" x14ac:dyDescent="0.25">
      <c r="B144" s="118"/>
      <c r="C144" s="231"/>
      <c r="G144" s="119"/>
    </row>
    <row r="145" spans="2:7" ht="13.2" x14ac:dyDescent="0.25">
      <c r="B145" s="118"/>
      <c r="C145" s="231"/>
      <c r="G145" s="119"/>
    </row>
    <row r="146" spans="2:7" ht="13.2" x14ac:dyDescent="0.25">
      <c r="B146" s="118"/>
      <c r="C146" s="231"/>
      <c r="G146" s="119"/>
    </row>
    <row r="147" spans="2:7" ht="13.2" x14ac:dyDescent="0.25">
      <c r="B147" s="118"/>
      <c r="C147" s="231"/>
      <c r="G147" s="119"/>
    </row>
    <row r="148" spans="2:7" ht="13.2" x14ac:dyDescent="0.25">
      <c r="B148" s="118"/>
      <c r="C148" s="231"/>
      <c r="G148" s="119"/>
    </row>
    <row r="149" spans="2:7" ht="13.2" x14ac:dyDescent="0.25">
      <c r="B149" s="118"/>
      <c r="C149" s="231"/>
      <c r="G149" s="119"/>
    </row>
    <row r="150" spans="2:7" ht="13.2" x14ac:dyDescent="0.25">
      <c r="B150" s="118"/>
      <c r="C150" s="231"/>
      <c r="G150" s="119"/>
    </row>
    <row r="151" spans="2:7" ht="13.2" x14ac:dyDescent="0.25">
      <c r="B151" s="118"/>
      <c r="C151" s="231"/>
      <c r="G151" s="119"/>
    </row>
    <row r="152" spans="2:7" ht="13.2" x14ac:dyDescent="0.25">
      <c r="B152" s="118"/>
      <c r="C152" s="231"/>
      <c r="G152" s="119"/>
    </row>
    <row r="153" spans="2:7" ht="13.2" x14ac:dyDescent="0.25">
      <c r="B153" s="118"/>
      <c r="C153" s="231"/>
      <c r="G153" s="119"/>
    </row>
    <row r="154" spans="2:7" ht="13.2" x14ac:dyDescent="0.25">
      <c r="B154" s="118"/>
      <c r="C154" s="231"/>
      <c r="G154" s="119"/>
    </row>
    <row r="155" spans="2:7" ht="13.2" x14ac:dyDescent="0.25">
      <c r="B155" s="118"/>
      <c r="C155" s="231"/>
      <c r="G155" s="119"/>
    </row>
    <row r="156" spans="2:7" ht="13.2" x14ac:dyDescent="0.25">
      <c r="B156" s="118"/>
      <c r="C156" s="231"/>
      <c r="G156" s="119"/>
    </row>
    <row r="157" spans="2:7" ht="13.2" x14ac:dyDescent="0.25">
      <c r="B157" s="118"/>
      <c r="C157" s="231"/>
      <c r="G157" s="119"/>
    </row>
    <row r="158" spans="2:7" ht="13.2" x14ac:dyDescent="0.25">
      <c r="B158" s="118"/>
      <c r="C158" s="231"/>
      <c r="G158" s="119"/>
    </row>
    <row r="159" spans="2:7" ht="13.2" x14ac:dyDescent="0.25">
      <c r="B159" s="118"/>
      <c r="C159" s="231"/>
      <c r="G159" s="119"/>
    </row>
    <row r="160" spans="2:7" ht="13.2" x14ac:dyDescent="0.25">
      <c r="B160" s="118"/>
      <c r="C160" s="231"/>
      <c r="G160" s="119"/>
    </row>
    <row r="161" spans="2:7" ht="13.2" x14ac:dyDescent="0.25">
      <c r="B161" s="118"/>
      <c r="C161" s="231"/>
      <c r="G161" s="119"/>
    </row>
    <row r="162" spans="2:7" ht="13.2" x14ac:dyDescent="0.25">
      <c r="B162" s="118"/>
      <c r="C162" s="231"/>
      <c r="G162" s="119"/>
    </row>
    <row r="163" spans="2:7" ht="13.2" x14ac:dyDescent="0.25">
      <c r="B163" s="118"/>
      <c r="C163" s="231"/>
      <c r="G163" s="119"/>
    </row>
    <row r="164" spans="2:7" ht="13.2" x14ac:dyDescent="0.25">
      <c r="B164" s="118"/>
      <c r="C164" s="231"/>
      <c r="G164" s="119"/>
    </row>
    <row r="165" spans="2:7" ht="13.2" x14ac:dyDescent="0.25">
      <c r="B165" s="118"/>
      <c r="C165" s="231"/>
      <c r="G165" s="119"/>
    </row>
    <row r="166" spans="2:7" ht="13.2" x14ac:dyDescent="0.25">
      <c r="B166" s="118"/>
      <c r="C166" s="231"/>
      <c r="G166" s="119"/>
    </row>
    <row r="167" spans="2:7" ht="13.2" x14ac:dyDescent="0.25">
      <c r="B167" s="118"/>
      <c r="C167" s="231"/>
      <c r="G167" s="119"/>
    </row>
    <row r="168" spans="2:7" ht="13.2" x14ac:dyDescent="0.25">
      <c r="B168" s="118"/>
      <c r="C168" s="231"/>
      <c r="G168" s="119"/>
    </row>
    <row r="169" spans="2:7" ht="13.2" x14ac:dyDescent="0.25">
      <c r="B169" s="118"/>
      <c r="C169" s="231"/>
      <c r="G169" s="119"/>
    </row>
    <row r="170" spans="2:7" ht="13.2" x14ac:dyDescent="0.25">
      <c r="B170" s="118"/>
      <c r="C170" s="231"/>
      <c r="G170" s="119"/>
    </row>
    <row r="171" spans="2:7" ht="13.2" x14ac:dyDescent="0.25">
      <c r="B171" s="118"/>
      <c r="C171" s="231"/>
      <c r="G171" s="119"/>
    </row>
    <row r="172" spans="2:7" ht="13.2" x14ac:dyDescent="0.25">
      <c r="B172" s="118"/>
      <c r="C172" s="231"/>
      <c r="G172" s="119"/>
    </row>
    <row r="173" spans="2:7" ht="13.2" x14ac:dyDescent="0.25">
      <c r="B173" s="118"/>
      <c r="C173" s="231"/>
      <c r="G173" s="119"/>
    </row>
    <row r="174" spans="2:7" ht="13.2" x14ac:dyDescent="0.25">
      <c r="B174" s="118"/>
      <c r="C174" s="231"/>
      <c r="G174" s="119"/>
    </row>
    <row r="175" spans="2:7" ht="13.2" x14ac:dyDescent="0.25">
      <c r="B175" s="118"/>
      <c r="C175" s="231"/>
      <c r="G175" s="119"/>
    </row>
    <row r="176" spans="2:7" ht="13.2" x14ac:dyDescent="0.25">
      <c r="B176" s="118"/>
      <c r="C176" s="231"/>
      <c r="G176" s="119"/>
    </row>
    <row r="177" spans="2:7" ht="13.2" x14ac:dyDescent="0.25">
      <c r="B177" s="118"/>
      <c r="C177" s="231"/>
      <c r="G177" s="119"/>
    </row>
    <row r="178" spans="2:7" ht="13.2" x14ac:dyDescent="0.25">
      <c r="B178" s="118"/>
      <c r="C178" s="231"/>
      <c r="G178" s="119"/>
    </row>
    <row r="179" spans="2:7" ht="13.2" x14ac:dyDescent="0.25">
      <c r="B179" s="118"/>
      <c r="C179" s="231"/>
      <c r="G179" s="119"/>
    </row>
    <row r="180" spans="2:7" ht="13.2" x14ac:dyDescent="0.25">
      <c r="B180" s="118"/>
      <c r="C180" s="231"/>
      <c r="G180" s="119"/>
    </row>
    <row r="181" spans="2:7" ht="13.2" x14ac:dyDescent="0.25">
      <c r="B181" s="118"/>
      <c r="C181" s="231"/>
      <c r="G181" s="119"/>
    </row>
    <row r="182" spans="2:7" ht="13.2" x14ac:dyDescent="0.25">
      <c r="B182" s="118"/>
      <c r="C182" s="231"/>
      <c r="G182" s="119"/>
    </row>
    <row r="183" spans="2:7" ht="13.2" x14ac:dyDescent="0.25">
      <c r="B183" s="118"/>
      <c r="C183" s="231"/>
      <c r="G183" s="119"/>
    </row>
    <row r="184" spans="2:7" ht="13.2" x14ac:dyDescent="0.25">
      <c r="B184" s="118"/>
      <c r="C184" s="231"/>
      <c r="G184" s="119"/>
    </row>
    <row r="185" spans="2:7" ht="13.2" x14ac:dyDescent="0.25">
      <c r="B185" s="118"/>
      <c r="C185" s="231"/>
      <c r="G185" s="119"/>
    </row>
    <row r="186" spans="2:7" ht="13.2" x14ac:dyDescent="0.25">
      <c r="B186" s="118"/>
      <c r="C186" s="231"/>
      <c r="G186" s="119"/>
    </row>
    <row r="187" spans="2:7" ht="13.2" x14ac:dyDescent="0.25">
      <c r="B187" s="118"/>
      <c r="C187" s="231"/>
      <c r="G187" s="119"/>
    </row>
    <row r="188" spans="2:7" ht="13.2" x14ac:dyDescent="0.25">
      <c r="B188" s="118"/>
      <c r="C188" s="231"/>
      <c r="G188" s="119"/>
    </row>
    <row r="189" spans="2:7" ht="13.2" x14ac:dyDescent="0.25">
      <c r="B189" s="118"/>
      <c r="C189" s="231"/>
      <c r="G189" s="119"/>
    </row>
    <row r="190" spans="2:7" ht="13.2" x14ac:dyDescent="0.25">
      <c r="B190" s="118"/>
      <c r="C190" s="231"/>
      <c r="G190" s="119"/>
    </row>
    <row r="191" spans="2:7" ht="13.2" x14ac:dyDescent="0.25">
      <c r="B191" s="118"/>
      <c r="C191" s="231"/>
      <c r="G191" s="119"/>
    </row>
    <row r="192" spans="2:7" ht="13.2" x14ac:dyDescent="0.25">
      <c r="B192" s="118"/>
      <c r="C192" s="231"/>
      <c r="G192" s="119"/>
    </row>
    <row r="193" spans="2:7" ht="13.2" x14ac:dyDescent="0.25">
      <c r="B193" s="118"/>
      <c r="C193" s="231"/>
      <c r="G193" s="119"/>
    </row>
    <row r="194" spans="2:7" ht="13.2" x14ac:dyDescent="0.25">
      <c r="B194" s="118"/>
      <c r="C194" s="231"/>
      <c r="G194" s="119"/>
    </row>
    <row r="195" spans="2:7" ht="13.2" x14ac:dyDescent="0.25">
      <c r="B195" s="118"/>
      <c r="C195" s="231"/>
      <c r="G195" s="119"/>
    </row>
    <row r="196" spans="2:7" ht="13.2" x14ac:dyDescent="0.25">
      <c r="B196" s="118"/>
      <c r="C196" s="231"/>
      <c r="G196" s="119"/>
    </row>
    <row r="197" spans="2:7" ht="13.2" x14ac:dyDescent="0.25">
      <c r="B197" s="118"/>
      <c r="C197" s="231"/>
      <c r="G197" s="119"/>
    </row>
    <row r="198" spans="2:7" ht="13.2" x14ac:dyDescent="0.25">
      <c r="B198" s="118"/>
      <c r="C198" s="231"/>
      <c r="G198" s="119"/>
    </row>
    <row r="199" spans="2:7" ht="13.2" x14ac:dyDescent="0.25">
      <c r="B199" s="118"/>
      <c r="C199" s="231"/>
      <c r="G199" s="119"/>
    </row>
    <row r="200" spans="2:7" ht="13.2" x14ac:dyDescent="0.25">
      <c r="B200" s="118"/>
      <c r="C200" s="231"/>
      <c r="G200" s="119"/>
    </row>
    <row r="201" spans="2:7" ht="13.2" x14ac:dyDescent="0.25">
      <c r="B201" s="118"/>
      <c r="C201" s="231"/>
      <c r="G201" s="119"/>
    </row>
    <row r="202" spans="2:7" ht="13.2" x14ac:dyDescent="0.25">
      <c r="B202" s="118"/>
      <c r="C202" s="231"/>
      <c r="G202" s="119"/>
    </row>
    <row r="203" spans="2:7" ht="13.2" x14ac:dyDescent="0.25">
      <c r="B203" s="118"/>
      <c r="C203" s="231"/>
      <c r="G203" s="119"/>
    </row>
    <row r="204" spans="2:7" ht="13.2" x14ac:dyDescent="0.25">
      <c r="B204" s="118"/>
      <c r="C204" s="231"/>
      <c r="G204" s="119"/>
    </row>
    <row r="205" spans="2:7" ht="13.2" x14ac:dyDescent="0.25">
      <c r="B205" s="118"/>
      <c r="C205" s="231"/>
      <c r="G205" s="119"/>
    </row>
    <row r="206" spans="2:7" ht="13.2" x14ac:dyDescent="0.25">
      <c r="B206" s="118"/>
      <c r="C206" s="231"/>
      <c r="G206" s="119"/>
    </row>
    <row r="207" spans="2:7" ht="13.2" x14ac:dyDescent="0.25">
      <c r="B207" s="118"/>
      <c r="C207" s="231"/>
      <c r="G207" s="119"/>
    </row>
    <row r="208" spans="2:7" ht="13.2" x14ac:dyDescent="0.25">
      <c r="B208" s="118"/>
      <c r="C208" s="231"/>
      <c r="G208" s="119"/>
    </row>
    <row r="209" spans="2:7" ht="13.2" x14ac:dyDescent="0.25">
      <c r="B209" s="118"/>
      <c r="C209" s="231"/>
      <c r="G209" s="119"/>
    </row>
    <row r="210" spans="2:7" ht="13.2" x14ac:dyDescent="0.25">
      <c r="B210" s="118"/>
      <c r="C210" s="231"/>
      <c r="G210" s="119"/>
    </row>
    <row r="211" spans="2:7" ht="13.2" x14ac:dyDescent="0.25">
      <c r="B211" s="118"/>
      <c r="C211" s="231"/>
      <c r="G211" s="119"/>
    </row>
    <row r="212" spans="2:7" ht="13.2" x14ac:dyDescent="0.25">
      <c r="B212" s="118"/>
      <c r="C212" s="231"/>
      <c r="G212" s="119"/>
    </row>
    <row r="213" spans="2:7" ht="13.2" x14ac:dyDescent="0.25">
      <c r="B213" s="118"/>
      <c r="C213" s="231"/>
      <c r="G213" s="119"/>
    </row>
    <row r="214" spans="2:7" ht="13.2" x14ac:dyDescent="0.25">
      <c r="B214" s="118"/>
      <c r="C214" s="231"/>
      <c r="G214" s="119"/>
    </row>
    <row r="215" spans="2:7" ht="13.2" x14ac:dyDescent="0.25">
      <c r="B215" s="118"/>
      <c r="C215" s="231"/>
      <c r="G215" s="119"/>
    </row>
    <row r="216" spans="2:7" ht="13.2" x14ac:dyDescent="0.25">
      <c r="B216" s="118"/>
      <c r="C216" s="231"/>
      <c r="G216" s="119"/>
    </row>
    <row r="217" spans="2:7" ht="13.2" x14ac:dyDescent="0.25">
      <c r="B217" s="118"/>
      <c r="C217" s="231"/>
      <c r="G217" s="119"/>
    </row>
    <row r="218" spans="2:7" ht="13.2" x14ac:dyDescent="0.25">
      <c r="B218" s="118"/>
      <c r="C218" s="231"/>
      <c r="G218" s="119"/>
    </row>
    <row r="219" spans="2:7" ht="13.2" x14ac:dyDescent="0.25">
      <c r="B219" s="118"/>
      <c r="C219" s="231"/>
      <c r="G219" s="119"/>
    </row>
    <row r="220" spans="2:7" ht="13.2" x14ac:dyDescent="0.25">
      <c r="B220" s="118"/>
      <c r="C220" s="231"/>
      <c r="G220" s="119"/>
    </row>
    <row r="221" spans="2:7" ht="13.2" x14ac:dyDescent="0.25">
      <c r="B221" s="118"/>
      <c r="C221" s="231"/>
      <c r="G221" s="119"/>
    </row>
    <row r="222" spans="2:7" ht="13.2" x14ac:dyDescent="0.25">
      <c r="B222" s="118"/>
      <c r="C222" s="231"/>
      <c r="G222" s="119"/>
    </row>
    <row r="223" spans="2:7" ht="13.2" x14ac:dyDescent="0.25">
      <c r="B223" s="118"/>
      <c r="C223" s="231"/>
      <c r="G223" s="119"/>
    </row>
    <row r="224" spans="2:7" ht="13.2" x14ac:dyDescent="0.25">
      <c r="B224" s="118"/>
      <c r="C224" s="231"/>
      <c r="G224" s="119"/>
    </row>
    <row r="225" spans="2:7" ht="13.2" x14ac:dyDescent="0.25">
      <c r="B225" s="118"/>
      <c r="C225" s="231"/>
      <c r="G225" s="119"/>
    </row>
    <row r="226" spans="2:7" ht="13.2" x14ac:dyDescent="0.25">
      <c r="B226" s="118"/>
      <c r="C226" s="231"/>
      <c r="G226" s="119"/>
    </row>
    <row r="227" spans="2:7" ht="13.2" x14ac:dyDescent="0.25">
      <c r="B227" s="118"/>
      <c r="C227" s="231"/>
      <c r="G227" s="119"/>
    </row>
    <row r="228" spans="2:7" ht="13.2" x14ac:dyDescent="0.25">
      <c r="B228" s="118"/>
      <c r="C228" s="231"/>
      <c r="G228" s="119"/>
    </row>
    <row r="229" spans="2:7" ht="13.2" x14ac:dyDescent="0.25">
      <c r="B229" s="118"/>
      <c r="C229" s="231"/>
      <c r="G229" s="119"/>
    </row>
    <row r="230" spans="2:7" ht="13.2" x14ac:dyDescent="0.25">
      <c r="B230" s="118"/>
      <c r="C230" s="231"/>
      <c r="G230" s="119"/>
    </row>
    <row r="231" spans="2:7" ht="13.2" x14ac:dyDescent="0.25">
      <c r="B231" s="118"/>
      <c r="C231" s="231"/>
      <c r="G231" s="119"/>
    </row>
    <row r="232" spans="2:7" ht="13.2" x14ac:dyDescent="0.25">
      <c r="B232" s="118"/>
      <c r="C232" s="231"/>
      <c r="G232" s="119"/>
    </row>
    <row r="233" spans="2:7" ht="13.2" x14ac:dyDescent="0.25">
      <c r="B233" s="118"/>
      <c r="C233" s="231"/>
      <c r="G233" s="119"/>
    </row>
    <row r="234" spans="2:7" ht="13.2" x14ac:dyDescent="0.25">
      <c r="B234" s="118"/>
      <c r="C234" s="231"/>
      <c r="G234" s="119"/>
    </row>
    <row r="235" spans="2:7" ht="13.2" x14ac:dyDescent="0.25">
      <c r="B235" s="118"/>
      <c r="C235" s="231"/>
      <c r="G235" s="119"/>
    </row>
    <row r="236" spans="2:7" ht="13.2" x14ac:dyDescent="0.25">
      <c r="B236" s="118"/>
      <c r="C236" s="231"/>
      <c r="G236" s="119"/>
    </row>
    <row r="237" spans="2:7" ht="13.2" x14ac:dyDescent="0.25">
      <c r="B237" s="118"/>
      <c r="C237" s="231"/>
      <c r="G237" s="119"/>
    </row>
    <row r="238" spans="2:7" ht="13.2" x14ac:dyDescent="0.25">
      <c r="B238" s="118"/>
      <c r="C238" s="231"/>
      <c r="G238" s="119"/>
    </row>
    <row r="239" spans="2:7" ht="13.2" x14ac:dyDescent="0.25">
      <c r="B239" s="118"/>
      <c r="C239" s="231"/>
      <c r="G239" s="119"/>
    </row>
    <row r="240" spans="2:7" ht="13.2" x14ac:dyDescent="0.25">
      <c r="B240" s="118"/>
      <c r="C240" s="231"/>
      <c r="G240" s="119"/>
    </row>
    <row r="241" spans="2:7" ht="13.2" x14ac:dyDescent="0.25">
      <c r="B241" s="118"/>
      <c r="C241" s="231"/>
      <c r="G241" s="119"/>
    </row>
    <row r="242" spans="2:7" ht="13.2" x14ac:dyDescent="0.25">
      <c r="B242" s="118"/>
      <c r="C242" s="231"/>
      <c r="G242" s="119"/>
    </row>
    <row r="243" spans="2:7" ht="13.2" x14ac:dyDescent="0.25">
      <c r="B243" s="118"/>
      <c r="C243" s="231"/>
      <c r="G243" s="119"/>
    </row>
    <row r="244" spans="2:7" ht="13.2" x14ac:dyDescent="0.25">
      <c r="B244" s="118"/>
      <c r="C244" s="231"/>
      <c r="G244" s="119"/>
    </row>
    <row r="245" spans="2:7" ht="13.2" x14ac:dyDescent="0.25">
      <c r="B245" s="118"/>
      <c r="C245" s="231"/>
      <c r="G245" s="119"/>
    </row>
    <row r="246" spans="2:7" ht="13.2" x14ac:dyDescent="0.25">
      <c r="B246" s="118"/>
      <c r="C246" s="231"/>
      <c r="G246" s="119"/>
    </row>
    <row r="247" spans="2:7" ht="13.2" x14ac:dyDescent="0.25">
      <c r="B247" s="118"/>
      <c r="C247" s="231"/>
      <c r="G247" s="119"/>
    </row>
    <row r="248" spans="2:7" ht="13.2" x14ac:dyDescent="0.25">
      <c r="B248" s="118"/>
      <c r="C248" s="231"/>
      <c r="G248" s="119"/>
    </row>
    <row r="249" spans="2:7" ht="13.2" x14ac:dyDescent="0.25">
      <c r="B249" s="118"/>
      <c r="C249" s="231"/>
      <c r="G249" s="119"/>
    </row>
    <row r="250" spans="2:7" ht="13.2" x14ac:dyDescent="0.25">
      <c r="B250" s="118"/>
      <c r="C250" s="231"/>
      <c r="G250" s="119"/>
    </row>
    <row r="251" spans="2:7" ht="13.2" x14ac:dyDescent="0.25">
      <c r="B251" s="118"/>
      <c r="C251" s="231"/>
      <c r="G251" s="119"/>
    </row>
    <row r="252" spans="2:7" ht="13.2" x14ac:dyDescent="0.25">
      <c r="B252" s="118"/>
      <c r="C252" s="231"/>
      <c r="G252" s="119"/>
    </row>
    <row r="253" spans="2:7" ht="13.2" x14ac:dyDescent="0.25">
      <c r="B253" s="118"/>
      <c r="C253" s="231"/>
      <c r="G253" s="119"/>
    </row>
    <row r="254" spans="2:7" ht="13.2" x14ac:dyDescent="0.25">
      <c r="B254" s="118"/>
      <c r="C254" s="231"/>
      <c r="G254" s="119"/>
    </row>
    <row r="255" spans="2:7" ht="13.2" x14ac:dyDescent="0.25">
      <c r="B255" s="118"/>
      <c r="C255" s="231"/>
      <c r="G255" s="119"/>
    </row>
    <row r="256" spans="2:7" ht="13.2" x14ac:dyDescent="0.25">
      <c r="B256" s="118"/>
      <c r="C256" s="231"/>
      <c r="G256" s="119"/>
    </row>
    <row r="257" spans="2:7" ht="13.2" x14ac:dyDescent="0.25">
      <c r="B257" s="118"/>
      <c r="C257" s="231"/>
      <c r="G257" s="119"/>
    </row>
    <row r="258" spans="2:7" ht="13.2" x14ac:dyDescent="0.25">
      <c r="B258" s="118"/>
      <c r="C258" s="231"/>
      <c r="G258" s="119"/>
    </row>
    <row r="259" spans="2:7" ht="13.2" x14ac:dyDescent="0.25">
      <c r="B259" s="118"/>
      <c r="C259" s="231"/>
      <c r="G259" s="119"/>
    </row>
    <row r="260" spans="2:7" ht="13.2" x14ac:dyDescent="0.25">
      <c r="B260" s="118"/>
      <c r="C260" s="231"/>
      <c r="G260" s="119"/>
    </row>
    <row r="261" spans="2:7" ht="13.2" x14ac:dyDescent="0.25">
      <c r="B261" s="118"/>
      <c r="C261" s="231"/>
      <c r="G261" s="119"/>
    </row>
    <row r="262" spans="2:7" ht="13.2" x14ac:dyDescent="0.25">
      <c r="B262" s="118"/>
      <c r="C262" s="231"/>
      <c r="G262" s="119"/>
    </row>
    <row r="263" spans="2:7" ht="13.2" x14ac:dyDescent="0.25">
      <c r="B263" s="118"/>
      <c r="C263" s="231"/>
      <c r="G263" s="119"/>
    </row>
    <row r="264" spans="2:7" ht="13.2" x14ac:dyDescent="0.25">
      <c r="B264" s="118"/>
      <c r="C264" s="231"/>
      <c r="G264" s="119"/>
    </row>
    <row r="265" spans="2:7" ht="13.2" x14ac:dyDescent="0.25">
      <c r="B265" s="118"/>
      <c r="C265" s="231"/>
      <c r="G265" s="119"/>
    </row>
    <row r="266" spans="2:7" ht="13.2" x14ac:dyDescent="0.25">
      <c r="B266" s="118"/>
      <c r="C266" s="231"/>
      <c r="G266" s="119"/>
    </row>
    <row r="267" spans="2:7" ht="13.2" x14ac:dyDescent="0.25">
      <c r="B267" s="118"/>
      <c r="C267" s="231"/>
      <c r="G267" s="119"/>
    </row>
    <row r="268" spans="2:7" ht="13.2" x14ac:dyDescent="0.25">
      <c r="B268" s="118"/>
      <c r="C268" s="231"/>
      <c r="G268" s="119"/>
    </row>
    <row r="269" spans="2:7" ht="13.2" x14ac:dyDescent="0.25">
      <c r="B269" s="118"/>
      <c r="C269" s="231"/>
      <c r="G269" s="119"/>
    </row>
    <row r="270" spans="2:7" ht="13.2" x14ac:dyDescent="0.25">
      <c r="B270" s="118"/>
      <c r="C270" s="231"/>
      <c r="G270" s="119"/>
    </row>
    <row r="271" spans="2:7" ht="13.2" x14ac:dyDescent="0.25">
      <c r="B271" s="118"/>
      <c r="C271" s="231"/>
      <c r="G271" s="119"/>
    </row>
    <row r="272" spans="2:7" ht="13.2" x14ac:dyDescent="0.25">
      <c r="B272" s="118"/>
      <c r="C272" s="231"/>
      <c r="G272" s="119"/>
    </row>
    <row r="273" spans="2:7" ht="13.2" x14ac:dyDescent="0.25">
      <c r="B273" s="118"/>
      <c r="C273" s="231"/>
      <c r="G273" s="119"/>
    </row>
    <row r="274" spans="2:7" ht="13.2" x14ac:dyDescent="0.25">
      <c r="B274" s="118"/>
      <c r="C274" s="231"/>
      <c r="G274" s="119"/>
    </row>
    <row r="275" spans="2:7" ht="13.2" x14ac:dyDescent="0.25">
      <c r="B275" s="118"/>
      <c r="C275" s="231"/>
      <c r="G275" s="119"/>
    </row>
    <row r="276" spans="2:7" ht="13.2" x14ac:dyDescent="0.25">
      <c r="B276" s="118"/>
      <c r="C276" s="231"/>
      <c r="G276" s="119"/>
    </row>
    <row r="277" spans="2:7" ht="13.2" x14ac:dyDescent="0.25">
      <c r="B277" s="118"/>
      <c r="C277" s="231"/>
      <c r="G277" s="119"/>
    </row>
    <row r="278" spans="2:7" ht="13.2" x14ac:dyDescent="0.25">
      <c r="B278" s="118"/>
      <c r="C278" s="231"/>
      <c r="G278" s="119"/>
    </row>
    <row r="279" spans="2:7" ht="13.2" x14ac:dyDescent="0.25">
      <c r="B279" s="118"/>
      <c r="C279" s="231"/>
      <c r="G279" s="119"/>
    </row>
    <row r="280" spans="2:7" ht="13.2" x14ac:dyDescent="0.25">
      <c r="B280" s="118"/>
      <c r="C280" s="231"/>
      <c r="G280" s="119"/>
    </row>
    <row r="281" spans="2:7" ht="13.2" x14ac:dyDescent="0.25">
      <c r="B281" s="118"/>
      <c r="C281" s="231"/>
      <c r="G281" s="119"/>
    </row>
    <row r="282" spans="2:7" ht="13.2" x14ac:dyDescent="0.25">
      <c r="B282" s="118"/>
      <c r="C282" s="231"/>
      <c r="G282" s="119"/>
    </row>
    <row r="283" spans="2:7" ht="13.2" x14ac:dyDescent="0.25">
      <c r="B283" s="118"/>
      <c r="C283" s="231"/>
      <c r="G283" s="119"/>
    </row>
    <row r="284" spans="2:7" ht="13.2" x14ac:dyDescent="0.25">
      <c r="B284" s="118"/>
      <c r="C284" s="231"/>
      <c r="G284" s="119"/>
    </row>
    <row r="285" spans="2:7" ht="13.2" x14ac:dyDescent="0.25">
      <c r="B285" s="118"/>
      <c r="C285" s="231"/>
      <c r="G285" s="119"/>
    </row>
    <row r="286" spans="2:7" ht="13.2" x14ac:dyDescent="0.25">
      <c r="B286" s="118"/>
      <c r="C286" s="231"/>
      <c r="G286" s="119"/>
    </row>
    <row r="287" spans="2:7" ht="13.2" x14ac:dyDescent="0.25">
      <c r="B287" s="118"/>
      <c r="C287" s="231"/>
      <c r="G287" s="119"/>
    </row>
    <row r="288" spans="2:7" ht="13.2" x14ac:dyDescent="0.25">
      <c r="B288" s="118"/>
      <c r="C288" s="231"/>
      <c r="G288" s="119"/>
    </row>
    <row r="289" spans="2:7" ht="13.2" x14ac:dyDescent="0.25">
      <c r="B289" s="118"/>
      <c r="C289" s="231"/>
      <c r="G289" s="119"/>
    </row>
    <row r="290" spans="2:7" ht="13.2" x14ac:dyDescent="0.25">
      <c r="B290" s="118"/>
      <c r="C290" s="231"/>
      <c r="G290" s="119"/>
    </row>
    <row r="291" spans="2:7" ht="13.2" x14ac:dyDescent="0.25">
      <c r="B291" s="118"/>
      <c r="C291" s="231"/>
      <c r="G291" s="119"/>
    </row>
    <row r="292" spans="2:7" ht="13.2" x14ac:dyDescent="0.25">
      <c r="B292" s="118"/>
      <c r="C292" s="231"/>
      <c r="G292" s="119"/>
    </row>
    <row r="293" spans="2:7" ht="13.2" x14ac:dyDescent="0.25">
      <c r="B293" s="118"/>
      <c r="C293" s="231"/>
      <c r="G293" s="119"/>
    </row>
    <row r="294" spans="2:7" ht="13.2" x14ac:dyDescent="0.25">
      <c r="B294" s="118"/>
      <c r="C294" s="231"/>
      <c r="G294" s="119"/>
    </row>
    <row r="295" spans="2:7" ht="13.2" x14ac:dyDescent="0.25">
      <c r="B295" s="118"/>
      <c r="C295" s="231"/>
      <c r="G295" s="119"/>
    </row>
    <row r="296" spans="2:7" ht="13.2" x14ac:dyDescent="0.25">
      <c r="B296" s="118"/>
      <c r="C296" s="231"/>
      <c r="G296" s="119"/>
    </row>
    <row r="297" spans="2:7" ht="13.2" x14ac:dyDescent="0.25">
      <c r="B297" s="118"/>
      <c r="C297" s="231"/>
      <c r="G297" s="119"/>
    </row>
    <row r="298" spans="2:7" ht="13.2" x14ac:dyDescent="0.25">
      <c r="B298" s="118"/>
      <c r="C298" s="231"/>
      <c r="G298" s="119"/>
    </row>
    <row r="299" spans="2:7" ht="13.2" x14ac:dyDescent="0.25">
      <c r="B299" s="118"/>
      <c r="C299" s="231"/>
      <c r="G299" s="119"/>
    </row>
    <row r="300" spans="2:7" ht="13.2" x14ac:dyDescent="0.25">
      <c r="B300" s="118"/>
      <c r="C300" s="231"/>
      <c r="G300" s="119"/>
    </row>
    <row r="301" spans="2:7" ht="13.2" x14ac:dyDescent="0.25">
      <c r="B301" s="118"/>
      <c r="C301" s="231"/>
      <c r="G301" s="119"/>
    </row>
    <row r="302" spans="2:7" ht="13.2" x14ac:dyDescent="0.25">
      <c r="B302" s="118"/>
      <c r="C302" s="231"/>
      <c r="G302" s="119"/>
    </row>
    <row r="303" spans="2:7" ht="13.2" x14ac:dyDescent="0.25">
      <c r="B303" s="118"/>
      <c r="C303" s="231"/>
      <c r="G303" s="119"/>
    </row>
    <row r="304" spans="2:7" ht="13.2" x14ac:dyDescent="0.25">
      <c r="B304" s="118"/>
      <c r="C304" s="231"/>
      <c r="G304" s="119"/>
    </row>
    <row r="305" spans="2:7" ht="13.2" x14ac:dyDescent="0.25">
      <c r="B305" s="118"/>
      <c r="C305" s="231"/>
      <c r="G305" s="119"/>
    </row>
    <row r="306" spans="2:7" ht="13.2" x14ac:dyDescent="0.25">
      <c r="B306" s="118"/>
      <c r="C306" s="231"/>
      <c r="G306" s="119"/>
    </row>
    <row r="307" spans="2:7" ht="13.2" x14ac:dyDescent="0.25">
      <c r="B307" s="118"/>
      <c r="C307" s="231"/>
      <c r="G307" s="119"/>
    </row>
    <row r="308" spans="2:7" ht="13.2" x14ac:dyDescent="0.25">
      <c r="B308" s="118"/>
      <c r="C308" s="231"/>
      <c r="G308" s="119"/>
    </row>
    <row r="309" spans="2:7" ht="13.2" x14ac:dyDescent="0.25">
      <c r="B309" s="118"/>
      <c r="C309" s="231"/>
      <c r="G309" s="119"/>
    </row>
    <row r="310" spans="2:7" ht="13.2" x14ac:dyDescent="0.25">
      <c r="B310" s="118"/>
      <c r="C310" s="231"/>
      <c r="G310" s="119"/>
    </row>
    <row r="311" spans="2:7" ht="13.2" x14ac:dyDescent="0.25">
      <c r="B311" s="118"/>
      <c r="C311" s="231"/>
      <c r="G311" s="119"/>
    </row>
    <row r="312" spans="2:7" ht="13.2" x14ac:dyDescent="0.25">
      <c r="B312" s="118"/>
      <c r="C312" s="231"/>
      <c r="G312" s="119"/>
    </row>
    <row r="313" spans="2:7" ht="13.2" x14ac:dyDescent="0.25">
      <c r="B313" s="118"/>
      <c r="C313" s="231"/>
      <c r="G313" s="119"/>
    </row>
    <row r="314" spans="2:7" ht="13.2" x14ac:dyDescent="0.25">
      <c r="B314" s="118"/>
      <c r="C314" s="231"/>
      <c r="G314" s="119"/>
    </row>
    <row r="315" spans="2:7" ht="13.2" x14ac:dyDescent="0.25">
      <c r="B315" s="118"/>
      <c r="C315" s="231"/>
      <c r="G315" s="119"/>
    </row>
    <row r="316" spans="2:7" ht="13.2" x14ac:dyDescent="0.25">
      <c r="B316" s="118"/>
      <c r="C316" s="231"/>
      <c r="G316" s="119"/>
    </row>
    <row r="317" spans="2:7" ht="13.2" x14ac:dyDescent="0.25">
      <c r="B317" s="118"/>
      <c r="C317" s="231"/>
      <c r="G317" s="119"/>
    </row>
    <row r="318" spans="2:7" ht="13.2" x14ac:dyDescent="0.25">
      <c r="B318" s="118"/>
      <c r="C318" s="231"/>
      <c r="G318" s="119"/>
    </row>
    <row r="319" spans="2:7" ht="13.2" x14ac:dyDescent="0.25">
      <c r="B319" s="118"/>
      <c r="C319" s="231"/>
      <c r="G319" s="119"/>
    </row>
    <row r="320" spans="2:7" ht="13.2" x14ac:dyDescent="0.25">
      <c r="B320" s="118"/>
      <c r="C320" s="231"/>
      <c r="G320" s="119"/>
    </row>
    <row r="321" spans="2:7" ht="13.2" x14ac:dyDescent="0.25">
      <c r="B321" s="118"/>
      <c r="C321" s="231"/>
      <c r="G321" s="119"/>
    </row>
    <row r="322" spans="2:7" ht="13.2" x14ac:dyDescent="0.25">
      <c r="B322" s="118"/>
      <c r="C322" s="231"/>
      <c r="G322" s="119"/>
    </row>
    <row r="323" spans="2:7" ht="13.2" x14ac:dyDescent="0.25">
      <c r="B323" s="118"/>
      <c r="C323" s="231"/>
      <c r="G323" s="119"/>
    </row>
    <row r="324" spans="2:7" ht="13.2" x14ac:dyDescent="0.25">
      <c r="B324" s="118"/>
      <c r="C324" s="231"/>
      <c r="G324" s="119"/>
    </row>
    <row r="325" spans="2:7" ht="13.2" x14ac:dyDescent="0.25">
      <c r="B325" s="118"/>
      <c r="C325" s="231"/>
      <c r="G325" s="119"/>
    </row>
    <row r="326" spans="2:7" ht="13.2" x14ac:dyDescent="0.25">
      <c r="B326" s="118"/>
      <c r="C326" s="231"/>
      <c r="G326" s="119"/>
    </row>
    <row r="327" spans="2:7" ht="13.2" x14ac:dyDescent="0.25">
      <c r="B327" s="118"/>
      <c r="C327" s="231"/>
      <c r="G327" s="119"/>
    </row>
    <row r="328" spans="2:7" ht="13.2" x14ac:dyDescent="0.25">
      <c r="B328" s="118"/>
      <c r="C328" s="231"/>
      <c r="G328" s="119"/>
    </row>
    <row r="329" spans="2:7" ht="13.2" x14ac:dyDescent="0.25">
      <c r="B329" s="118"/>
      <c r="C329" s="231"/>
      <c r="G329" s="119"/>
    </row>
    <row r="330" spans="2:7" ht="13.2" x14ac:dyDescent="0.25">
      <c r="B330" s="118"/>
      <c r="C330" s="231"/>
      <c r="G330" s="119"/>
    </row>
    <row r="331" spans="2:7" ht="13.2" x14ac:dyDescent="0.25">
      <c r="B331" s="118"/>
      <c r="C331" s="231"/>
      <c r="G331" s="119"/>
    </row>
    <row r="332" spans="2:7" ht="13.2" x14ac:dyDescent="0.25">
      <c r="B332" s="118"/>
      <c r="C332" s="231"/>
      <c r="G332" s="119"/>
    </row>
    <row r="333" spans="2:7" ht="13.2" x14ac:dyDescent="0.25">
      <c r="B333" s="118"/>
      <c r="C333" s="231"/>
      <c r="G333" s="119"/>
    </row>
    <row r="334" spans="2:7" ht="13.2" x14ac:dyDescent="0.25">
      <c r="B334" s="118"/>
      <c r="C334" s="231"/>
      <c r="G334" s="119"/>
    </row>
    <row r="335" spans="2:7" ht="13.2" x14ac:dyDescent="0.25">
      <c r="B335" s="118"/>
      <c r="C335" s="231"/>
      <c r="G335" s="119"/>
    </row>
    <row r="336" spans="2:7" ht="13.2" x14ac:dyDescent="0.25">
      <c r="B336" s="118"/>
      <c r="C336" s="231"/>
      <c r="G336" s="119"/>
    </row>
    <row r="337" spans="2:7" ht="13.2" x14ac:dyDescent="0.25">
      <c r="B337" s="118"/>
      <c r="C337" s="231"/>
      <c r="G337" s="119"/>
    </row>
    <row r="338" spans="2:7" ht="13.2" x14ac:dyDescent="0.25">
      <c r="B338" s="118"/>
      <c r="C338" s="231"/>
      <c r="G338" s="119"/>
    </row>
    <row r="339" spans="2:7" ht="13.2" x14ac:dyDescent="0.25">
      <c r="B339" s="118"/>
      <c r="C339" s="231"/>
      <c r="G339" s="119"/>
    </row>
    <row r="340" spans="2:7" ht="13.2" x14ac:dyDescent="0.25">
      <c r="B340" s="118"/>
      <c r="C340" s="231"/>
      <c r="G340" s="119"/>
    </row>
    <row r="341" spans="2:7" ht="13.2" x14ac:dyDescent="0.25">
      <c r="B341" s="118"/>
      <c r="C341" s="231"/>
      <c r="G341" s="119"/>
    </row>
    <row r="342" spans="2:7" ht="13.2" x14ac:dyDescent="0.25">
      <c r="B342" s="118"/>
      <c r="C342" s="231"/>
      <c r="G342" s="119"/>
    </row>
    <row r="343" spans="2:7" ht="13.2" x14ac:dyDescent="0.25">
      <c r="B343" s="118"/>
      <c r="C343" s="231"/>
      <c r="G343" s="119"/>
    </row>
    <row r="344" spans="2:7" ht="13.2" x14ac:dyDescent="0.25">
      <c r="B344" s="118"/>
      <c r="C344" s="231"/>
      <c r="G344" s="119"/>
    </row>
    <row r="345" spans="2:7" ht="13.2" x14ac:dyDescent="0.25">
      <c r="B345" s="118"/>
      <c r="C345" s="231"/>
      <c r="G345" s="119"/>
    </row>
    <row r="346" spans="2:7" ht="13.2" x14ac:dyDescent="0.25">
      <c r="B346" s="118"/>
      <c r="C346" s="231"/>
      <c r="G346" s="119"/>
    </row>
    <row r="347" spans="2:7" ht="13.2" x14ac:dyDescent="0.25">
      <c r="B347" s="118"/>
      <c r="C347" s="231"/>
      <c r="G347" s="119"/>
    </row>
    <row r="348" spans="2:7" ht="13.2" x14ac:dyDescent="0.25">
      <c r="B348" s="118"/>
      <c r="C348" s="231"/>
      <c r="G348" s="119"/>
    </row>
    <row r="349" spans="2:7" ht="13.2" x14ac:dyDescent="0.25">
      <c r="B349" s="118"/>
      <c r="C349" s="231"/>
      <c r="G349" s="119"/>
    </row>
    <row r="350" spans="2:7" ht="13.2" x14ac:dyDescent="0.25">
      <c r="B350" s="118"/>
      <c r="C350" s="231"/>
      <c r="G350" s="119"/>
    </row>
    <row r="351" spans="2:7" ht="13.2" x14ac:dyDescent="0.25">
      <c r="B351" s="118"/>
      <c r="C351" s="231"/>
      <c r="G351" s="119"/>
    </row>
    <row r="352" spans="2:7" ht="13.2" x14ac:dyDescent="0.25">
      <c r="B352" s="118"/>
      <c r="C352" s="231"/>
      <c r="G352" s="119"/>
    </row>
    <row r="353" spans="2:7" ht="13.2" x14ac:dyDescent="0.25">
      <c r="B353" s="118"/>
      <c r="C353" s="231"/>
      <c r="G353" s="119"/>
    </row>
    <row r="354" spans="2:7" ht="13.2" x14ac:dyDescent="0.25">
      <c r="B354" s="118"/>
      <c r="C354" s="231"/>
      <c r="G354" s="119"/>
    </row>
    <row r="355" spans="2:7" ht="13.2" x14ac:dyDescent="0.25">
      <c r="B355" s="118"/>
      <c r="C355" s="231"/>
      <c r="G355" s="119"/>
    </row>
    <row r="356" spans="2:7" ht="13.2" x14ac:dyDescent="0.25">
      <c r="B356" s="118"/>
      <c r="C356" s="231"/>
      <c r="G356" s="119"/>
    </row>
    <row r="357" spans="2:7" ht="13.2" x14ac:dyDescent="0.25">
      <c r="B357" s="118"/>
      <c r="C357" s="231"/>
      <c r="G357" s="119"/>
    </row>
    <row r="358" spans="2:7" ht="13.2" x14ac:dyDescent="0.25">
      <c r="B358" s="118"/>
      <c r="C358" s="231"/>
      <c r="G358" s="119"/>
    </row>
    <row r="359" spans="2:7" ht="13.2" x14ac:dyDescent="0.25">
      <c r="B359" s="118"/>
      <c r="C359" s="231"/>
      <c r="G359" s="119"/>
    </row>
    <row r="360" spans="2:7" ht="13.2" x14ac:dyDescent="0.25">
      <c r="B360" s="118"/>
      <c r="C360" s="231"/>
      <c r="G360" s="119"/>
    </row>
    <row r="361" spans="2:7" ht="13.2" x14ac:dyDescent="0.25">
      <c r="B361" s="118"/>
      <c r="C361" s="231"/>
      <c r="G361" s="119"/>
    </row>
    <row r="362" spans="2:7" ht="13.2" x14ac:dyDescent="0.25">
      <c r="B362" s="118"/>
      <c r="C362" s="231"/>
      <c r="G362" s="119"/>
    </row>
    <row r="363" spans="2:7" ht="13.2" x14ac:dyDescent="0.25">
      <c r="B363" s="118"/>
      <c r="C363" s="231"/>
      <c r="G363" s="119"/>
    </row>
    <row r="364" spans="2:7" ht="13.2" x14ac:dyDescent="0.25">
      <c r="B364" s="118"/>
      <c r="C364" s="231"/>
      <c r="G364" s="119"/>
    </row>
    <row r="365" spans="2:7" ht="13.2" x14ac:dyDescent="0.25">
      <c r="B365" s="118"/>
      <c r="C365" s="231"/>
      <c r="G365" s="119"/>
    </row>
    <row r="366" spans="2:7" ht="13.2" x14ac:dyDescent="0.25">
      <c r="B366" s="118"/>
      <c r="C366" s="231"/>
      <c r="G366" s="119"/>
    </row>
    <row r="367" spans="2:7" ht="13.2" x14ac:dyDescent="0.25">
      <c r="B367" s="118"/>
      <c r="C367" s="231"/>
      <c r="G367" s="119"/>
    </row>
    <row r="368" spans="2:7" ht="13.2" x14ac:dyDescent="0.25">
      <c r="B368" s="118"/>
      <c r="C368" s="231"/>
      <c r="G368" s="119"/>
    </row>
    <row r="369" spans="2:7" ht="13.2" x14ac:dyDescent="0.25">
      <c r="B369" s="118"/>
      <c r="C369" s="231"/>
      <c r="G369" s="119"/>
    </row>
    <row r="370" spans="2:7" ht="13.2" x14ac:dyDescent="0.25">
      <c r="B370" s="118"/>
      <c r="C370" s="231"/>
      <c r="G370" s="119"/>
    </row>
    <row r="371" spans="2:7" ht="13.2" x14ac:dyDescent="0.25">
      <c r="B371" s="118"/>
      <c r="C371" s="231"/>
      <c r="G371" s="119"/>
    </row>
    <row r="372" spans="2:7" ht="13.2" x14ac:dyDescent="0.25">
      <c r="B372" s="118"/>
      <c r="C372" s="231"/>
      <c r="G372" s="119"/>
    </row>
    <row r="373" spans="2:7" ht="13.2" x14ac:dyDescent="0.25">
      <c r="B373" s="118"/>
      <c r="C373" s="231"/>
      <c r="G373" s="119"/>
    </row>
    <row r="374" spans="2:7" ht="13.2" x14ac:dyDescent="0.25">
      <c r="B374" s="118"/>
      <c r="C374" s="231"/>
      <c r="G374" s="119"/>
    </row>
    <row r="375" spans="2:7" ht="13.2" x14ac:dyDescent="0.25">
      <c r="B375" s="118"/>
      <c r="C375" s="231"/>
      <c r="G375" s="119"/>
    </row>
    <row r="376" spans="2:7" ht="13.2" x14ac:dyDescent="0.25">
      <c r="B376" s="118"/>
      <c r="C376" s="231"/>
      <c r="G376" s="119"/>
    </row>
    <row r="377" spans="2:7" ht="13.2" x14ac:dyDescent="0.25">
      <c r="B377" s="118"/>
      <c r="C377" s="231"/>
      <c r="G377" s="119"/>
    </row>
    <row r="378" spans="2:7" ht="13.2" x14ac:dyDescent="0.25">
      <c r="B378" s="118"/>
      <c r="C378" s="231"/>
      <c r="G378" s="119"/>
    </row>
    <row r="379" spans="2:7" ht="13.2" x14ac:dyDescent="0.25">
      <c r="B379" s="118"/>
      <c r="C379" s="231"/>
      <c r="G379" s="119"/>
    </row>
    <row r="380" spans="2:7" ht="13.2" x14ac:dyDescent="0.25">
      <c r="B380" s="118"/>
      <c r="C380" s="231"/>
      <c r="G380" s="119"/>
    </row>
    <row r="381" spans="2:7" ht="13.2" x14ac:dyDescent="0.25">
      <c r="B381" s="118"/>
      <c r="C381" s="231"/>
      <c r="G381" s="119"/>
    </row>
    <row r="382" spans="2:7" ht="13.2" x14ac:dyDescent="0.25">
      <c r="B382" s="118"/>
      <c r="C382" s="231"/>
      <c r="G382" s="119"/>
    </row>
    <row r="383" spans="2:7" ht="13.2" x14ac:dyDescent="0.25">
      <c r="B383" s="118"/>
      <c r="C383" s="231"/>
      <c r="G383" s="119"/>
    </row>
    <row r="384" spans="2:7" ht="13.2" x14ac:dyDescent="0.25">
      <c r="B384" s="118"/>
      <c r="C384" s="231"/>
      <c r="G384" s="119"/>
    </row>
    <row r="385" spans="2:7" ht="13.2" x14ac:dyDescent="0.25">
      <c r="B385" s="118"/>
      <c r="C385" s="231"/>
      <c r="G385" s="119"/>
    </row>
    <row r="386" spans="2:7" ht="13.2" x14ac:dyDescent="0.25">
      <c r="B386" s="118"/>
      <c r="C386" s="231"/>
      <c r="G386" s="119"/>
    </row>
    <row r="387" spans="2:7" ht="13.2" x14ac:dyDescent="0.25">
      <c r="B387" s="118"/>
      <c r="C387" s="231"/>
      <c r="G387" s="119"/>
    </row>
    <row r="388" spans="2:7" ht="13.2" x14ac:dyDescent="0.25">
      <c r="B388" s="118"/>
      <c r="C388" s="231"/>
      <c r="G388" s="119"/>
    </row>
    <row r="389" spans="2:7" ht="13.2" x14ac:dyDescent="0.25">
      <c r="B389" s="118"/>
      <c r="C389" s="231"/>
      <c r="G389" s="119"/>
    </row>
    <row r="390" spans="2:7" ht="13.2" x14ac:dyDescent="0.25">
      <c r="B390" s="118"/>
      <c r="C390" s="231"/>
      <c r="G390" s="119"/>
    </row>
    <row r="391" spans="2:7" ht="13.2" x14ac:dyDescent="0.25">
      <c r="B391" s="118"/>
      <c r="C391" s="231"/>
      <c r="G391" s="119"/>
    </row>
    <row r="392" spans="2:7" ht="13.2" x14ac:dyDescent="0.25">
      <c r="B392" s="118"/>
      <c r="C392" s="231"/>
      <c r="G392" s="119"/>
    </row>
    <row r="393" spans="2:7" ht="13.2" x14ac:dyDescent="0.25">
      <c r="B393" s="118"/>
      <c r="C393" s="231"/>
      <c r="G393" s="119"/>
    </row>
    <row r="394" spans="2:7" ht="13.2" x14ac:dyDescent="0.25">
      <c r="B394" s="118"/>
      <c r="C394" s="231"/>
      <c r="G394" s="119"/>
    </row>
    <row r="395" spans="2:7" ht="13.2" x14ac:dyDescent="0.25">
      <c r="B395" s="118"/>
      <c r="C395" s="231"/>
      <c r="G395" s="119"/>
    </row>
    <row r="396" spans="2:7" ht="13.2" x14ac:dyDescent="0.25">
      <c r="B396" s="118"/>
      <c r="C396" s="231"/>
      <c r="G396" s="119"/>
    </row>
    <row r="397" spans="2:7" ht="13.2" x14ac:dyDescent="0.25">
      <c r="B397" s="118"/>
      <c r="C397" s="231"/>
      <c r="G397" s="119"/>
    </row>
    <row r="398" spans="2:7" ht="13.2" x14ac:dyDescent="0.25">
      <c r="B398" s="118"/>
      <c r="C398" s="231"/>
      <c r="G398" s="119"/>
    </row>
    <row r="399" spans="2:7" ht="13.2" x14ac:dyDescent="0.25">
      <c r="B399" s="118"/>
      <c r="C399" s="231"/>
      <c r="G399" s="119"/>
    </row>
    <row r="400" spans="2:7" ht="13.2" x14ac:dyDescent="0.25">
      <c r="B400" s="118"/>
      <c r="C400" s="231"/>
      <c r="G400" s="119"/>
    </row>
    <row r="401" spans="2:7" ht="13.2" x14ac:dyDescent="0.25">
      <c r="B401" s="118"/>
      <c r="C401" s="231"/>
      <c r="G401" s="119"/>
    </row>
    <row r="402" spans="2:7" ht="13.2" x14ac:dyDescent="0.25">
      <c r="B402" s="118"/>
      <c r="C402" s="231"/>
      <c r="G402" s="119"/>
    </row>
    <row r="403" spans="2:7" ht="13.2" x14ac:dyDescent="0.25">
      <c r="B403" s="118"/>
      <c r="C403" s="231"/>
      <c r="G403" s="119"/>
    </row>
    <row r="404" spans="2:7" ht="13.2" x14ac:dyDescent="0.25">
      <c r="B404" s="118"/>
      <c r="C404" s="231"/>
      <c r="G404" s="119"/>
    </row>
    <row r="405" spans="2:7" ht="13.2" x14ac:dyDescent="0.25">
      <c r="B405" s="118"/>
      <c r="C405" s="231"/>
      <c r="G405" s="119"/>
    </row>
    <row r="406" spans="2:7" ht="13.2" x14ac:dyDescent="0.25">
      <c r="B406" s="118"/>
      <c r="C406" s="231"/>
      <c r="G406" s="119"/>
    </row>
    <row r="407" spans="2:7" ht="13.2" x14ac:dyDescent="0.25">
      <c r="B407" s="118"/>
      <c r="C407" s="231"/>
      <c r="G407" s="119"/>
    </row>
    <row r="408" spans="2:7" ht="13.2" x14ac:dyDescent="0.25">
      <c r="B408" s="118"/>
      <c r="C408" s="231"/>
      <c r="G408" s="119"/>
    </row>
    <row r="409" spans="2:7" ht="13.2" x14ac:dyDescent="0.25">
      <c r="B409" s="118"/>
      <c r="C409" s="231"/>
      <c r="G409" s="119"/>
    </row>
    <row r="410" spans="2:7" ht="13.2" x14ac:dyDescent="0.25">
      <c r="B410" s="118"/>
      <c r="C410" s="231"/>
      <c r="G410" s="119"/>
    </row>
    <row r="411" spans="2:7" ht="13.2" x14ac:dyDescent="0.25">
      <c r="B411" s="118"/>
      <c r="C411" s="231"/>
      <c r="G411" s="119"/>
    </row>
    <row r="412" spans="2:7" ht="13.2" x14ac:dyDescent="0.25">
      <c r="B412" s="118"/>
      <c r="C412" s="231"/>
      <c r="G412" s="119"/>
    </row>
    <row r="413" spans="2:7" ht="13.2" x14ac:dyDescent="0.25">
      <c r="B413" s="118"/>
      <c r="C413" s="231"/>
      <c r="G413" s="119"/>
    </row>
    <row r="414" spans="2:7" ht="13.2" x14ac:dyDescent="0.25">
      <c r="B414" s="118"/>
      <c r="C414" s="231"/>
      <c r="G414" s="119"/>
    </row>
    <row r="415" spans="2:7" ht="13.2" x14ac:dyDescent="0.25">
      <c r="B415" s="118"/>
      <c r="C415" s="231"/>
      <c r="G415" s="119"/>
    </row>
    <row r="416" spans="2:7" ht="13.2" x14ac:dyDescent="0.25">
      <c r="B416" s="118"/>
      <c r="C416" s="231"/>
      <c r="G416" s="119"/>
    </row>
    <row r="417" spans="2:7" ht="13.2" x14ac:dyDescent="0.25">
      <c r="B417" s="118"/>
      <c r="C417" s="231"/>
      <c r="G417" s="119"/>
    </row>
    <row r="418" spans="2:7" ht="13.2" x14ac:dyDescent="0.25">
      <c r="B418" s="118"/>
      <c r="C418" s="231"/>
      <c r="G418" s="119"/>
    </row>
    <row r="419" spans="2:7" ht="13.2" x14ac:dyDescent="0.25">
      <c r="B419" s="118"/>
      <c r="C419" s="231"/>
      <c r="G419" s="119"/>
    </row>
    <row r="420" spans="2:7" ht="13.2" x14ac:dyDescent="0.25">
      <c r="B420" s="118"/>
      <c r="C420" s="231"/>
      <c r="G420" s="119"/>
    </row>
    <row r="421" spans="2:7" ht="13.2" x14ac:dyDescent="0.25">
      <c r="B421" s="118"/>
      <c r="C421" s="231"/>
      <c r="G421" s="119"/>
    </row>
    <row r="422" spans="2:7" ht="13.2" x14ac:dyDescent="0.25">
      <c r="B422" s="118"/>
      <c r="C422" s="231"/>
      <c r="G422" s="119"/>
    </row>
    <row r="423" spans="2:7" ht="13.2" x14ac:dyDescent="0.25">
      <c r="B423" s="118"/>
      <c r="C423" s="231"/>
      <c r="G423" s="119"/>
    </row>
    <row r="424" spans="2:7" ht="13.2" x14ac:dyDescent="0.25">
      <c r="B424" s="118"/>
      <c r="C424" s="231"/>
      <c r="G424" s="119"/>
    </row>
    <row r="425" spans="2:7" ht="13.2" x14ac:dyDescent="0.25">
      <c r="B425" s="118"/>
      <c r="C425" s="231"/>
      <c r="G425" s="119"/>
    </row>
    <row r="426" spans="2:7" ht="13.2" x14ac:dyDescent="0.25">
      <c r="B426" s="118"/>
      <c r="C426" s="231"/>
      <c r="G426" s="119"/>
    </row>
    <row r="427" spans="2:7" ht="13.2" x14ac:dyDescent="0.25">
      <c r="B427" s="118"/>
      <c r="C427" s="231"/>
      <c r="G427" s="119"/>
    </row>
    <row r="428" spans="2:7" ht="13.2" x14ac:dyDescent="0.25">
      <c r="B428" s="118"/>
      <c r="C428" s="231"/>
      <c r="G428" s="119"/>
    </row>
    <row r="429" spans="2:7" ht="13.2" x14ac:dyDescent="0.25">
      <c r="B429" s="118"/>
      <c r="C429" s="231"/>
      <c r="G429" s="119"/>
    </row>
    <row r="430" spans="2:7" ht="13.2" x14ac:dyDescent="0.25">
      <c r="B430" s="118"/>
      <c r="C430" s="231"/>
      <c r="G430" s="119"/>
    </row>
    <row r="431" spans="2:7" ht="13.2" x14ac:dyDescent="0.25">
      <c r="B431" s="118"/>
      <c r="C431" s="231"/>
      <c r="G431" s="119"/>
    </row>
    <row r="432" spans="2:7" ht="13.2" x14ac:dyDescent="0.25">
      <c r="B432" s="118"/>
      <c r="C432" s="231"/>
      <c r="G432" s="119"/>
    </row>
    <row r="433" spans="2:7" ht="13.2" x14ac:dyDescent="0.25">
      <c r="B433" s="118"/>
      <c r="C433" s="231"/>
      <c r="G433" s="119"/>
    </row>
    <row r="434" spans="2:7" ht="13.2" x14ac:dyDescent="0.25">
      <c r="B434" s="118"/>
      <c r="C434" s="231"/>
      <c r="G434" s="119"/>
    </row>
    <row r="435" spans="2:7" ht="13.2" x14ac:dyDescent="0.25">
      <c r="B435" s="118"/>
      <c r="C435" s="231"/>
      <c r="G435" s="119"/>
    </row>
    <row r="436" spans="2:7" ht="13.2" x14ac:dyDescent="0.25">
      <c r="B436" s="118"/>
      <c r="C436" s="231"/>
      <c r="G436" s="119"/>
    </row>
    <row r="437" spans="2:7" ht="13.2" x14ac:dyDescent="0.25">
      <c r="B437" s="118"/>
      <c r="C437" s="231"/>
      <c r="G437" s="119"/>
    </row>
    <row r="438" spans="2:7" ht="13.2" x14ac:dyDescent="0.25">
      <c r="B438" s="118"/>
      <c r="C438" s="231"/>
      <c r="G438" s="119"/>
    </row>
    <row r="439" spans="2:7" ht="13.2" x14ac:dyDescent="0.25">
      <c r="B439" s="118"/>
      <c r="C439" s="231"/>
      <c r="G439" s="119"/>
    </row>
    <row r="440" spans="2:7" ht="13.2" x14ac:dyDescent="0.25">
      <c r="B440" s="118"/>
      <c r="C440" s="231"/>
      <c r="G440" s="119"/>
    </row>
    <row r="441" spans="2:7" ht="13.2" x14ac:dyDescent="0.25">
      <c r="B441" s="118"/>
      <c r="C441" s="231"/>
      <c r="G441" s="119"/>
    </row>
    <row r="442" spans="2:7" ht="13.2" x14ac:dyDescent="0.25">
      <c r="B442" s="118"/>
      <c r="C442" s="231"/>
      <c r="G442" s="119"/>
    </row>
    <row r="443" spans="2:7" ht="13.2" x14ac:dyDescent="0.25">
      <c r="B443" s="118"/>
      <c r="C443" s="231"/>
      <c r="G443" s="119"/>
    </row>
    <row r="444" spans="2:7" ht="13.2" x14ac:dyDescent="0.25">
      <c r="B444" s="118"/>
      <c r="C444" s="231"/>
      <c r="G444" s="119"/>
    </row>
    <row r="445" spans="2:7" ht="13.2" x14ac:dyDescent="0.25">
      <c r="B445" s="118"/>
      <c r="C445" s="231"/>
      <c r="G445" s="119"/>
    </row>
    <row r="446" spans="2:7" ht="13.2" x14ac:dyDescent="0.25">
      <c r="B446" s="118"/>
      <c r="C446" s="231"/>
      <c r="G446" s="119"/>
    </row>
    <row r="447" spans="2:7" ht="13.2" x14ac:dyDescent="0.25">
      <c r="B447" s="118"/>
      <c r="C447" s="231"/>
      <c r="G447" s="119"/>
    </row>
    <row r="448" spans="2:7" ht="13.2" x14ac:dyDescent="0.25">
      <c r="B448" s="118"/>
      <c r="C448" s="231"/>
      <c r="G448" s="119"/>
    </row>
    <row r="449" spans="2:7" ht="13.2" x14ac:dyDescent="0.25">
      <c r="B449" s="118"/>
      <c r="C449" s="231"/>
      <c r="G449" s="119"/>
    </row>
    <row r="450" spans="2:7" ht="13.2" x14ac:dyDescent="0.25">
      <c r="B450" s="118"/>
      <c r="C450" s="231"/>
      <c r="G450" s="119"/>
    </row>
    <row r="451" spans="2:7" ht="13.2" x14ac:dyDescent="0.25">
      <c r="B451" s="118"/>
      <c r="C451" s="231"/>
      <c r="G451" s="119"/>
    </row>
    <row r="452" spans="2:7" ht="13.2" x14ac:dyDescent="0.25">
      <c r="B452" s="118"/>
      <c r="C452" s="231"/>
      <c r="G452" s="119"/>
    </row>
    <row r="453" spans="2:7" ht="13.2" x14ac:dyDescent="0.25">
      <c r="B453" s="118"/>
      <c r="C453" s="231"/>
      <c r="G453" s="119"/>
    </row>
    <row r="454" spans="2:7" ht="13.2" x14ac:dyDescent="0.25">
      <c r="B454" s="118"/>
      <c r="C454" s="231"/>
      <c r="G454" s="119"/>
    </row>
    <row r="455" spans="2:7" ht="13.2" x14ac:dyDescent="0.25">
      <c r="B455" s="118"/>
      <c r="C455" s="231"/>
      <c r="G455" s="119"/>
    </row>
    <row r="456" spans="2:7" ht="13.2" x14ac:dyDescent="0.25">
      <c r="B456" s="118"/>
      <c r="C456" s="231"/>
      <c r="G456" s="119"/>
    </row>
    <row r="457" spans="2:7" ht="13.2" x14ac:dyDescent="0.25">
      <c r="B457" s="118"/>
      <c r="C457" s="231"/>
      <c r="G457" s="119"/>
    </row>
    <row r="458" spans="2:7" ht="13.2" x14ac:dyDescent="0.25">
      <c r="B458" s="118"/>
      <c r="C458" s="231"/>
      <c r="G458" s="119"/>
    </row>
    <row r="459" spans="2:7" ht="13.2" x14ac:dyDescent="0.25">
      <c r="B459" s="118"/>
      <c r="C459" s="231"/>
      <c r="G459" s="119"/>
    </row>
    <row r="460" spans="2:7" ht="13.2" x14ac:dyDescent="0.25">
      <c r="B460" s="118"/>
      <c r="C460" s="231"/>
      <c r="G460" s="119"/>
    </row>
    <row r="461" spans="2:7" ht="13.2" x14ac:dyDescent="0.25">
      <c r="B461" s="118"/>
      <c r="C461" s="231"/>
      <c r="G461" s="119"/>
    </row>
    <row r="462" spans="2:7" ht="13.2" x14ac:dyDescent="0.25">
      <c r="B462" s="118"/>
      <c r="C462" s="231"/>
      <c r="G462" s="119"/>
    </row>
    <row r="463" spans="2:7" ht="13.2" x14ac:dyDescent="0.25">
      <c r="B463" s="118"/>
      <c r="C463" s="231"/>
      <c r="G463" s="119"/>
    </row>
    <row r="464" spans="2:7" ht="13.2" x14ac:dyDescent="0.25">
      <c r="B464" s="118"/>
      <c r="C464" s="231"/>
      <c r="G464" s="119"/>
    </row>
    <row r="465" spans="2:7" ht="13.2" x14ac:dyDescent="0.25">
      <c r="B465" s="118"/>
      <c r="C465" s="231"/>
      <c r="G465" s="119"/>
    </row>
    <row r="466" spans="2:7" ht="13.2" x14ac:dyDescent="0.25">
      <c r="B466" s="118"/>
      <c r="C466" s="231"/>
      <c r="G466" s="119"/>
    </row>
    <row r="467" spans="2:7" ht="13.2" x14ac:dyDescent="0.25">
      <c r="B467" s="118"/>
      <c r="C467" s="231"/>
      <c r="G467" s="119"/>
    </row>
    <row r="468" spans="2:7" ht="13.2" x14ac:dyDescent="0.25">
      <c r="B468" s="118"/>
      <c r="C468" s="231"/>
      <c r="G468" s="119"/>
    </row>
    <row r="469" spans="2:7" ht="13.2" x14ac:dyDescent="0.25">
      <c r="B469" s="118"/>
      <c r="C469" s="231"/>
      <c r="G469" s="119"/>
    </row>
    <row r="470" spans="2:7" ht="13.2" x14ac:dyDescent="0.25">
      <c r="B470" s="118"/>
      <c r="C470" s="231"/>
      <c r="G470" s="119"/>
    </row>
    <row r="471" spans="2:7" ht="13.2" x14ac:dyDescent="0.25">
      <c r="B471" s="118"/>
      <c r="C471" s="231"/>
      <c r="G471" s="119"/>
    </row>
    <row r="472" spans="2:7" ht="13.2" x14ac:dyDescent="0.25">
      <c r="B472" s="118"/>
      <c r="C472" s="231"/>
      <c r="G472" s="119"/>
    </row>
    <row r="473" spans="2:7" ht="13.2" x14ac:dyDescent="0.25">
      <c r="B473" s="118"/>
      <c r="C473" s="231"/>
      <c r="G473" s="119"/>
    </row>
    <row r="474" spans="2:7" ht="13.2" x14ac:dyDescent="0.25">
      <c r="B474" s="118"/>
      <c r="C474" s="231"/>
      <c r="G474" s="119"/>
    </row>
    <row r="475" spans="2:7" ht="13.2" x14ac:dyDescent="0.25">
      <c r="B475" s="118"/>
      <c r="C475" s="231"/>
      <c r="G475" s="119"/>
    </row>
    <row r="476" spans="2:7" ht="13.2" x14ac:dyDescent="0.25">
      <c r="B476" s="118"/>
      <c r="C476" s="231"/>
      <c r="G476" s="119"/>
    </row>
    <row r="477" spans="2:7" ht="13.2" x14ac:dyDescent="0.25">
      <c r="B477" s="118"/>
      <c r="C477" s="231"/>
      <c r="G477" s="119"/>
    </row>
    <row r="478" spans="2:7" ht="13.2" x14ac:dyDescent="0.25">
      <c r="B478" s="118"/>
      <c r="C478" s="231"/>
      <c r="G478" s="119"/>
    </row>
    <row r="479" spans="2:7" ht="13.2" x14ac:dyDescent="0.25">
      <c r="B479" s="118"/>
      <c r="C479" s="231"/>
      <c r="G479" s="119"/>
    </row>
    <row r="480" spans="2:7" ht="13.2" x14ac:dyDescent="0.25">
      <c r="B480" s="118"/>
      <c r="C480" s="231"/>
      <c r="G480" s="119"/>
    </row>
    <row r="481" spans="2:7" ht="13.2" x14ac:dyDescent="0.25">
      <c r="B481" s="118"/>
      <c r="C481" s="231"/>
      <c r="G481" s="119"/>
    </row>
    <row r="482" spans="2:7" ht="13.2" x14ac:dyDescent="0.25">
      <c r="B482" s="118"/>
      <c r="C482" s="231"/>
      <c r="G482" s="119"/>
    </row>
    <row r="483" spans="2:7" ht="13.2" x14ac:dyDescent="0.25">
      <c r="B483" s="118"/>
      <c r="C483" s="231"/>
      <c r="G483" s="119"/>
    </row>
    <row r="484" spans="2:7" ht="13.2" x14ac:dyDescent="0.25">
      <c r="B484" s="118"/>
      <c r="C484" s="231"/>
      <c r="G484" s="119"/>
    </row>
    <row r="485" spans="2:7" ht="13.2" x14ac:dyDescent="0.25">
      <c r="B485" s="118"/>
      <c r="C485" s="231"/>
      <c r="G485" s="119"/>
    </row>
    <row r="486" spans="2:7" ht="13.2" x14ac:dyDescent="0.25">
      <c r="B486" s="118"/>
      <c r="C486" s="231"/>
      <c r="G486" s="119"/>
    </row>
    <row r="487" spans="2:7" ht="13.2" x14ac:dyDescent="0.25">
      <c r="B487" s="118"/>
      <c r="C487" s="231"/>
      <c r="G487" s="119"/>
    </row>
    <row r="488" spans="2:7" ht="13.2" x14ac:dyDescent="0.25">
      <c r="B488" s="118"/>
      <c r="C488" s="231"/>
      <c r="G488" s="119"/>
    </row>
    <row r="489" spans="2:7" ht="13.2" x14ac:dyDescent="0.25">
      <c r="B489" s="118"/>
      <c r="C489" s="231"/>
      <c r="G489" s="119"/>
    </row>
    <row r="490" spans="2:7" ht="13.2" x14ac:dyDescent="0.25">
      <c r="B490" s="118"/>
      <c r="C490" s="231"/>
      <c r="G490" s="119"/>
    </row>
    <row r="491" spans="2:7" ht="13.2" x14ac:dyDescent="0.25">
      <c r="B491" s="118"/>
      <c r="C491" s="231"/>
      <c r="G491" s="119"/>
    </row>
    <row r="492" spans="2:7" ht="13.2" x14ac:dyDescent="0.25">
      <c r="B492" s="118"/>
      <c r="C492" s="231"/>
      <c r="G492" s="119"/>
    </row>
    <row r="493" spans="2:7" ht="13.2" x14ac:dyDescent="0.25">
      <c r="B493" s="118"/>
      <c r="C493" s="231"/>
      <c r="G493" s="119"/>
    </row>
    <row r="494" spans="2:7" ht="13.2" x14ac:dyDescent="0.25">
      <c r="B494" s="118"/>
      <c r="C494" s="231"/>
      <c r="G494" s="119"/>
    </row>
    <row r="495" spans="2:7" ht="13.2" x14ac:dyDescent="0.25">
      <c r="B495" s="118"/>
      <c r="C495" s="231"/>
      <c r="G495" s="119"/>
    </row>
    <row r="496" spans="2:7" ht="13.2" x14ac:dyDescent="0.25">
      <c r="B496" s="118"/>
      <c r="C496" s="231"/>
      <c r="G496" s="119"/>
    </row>
    <row r="497" spans="2:7" ht="13.2" x14ac:dyDescent="0.25">
      <c r="B497" s="118"/>
      <c r="C497" s="231"/>
      <c r="G497" s="119"/>
    </row>
    <row r="498" spans="2:7" ht="13.2" x14ac:dyDescent="0.25">
      <c r="B498" s="118"/>
      <c r="C498" s="231"/>
      <c r="G498" s="119"/>
    </row>
    <row r="499" spans="2:7" ht="13.2" x14ac:dyDescent="0.25">
      <c r="B499" s="118"/>
      <c r="C499" s="231"/>
      <c r="G499" s="119"/>
    </row>
    <row r="500" spans="2:7" ht="13.2" x14ac:dyDescent="0.25">
      <c r="B500" s="118"/>
      <c r="C500" s="231"/>
      <c r="G500" s="119"/>
    </row>
    <row r="501" spans="2:7" ht="13.2" x14ac:dyDescent="0.25">
      <c r="B501" s="118"/>
      <c r="C501" s="231"/>
      <c r="G501" s="119"/>
    </row>
    <row r="502" spans="2:7" ht="13.2" x14ac:dyDescent="0.25">
      <c r="B502" s="118"/>
      <c r="C502" s="231"/>
      <c r="G502" s="119"/>
    </row>
    <row r="503" spans="2:7" ht="13.2" x14ac:dyDescent="0.25">
      <c r="B503" s="118"/>
      <c r="C503" s="231"/>
      <c r="G503" s="119"/>
    </row>
    <row r="504" spans="2:7" ht="13.2" x14ac:dyDescent="0.25">
      <c r="B504" s="118"/>
      <c r="C504" s="231"/>
      <c r="G504" s="119"/>
    </row>
    <row r="505" spans="2:7" ht="13.2" x14ac:dyDescent="0.25">
      <c r="B505" s="118"/>
      <c r="C505" s="231"/>
      <c r="G505" s="119"/>
    </row>
    <row r="506" spans="2:7" ht="13.2" x14ac:dyDescent="0.25">
      <c r="B506" s="118"/>
      <c r="C506" s="231"/>
      <c r="G506" s="119"/>
    </row>
    <row r="507" spans="2:7" ht="13.2" x14ac:dyDescent="0.25">
      <c r="B507" s="118"/>
      <c r="C507" s="231"/>
      <c r="G507" s="119"/>
    </row>
    <row r="508" spans="2:7" ht="13.2" x14ac:dyDescent="0.25">
      <c r="B508" s="118"/>
      <c r="C508" s="231"/>
      <c r="G508" s="119"/>
    </row>
    <row r="509" spans="2:7" ht="13.2" x14ac:dyDescent="0.25">
      <c r="B509" s="118"/>
      <c r="C509" s="231"/>
      <c r="G509" s="119"/>
    </row>
    <row r="510" spans="2:7" ht="13.2" x14ac:dyDescent="0.25">
      <c r="B510" s="118"/>
      <c r="C510" s="231"/>
      <c r="G510" s="119"/>
    </row>
    <row r="511" spans="2:7" ht="13.2" x14ac:dyDescent="0.25">
      <c r="B511" s="118"/>
      <c r="C511" s="231"/>
      <c r="G511" s="119"/>
    </row>
    <row r="512" spans="2:7" ht="13.2" x14ac:dyDescent="0.25">
      <c r="B512" s="118"/>
      <c r="C512" s="231"/>
      <c r="G512" s="119"/>
    </row>
    <row r="513" spans="2:7" ht="13.2" x14ac:dyDescent="0.25">
      <c r="B513" s="118"/>
      <c r="C513" s="231"/>
      <c r="G513" s="119"/>
    </row>
    <row r="514" spans="2:7" ht="13.2" x14ac:dyDescent="0.25">
      <c r="B514" s="118"/>
      <c r="C514" s="231"/>
      <c r="G514" s="119"/>
    </row>
    <row r="515" spans="2:7" ht="13.2" x14ac:dyDescent="0.25">
      <c r="B515" s="118"/>
      <c r="C515" s="231"/>
      <c r="G515" s="119"/>
    </row>
    <row r="516" spans="2:7" ht="13.2" x14ac:dyDescent="0.25">
      <c r="B516" s="118"/>
      <c r="C516" s="231"/>
      <c r="G516" s="119"/>
    </row>
    <row r="517" spans="2:7" ht="13.2" x14ac:dyDescent="0.25">
      <c r="B517" s="118"/>
      <c r="C517" s="231"/>
      <c r="G517" s="119"/>
    </row>
    <row r="518" spans="2:7" ht="13.2" x14ac:dyDescent="0.25">
      <c r="B518" s="118"/>
      <c r="C518" s="231"/>
      <c r="G518" s="119"/>
    </row>
    <row r="519" spans="2:7" ht="13.2" x14ac:dyDescent="0.25">
      <c r="B519" s="118"/>
      <c r="C519" s="231"/>
      <c r="G519" s="119"/>
    </row>
    <row r="520" spans="2:7" ht="13.2" x14ac:dyDescent="0.25">
      <c r="B520" s="118"/>
      <c r="C520" s="231"/>
      <c r="G520" s="119"/>
    </row>
    <row r="521" spans="2:7" ht="13.2" x14ac:dyDescent="0.25">
      <c r="B521" s="118"/>
      <c r="C521" s="231"/>
      <c r="G521" s="119"/>
    </row>
    <row r="522" spans="2:7" ht="13.2" x14ac:dyDescent="0.25">
      <c r="B522" s="118"/>
      <c r="C522" s="231"/>
      <c r="G522" s="119"/>
    </row>
    <row r="523" spans="2:7" ht="13.2" x14ac:dyDescent="0.25">
      <c r="B523" s="118"/>
      <c r="C523" s="231"/>
      <c r="G523" s="119"/>
    </row>
    <row r="524" spans="2:7" ht="13.2" x14ac:dyDescent="0.25">
      <c r="B524" s="118"/>
      <c r="C524" s="231"/>
      <c r="G524" s="119"/>
    </row>
    <row r="525" spans="2:7" ht="13.2" x14ac:dyDescent="0.25">
      <c r="B525" s="118"/>
      <c r="C525" s="231"/>
      <c r="G525" s="119"/>
    </row>
    <row r="526" spans="2:7" ht="13.2" x14ac:dyDescent="0.25">
      <c r="B526" s="118"/>
      <c r="C526" s="231"/>
      <c r="G526" s="119"/>
    </row>
    <row r="527" spans="2:7" ht="13.2" x14ac:dyDescent="0.25">
      <c r="B527" s="118"/>
      <c r="C527" s="231"/>
      <c r="G527" s="119"/>
    </row>
    <row r="528" spans="2:7" ht="13.2" x14ac:dyDescent="0.25">
      <c r="B528" s="118"/>
      <c r="C528" s="231"/>
      <c r="G528" s="119"/>
    </row>
    <row r="529" spans="2:7" ht="13.2" x14ac:dyDescent="0.25">
      <c r="B529" s="118"/>
      <c r="C529" s="231"/>
      <c r="G529" s="119"/>
    </row>
    <row r="530" spans="2:7" ht="13.2" x14ac:dyDescent="0.25">
      <c r="B530" s="118"/>
      <c r="C530" s="231"/>
      <c r="G530" s="119"/>
    </row>
    <row r="531" spans="2:7" ht="13.2" x14ac:dyDescent="0.25">
      <c r="B531" s="118"/>
      <c r="C531" s="231"/>
      <c r="G531" s="119"/>
    </row>
    <row r="532" spans="2:7" ht="13.2" x14ac:dyDescent="0.25">
      <c r="B532" s="118"/>
      <c r="C532" s="231"/>
      <c r="G532" s="119"/>
    </row>
    <row r="533" spans="2:7" ht="13.2" x14ac:dyDescent="0.25">
      <c r="B533" s="118"/>
      <c r="C533" s="231"/>
      <c r="G533" s="119"/>
    </row>
    <row r="534" spans="2:7" ht="13.2" x14ac:dyDescent="0.25">
      <c r="B534" s="118"/>
      <c r="C534" s="231"/>
      <c r="G534" s="119"/>
    </row>
    <row r="535" spans="2:7" ht="13.2" x14ac:dyDescent="0.25">
      <c r="B535" s="118"/>
      <c r="C535" s="231"/>
      <c r="G535" s="119"/>
    </row>
    <row r="536" spans="2:7" ht="13.2" x14ac:dyDescent="0.25">
      <c r="B536" s="118"/>
      <c r="C536" s="231"/>
      <c r="G536" s="119"/>
    </row>
    <row r="537" spans="2:7" ht="13.2" x14ac:dyDescent="0.25">
      <c r="B537" s="118"/>
      <c r="C537" s="231"/>
      <c r="G537" s="119"/>
    </row>
    <row r="538" spans="2:7" ht="13.2" x14ac:dyDescent="0.25">
      <c r="B538" s="118"/>
      <c r="C538" s="231"/>
      <c r="G538" s="119"/>
    </row>
    <row r="539" spans="2:7" ht="13.2" x14ac:dyDescent="0.25">
      <c r="B539" s="118"/>
      <c r="C539" s="231"/>
      <c r="G539" s="119"/>
    </row>
    <row r="540" spans="2:7" ht="13.2" x14ac:dyDescent="0.25">
      <c r="B540" s="118"/>
      <c r="C540" s="231"/>
      <c r="G540" s="119"/>
    </row>
    <row r="541" spans="2:7" ht="13.2" x14ac:dyDescent="0.25">
      <c r="B541" s="118"/>
      <c r="C541" s="231"/>
      <c r="G541" s="119"/>
    </row>
    <row r="542" spans="2:7" ht="13.2" x14ac:dyDescent="0.25">
      <c r="B542" s="118"/>
      <c r="C542" s="231"/>
      <c r="G542" s="119"/>
    </row>
    <row r="543" spans="2:7" ht="13.2" x14ac:dyDescent="0.25">
      <c r="B543" s="118"/>
      <c r="C543" s="231"/>
      <c r="G543" s="119"/>
    </row>
    <row r="544" spans="2:7" ht="13.2" x14ac:dyDescent="0.25">
      <c r="B544" s="118"/>
      <c r="C544" s="231"/>
      <c r="G544" s="119"/>
    </row>
    <row r="545" spans="2:7" ht="13.2" x14ac:dyDescent="0.25">
      <c r="B545" s="118"/>
      <c r="C545" s="231"/>
      <c r="G545" s="119"/>
    </row>
    <row r="546" spans="2:7" ht="13.2" x14ac:dyDescent="0.25">
      <c r="B546" s="118"/>
      <c r="C546" s="231"/>
      <c r="G546" s="119"/>
    </row>
    <row r="547" spans="2:7" ht="13.2" x14ac:dyDescent="0.25">
      <c r="B547" s="118"/>
      <c r="C547" s="231"/>
      <c r="G547" s="119"/>
    </row>
    <row r="548" spans="2:7" ht="13.2" x14ac:dyDescent="0.25">
      <c r="B548" s="118"/>
      <c r="C548" s="231"/>
      <c r="G548" s="119"/>
    </row>
    <row r="549" spans="2:7" ht="13.2" x14ac:dyDescent="0.25">
      <c r="B549" s="118"/>
      <c r="C549" s="231"/>
      <c r="G549" s="119"/>
    </row>
    <row r="550" spans="2:7" ht="13.2" x14ac:dyDescent="0.25">
      <c r="B550" s="118"/>
      <c r="C550" s="231"/>
      <c r="G550" s="119"/>
    </row>
    <row r="551" spans="2:7" ht="13.2" x14ac:dyDescent="0.25">
      <c r="B551" s="118"/>
      <c r="C551" s="231"/>
      <c r="G551" s="119"/>
    </row>
    <row r="552" spans="2:7" ht="13.2" x14ac:dyDescent="0.25">
      <c r="B552" s="118"/>
      <c r="C552" s="231"/>
      <c r="G552" s="119"/>
    </row>
    <row r="553" spans="2:7" ht="13.2" x14ac:dyDescent="0.25">
      <c r="B553" s="118"/>
      <c r="C553" s="231"/>
      <c r="G553" s="119"/>
    </row>
    <row r="554" spans="2:7" ht="13.2" x14ac:dyDescent="0.25">
      <c r="B554" s="118"/>
      <c r="C554" s="231"/>
      <c r="G554" s="119"/>
    </row>
    <row r="555" spans="2:7" ht="13.2" x14ac:dyDescent="0.25">
      <c r="B555" s="118"/>
      <c r="C555" s="231"/>
      <c r="G555" s="119"/>
    </row>
    <row r="556" spans="2:7" ht="13.2" x14ac:dyDescent="0.25">
      <c r="B556" s="118"/>
      <c r="C556" s="231"/>
      <c r="G556" s="119"/>
    </row>
    <row r="557" spans="2:7" ht="13.2" x14ac:dyDescent="0.25">
      <c r="B557" s="118"/>
      <c r="C557" s="231"/>
      <c r="G557" s="119"/>
    </row>
    <row r="558" spans="2:7" ht="13.2" x14ac:dyDescent="0.25">
      <c r="B558" s="118"/>
      <c r="C558" s="231"/>
      <c r="G558" s="119"/>
    </row>
    <row r="559" spans="2:7" ht="13.2" x14ac:dyDescent="0.25">
      <c r="B559" s="118"/>
      <c r="C559" s="231"/>
      <c r="G559" s="119"/>
    </row>
    <row r="560" spans="2:7" ht="13.2" x14ac:dyDescent="0.25">
      <c r="B560" s="118"/>
      <c r="C560" s="231"/>
      <c r="G560" s="119"/>
    </row>
    <row r="561" spans="2:7" ht="13.2" x14ac:dyDescent="0.25">
      <c r="B561" s="118"/>
      <c r="C561" s="231"/>
      <c r="G561" s="119"/>
    </row>
    <row r="562" spans="2:7" ht="13.2" x14ac:dyDescent="0.25">
      <c r="B562" s="118"/>
      <c r="C562" s="231"/>
      <c r="G562" s="119"/>
    </row>
    <row r="563" spans="2:7" ht="13.2" x14ac:dyDescent="0.25">
      <c r="B563" s="118"/>
      <c r="C563" s="231"/>
      <c r="G563" s="119"/>
    </row>
    <row r="564" spans="2:7" ht="13.2" x14ac:dyDescent="0.25">
      <c r="B564" s="118"/>
      <c r="C564" s="231"/>
      <c r="G564" s="119"/>
    </row>
    <row r="565" spans="2:7" ht="13.2" x14ac:dyDescent="0.25">
      <c r="B565" s="118"/>
      <c r="C565" s="231"/>
      <c r="G565" s="119"/>
    </row>
    <row r="566" spans="2:7" ht="13.2" x14ac:dyDescent="0.25">
      <c r="B566" s="118"/>
      <c r="C566" s="231"/>
      <c r="G566" s="119"/>
    </row>
    <row r="567" spans="2:7" ht="13.2" x14ac:dyDescent="0.25">
      <c r="B567" s="118"/>
      <c r="C567" s="231"/>
      <c r="G567" s="119"/>
    </row>
    <row r="568" spans="2:7" ht="13.2" x14ac:dyDescent="0.25">
      <c r="B568" s="118"/>
      <c r="C568" s="231"/>
      <c r="G568" s="119"/>
    </row>
    <row r="569" spans="2:7" ht="13.2" x14ac:dyDescent="0.25">
      <c r="B569" s="118"/>
      <c r="C569" s="231"/>
      <c r="G569" s="119"/>
    </row>
    <row r="570" spans="2:7" ht="13.2" x14ac:dyDescent="0.25">
      <c r="B570" s="118"/>
      <c r="C570" s="231"/>
      <c r="G570" s="119"/>
    </row>
    <row r="571" spans="2:7" ht="13.2" x14ac:dyDescent="0.25">
      <c r="B571" s="118"/>
      <c r="C571" s="231"/>
      <c r="G571" s="119"/>
    </row>
    <row r="572" spans="2:7" ht="13.2" x14ac:dyDescent="0.25">
      <c r="B572" s="118"/>
      <c r="C572" s="231"/>
      <c r="G572" s="119"/>
    </row>
    <row r="573" spans="2:7" ht="13.2" x14ac:dyDescent="0.25">
      <c r="B573" s="118"/>
      <c r="C573" s="231"/>
      <c r="G573" s="119"/>
    </row>
    <row r="574" spans="2:7" ht="13.2" x14ac:dyDescent="0.25">
      <c r="B574" s="118"/>
      <c r="C574" s="231"/>
      <c r="G574" s="119"/>
    </row>
    <row r="575" spans="2:7" ht="13.2" x14ac:dyDescent="0.25">
      <c r="B575" s="118"/>
      <c r="C575" s="231"/>
      <c r="G575" s="119"/>
    </row>
    <row r="576" spans="2:7" ht="13.2" x14ac:dyDescent="0.25">
      <c r="B576" s="118"/>
      <c r="C576" s="231"/>
      <c r="G576" s="119"/>
    </row>
    <row r="577" spans="2:7" ht="13.2" x14ac:dyDescent="0.25">
      <c r="B577" s="118"/>
      <c r="C577" s="231"/>
      <c r="G577" s="119"/>
    </row>
    <row r="578" spans="2:7" ht="13.2" x14ac:dyDescent="0.25">
      <c r="B578" s="118"/>
      <c r="C578" s="231"/>
      <c r="G578" s="119"/>
    </row>
    <row r="579" spans="2:7" ht="13.2" x14ac:dyDescent="0.25">
      <c r="B579" s="118"/>
      <c r="C579" s="231"/>
      <c r="G579" s="119"/>
    </row>
    <row r="580" spans="2:7" ht="13.2" x14ac:dyDescent="0.25">
      <c r="B580" s="118"/>
      <c r="C580" s="231"/>
      <c r="G580" s="119"/>
    </row>
    <row r="581" spans="2:7" ht="13.2" x14ac:dyDescent="0.25">
      <c r="B581" s="118"/>
      <c r="C581" s="231"/>
      <c r="G581" s="119"/>
    </row>
    <row r="582" spans="2:7" ht="13.2" x14ac:dyDescent="0.25">
      <c r="B582" s="118"/>
      <c r="C582" s="231"/>
      <c r="G582" s="119"/>
    </row>
    <row r="583" spans="2:7" ht="13.2" x14ac:dyDescent="0.25">
      <c r="B583" s="118"/>
      <c r="C583" s="231"/>
      <c r="G583" s="119"/>
    </row>
    <row r="584" spans="2:7" ht="13.2" x14ac:dyDescent="0.25">
      <c r="B584" s="118"/>
      <c r="C584" s="231"/>
      <c r="G584" s="119"/>
    </row>
    <row r="585" spans="2:7" ht="13.2" x14ac:dyDescent="0.25">
      <c r="B585" s="118"/>
      <c r="C585" s="231"/>
      <c r="G585" s="119"/>
    </row>
    <row r="586" spans="2:7" ht="13.2" x14ac:dyDescent="0.25">
      <c r="B586" s="118"/>
      <c r="C586" s="231"/>
      <c r="G586" s="119"/>
    </row>
    <row r="587" spans="2:7" ht="13.2" x14ac:dyDescent="0.25">
      <c r="B587" s="118"/>
      <c r="C587" s="231"/>
      <c r="G587" s="119"/>
    </row>
    <row r="588" spans="2:7" ht="13.2" x14ac:dyDescent="0.25">
      <c r="B588" s="118"/>
      <c r="C588" s="231"/>
      <c r="G588" s="119"/>
    </row>
    <row r="589" spans="2:7" ht="13.2" x14ac:dyDescent="0.25">
      <c r="B589" s="118"/>
      <c r="C589" s="231"/>
      <c r="G589" s="119"/>
    </row>
    <row r="590" spans="2:7" ht="13.2" x14ac:dyDescent="0.25">
      <c r="B590" s="118"/>
      <c r="C590" s="231"/>
      <c r="G590" s="119"/>
    </row>
    <row r="591" spans="2:7" ht="13.2" x14ac:dyDescent="0.25">
      <c r="B591" s="118"/>
      <c r="C591" s="231"/>
      <c r="G591" s="119"/>
    </row>
    <row r="592" spans="2:7" ht="13.2" x14ac:dyDescent="0.25">
      <c r="B592" s="118"/>
      <c r="C592" s="231"/>
      <c r="G592" s="119"/>
    </row>
    <row r="593" spans="2:7" ht="13.2" x14ac:dyDescent="0.25">
      <c r="B593" s="118"/>
      <c r="C593" s="231"/>
      <c r="G593" s="119"/>
    </row>
    <row r="594" spans="2:7" ht="13.2" x14ac:dyDescent="0.25">
      <c r="B594" s="118"/>
      <c r="C594" s="231"/>
      <c r="G594" s="119"/>
    </row>
    <row r="595" spans="2:7" ht="13.2" x14ac:dyDescent="0.25">
      <c r="B595" s="118"/>
      <c r="C595" s="231"/>
      <c r="G595" s="119"/>
    </row>
    <row r="596" spans="2:7" ht="13.2" x14ac:dyDescent="0.25">
      <c r="B596" s="118"/>
      <c r="C596" s="231"/>
      <c r="G596" s="119"/>
    </row>
    <row r="597" spans="2:7" ht="13.2" x14ac:dyDescent="0.25">
      <c r="B597" s="118"/>
      <c r="C597" s="231"/>
      <c r="G597" s="119"/>
    </row>
    <row r="598" spans="2:7" ht="13.2" x14ac:dyDescent="0.25">
      <c r="B598" s="118"/>
      <c r="C598" s="231"/>
      <c r="G598" s="119"/>
    </row>
    <row r="599" spans="2:7" ht="13.2" x14ac:dyDescent="0.25">
      <c r="B599" s="118"/>
      <c r="C599" s="231"/>
      <c r="G599" s="119"/>
    </row>
    <row r="600" spans="2:7" ht="13.2" x14ac:dyDescent="0.25">
      <c r="B600" s="118"/>
      <c r="C600" s="231"/>
      <c r="G600" s="119"/>
    </row>
    <row r="601" spans="2:7" ht="13.2" x14ac:dyDescent="0.25">
      <c r="B601" s="118"/>
      <c r="C601" s="231"/>
      <c r="G601" s="119"/>
    </row>
    <row r="602" spans="2:7" ht="13.2" x14ac:dyDescent="0.25">
      <c r="B602" s="118"/>
      <c r="C602" s="231"/>
      <c r="G602" s="119"/>
    </row>
    <row r="603" spans="2:7" ht="13.2" x14ac:dyDescent="0.25">
      <c r="B603" s="118"/>
      <c r="C603" s="231"/>
      <c r="G603" s="119"/>
    </row>
    <row r="604" spans="2:7" ht="13.2" x14ac:dyDescent="0.25">
      <c r="B604" s="118"/>
      <c r="C604" s="231"/>
      <c r="G604" s="119"/>
    </row>
    <row r="605" spans="2:7" ht="13.2" x14ac:dyDescent="0.25">
      <c r="B605" s="118"/>
      <c r="C605" s="231"/>
      <c r="G605" s="119"/>
    </row>
    <row r="606" spans="2:7" ht="13.2" x14ac:dyDescent="0.25">
      <c r="B606" s="118"/>
      <c r="C606" s="231"/>
      <c r="G606" s="119"/>
    </row>
    <row r="607" spans="2:7" ht="13.2" x14ac:dyDescent="0.25">
      <c r="B607" s="118"/>
      <c r="C607" s="231"/>
      <c r="G607" s="119"/>
    </row>
    <row r="608" spans="2:7" ht="13.2" x14ac:dyDescent="0.25">
      <c r="B608" s="118"/>
      <c r="C608" s="231"/>
      <c r="G608" s="119"/>
    </row>
    <row r="609" spans="2:7" ht="13.2" x14ac:dyDescent="0.25">
      <c r="B609" s="118"/>
      <c r="C609" s="231"/>
      <c r="G609" s="119"/>
    </row>
    <row r="610" spans="2:7" ht="13.2" x14ac:dyDescent="0.25">
      <c r="B610" s="118"/>
      <c r="C610" s="231"/>
      <c r="G610" s="119"/>
    </row>
    <row r="611" spans="2:7" ht="13.2" x14ac:dyDescent="0.25">
      <c r="B611" s="118"/>
      <c r="C611" s="231"/>
      <c r="G611" s="119"/>
    </row>
    <row r="612" spans="2:7" ht="13.2" x14ac:dyDescent="0.25">
      <c r="B612" s="118"/>
      <c r="C612" s="231"/>
      <c r="G612" s="119"/>
    </row>
    <row r="613" spans="2:7" ht="13.2" x14ac:dyDescent="0.25">
      <c r="B613" s="118"/>
      <c r="C613" s="231"/>
      <c r="G613" s="119"/>
    </row>
    <row r="614" spans="2:7" ht="13.2" x14ac:dyDescent="0.25">
      <c r="B614" s="118"/>
      <c r="C614" s="231"/>
      <c r="G614" s="119"/>
    </row>
    <row r="615" spans="2:7" ht="13.2" x14ac:dyDescent="0.25">
      <c r="B615" s="118"/>
      <c r="C615" s="231"/>
      <c r="G615" s="119"/>
    </row>
    <row r="616" spans="2:7" ht="13.2" x14ac:dyDescent="0.25">
      <c r="B616" s="118"/>
      <c r="C616" s="231"/>
      <c r="G616" s="119"/>
    </row>
    <row r="617" spans="2:7" ht="13.2" x14ac:dyDescent="0.25">
      <c r="B617" s="118"/>
      <c r="C617" s="231"/>
      <c r="G617" s="119"/>
    </row>
    <row r="618" spans="2:7" ht="13.2" x14ac:dyDescent="0.25">
      <c r="B618" s="118"/>
      <c r="C618" s="231"/>
      <c r="G618" s="119"/>
    </row>
    <row r="619" spans="2:7" ht="13.2" x14ac:dyDescent="0.25">
      <c r="B619" s="118"/>
      <c r="C619" s="231"/>
      <c r="G619" s="119"/>
    </row>
    <row r="620" spans="2:7" ht="13.2" x14ac:dyDescent="0.25">
      <c r="B620" s="118"/>
      <c r="C620" s="231"/>
      <c r="G620" s="119"/>
    </row>
    <row r="621" spans="2:7" ht="13.2" x14ac:dyDescent="0.25">
      <c r="B621" s="118"/>
      <c r="C621" s="231"/>
      <c r="G621" s="119"/>
    </row>
    <row r="622" spans="2:7" ht="13.2" x14ac:dyDescent="0.25">
      <c r="B622" s="118"/>
      <c r="C622" s="231"/>
      <c r="G622" s="119"/>
    </row>
    <row r="623" spans="2:7" ht="13.2" x14ac:dyDescent="0.25">
      <c r="B623" s="118"/>
      <c r="C623" s="231"/>
      <c r="G623" s="119"/>
    </row>
    <row r="624" spans="2:7" ht="13.2" x14ac:dyDescent="0.25">
      <c r="B624" s="118"/>
      <c r="C624" s="231"/>
      <c r="G624" s="119"/>
    </row>
    <row r="625" spans="2:7" ht="13.2" x14ac:dyDescent="0.25">
      <c r="B625" s="118"/>
      <c r="C625" s="231"/>
      <c r="G625" s="119"/>
    </row>
    <row r="626" spans="2:7" ht="13.2" x14ac:dyDescent="0.25">
      <c r="B626" s="118"/>
      <c r="C626" s="231"/>
      <c r="G626" s="119"/>
    </row>
    <row r="627" spans="2:7" ht="13.2" x14ac:dyDescent="0.25">
      <c r="B627" s="118"/>
      <c r="C627" s="231"/>
      <c r="G627" s="119"/>
    </row>
    <row r="628" spans="2:7" ht="13.2" x14ac:dyDescent="0.25">
      <c r="B628" s="118"/>
      <c r="C628" s="231"/>
      <c r="G628" s="119"/>
    </row>
    <row r="629" spans="2:7" ht="13.2" x14ac:dyDescent="0.25">
      <c r="B629" s="118"/>
      <c r="C629" s="231"/>
      <c r="G629" s="119"/>
    </row>
    <row r="630" spans="2:7" ht="13.2" x14ac:dyDescent="0.25">
      <c r="B630" s="118"/>
      <c r="C630" s="231"/>
      <c r="G630" s="119"/>
    </row>
    <row r="631" spans="2:7" ht="13.2" x14ac:dyDescent="0.25">
      <c r="B631" s="118"/>
      <c r="C631" s="231"/>
      <c r="G631" s="119"/>
    </row>
    <row r="632" spans="2:7" ht="13.2" x14ac:dyDescent="0.25">
      <c r="B632" s="118"/>
      <c r="C632" s="231"/>
      <c r="G632" s="119"/>
    </row>
    <row r="633" spans="2:7" ht="13.2" x14ac:dyDescent="0.25">
      <c r="B633" s="118"/>
      <c r="C633" s="231"/>
      <c r="G633" s="119"/>
    </row>
    <row r="634" spans="2:7" ht="13.2" x14ac:dyDescent="0.25">
      <c r="B634" s="118"/>
      <c r="C634" s="231"/>
      <c r="G634" s="119"/>
    </row>
    <row r="635" spans="2:7" ht="13.2" x14ac:dyDescent="0.25">
      <c r="B635" s="118"/>
      <c r="C635" s="231"/>
      <c r="G635" s="119"/>
    </row>
    <row r="636" spans="2:7" ht="13.2" x14ac:dyDescent="0.25">
      <c r="B636" s="118"/>
      <c r="C636" s="231"/>
      <c r="G636" s="119"/>
    </row>
    <row r="637" spans="2:7" ht="13.2" x14ac:dyDescent="0.25">
      <c r="B637" s="118"/>
      <c r="C637" s="231"/>
      <c r="G637" s="119"/>
    </row>
    <row r="638" spans="2:7" ht="13.2" x14ac:dyDescent="0.25">
      <c r="B638" s="118"/>
      <c r="C638" s="231"/>
      <c r="G638" s="119"/>
    </row>
    <row r="639" spans="2:7" ht="13.2" x14ac:dyDescent="0.25">
      <c r="B639" s="118"/>
      <c r="C639" s="231"/>
      <c r="G639" s="119"/>
    </row>
    <row r="640" spans="2:7" ht="13.2" x14ac:dyDescent="0.25">
      <c r="B640" s="118"/>
      <c r="C640" s="231"/>
      <c r="G640" s="119"/>
    </row>
    <row r="641" spans="2:7" ht="13.2" x14ac:dyDescent="0.25">
      <c r="B641" s="118"/>
      <c r="C641" s="231"/>
      <c r="G641" s="119"/>
    </row>
    <row r="642" spans="2:7" ht="13.2" x14ac:dyDescent="0.25">
      <c r="B642" s="118"/>
      <c r="C642" s="231"/>
      <c r="G642" s="119"/>
    </row>
    <row r="643" spans="2:7" ht="13.2" x14ac:dyDescent="0.25">
      <c r="B643" s="118"/>
      <c r="C643" s="231"/>
      <c r="G643" s="119"/>
    </row>
    <row r="644" spans="2:7" ht="13.2" x14ac:dyDescent="0.25">
      <c r="B644" s="118"/>
      <c r="C644" s="231"/>
      <c r="G644" s="119"/>
    </row>
    <row r="645" spans="2:7" ht="13.2" x14ac:dyDescent="0.25">
      <c r="B645" s="118"/>
      <c r="C645" s="231"/>
      <c r="G645" s="119"/>
    </row>
    <row r="646" spans="2:7" ht="13.2" x14ac:dyDescent="0.25">
      <c r="B646" s="118"/>
      <c r="C646" s="231"/>
      <c r="G646" s="119"/>
    </row>
    <row r="647" spans="2:7" ht="13.2" x14ac:dyDescent="0.25">
      <c r="B647" s="118"/>
      <c r="C647" s="231"/>
      <c r="G647" s="119"/>
    </row>
    <row r="648" spans="2:7" ht="13.2" x14ac:dyDescent="0.25">
      <c r="B648" s="118"/>
      <c r="C648" s="231"/>
      <c r="G648" s="119"/>
    </row>
    <row r="649" spans="2:7" ht="13.2" x14ac:dyDescent="0.25">
      <c r="B649" s="118"/>
      <c r="C649" s="231"/>
      <c r="G649" s="119"/>
    </row>
    <row r="650" spans="2:7" ht="13.2" x14ac:dyDescent="0.25">
      <c r="B650" s="118"/>
      <c r="C650" s="231"/>
      <c r="G650" s="119"/>
    </row>
    <row r="651" spans="2:7" ht="13.2" x14ac:dyDescent="0.25">
      <c r="B651" s="118"/>
      <c r="C651" s="231"/>
      <c r="G651" s="119"/>
    </row>
    <row r="652" spans="2:7" ht="13.2" x14ac:dyDescent="0.25">
      <c r="B652" s="118"/>
      <c r="C652" s="231"/>
      <c r="G652" s="119"/>
    </row>
    <row r="653" spans="2:7" ht="13.2" x14ac:dyDescent="0.25">
      <c r="B653" s="118"/>
      <c r="C653" s="231"/>
      <c r="G653" s="119"/>
    </row>
    <row r="654" spans="2:7" ht="13.2" x14ac:dyDescent="0.25">
      <c r="B654" s="118"/>
      <c r="C654" s="231"/>
      <c r="G654" s="119"/>
    </row>
    <row r="655" spans="2:7" ht="13.2" x14ac:dyDescent="0.25">
      <c r="B655" s="118"/>
      <c r="C655" s="231"/>
      <c r="G655" s="119"/>
    </row>
    <row r="656" spans="2:7" ht="13.2" x14ac:dyDescent="0.25">
      <c r="B656" s="118"/>
      <c r="C656" s="231"/>
      <c r="G656" s="119"/>
    </row>
    <row r="657" spans="2:7" ht="13.2" x14ac:dyDescent="0.25">
      <c r="B657" s="118"/>
      <c r="C657" s="231"/>
      <c r="G657" s="119"/>
    </row>
    <row r="658" spans="2:7" ht="13.2" x14ac:dyDescent="0.25">
      <c r="B658" s="118"/>
      <c r="C658" s="231"/>
      <c r="G658" s="119"/>
    </row>
    <row r="659" spans="2:7" ht="13.2" x14ac:dyDescent="0.25">
      <c r="B659" s="118"/>
      <c r="C659" s="231"/>
      <c r="G659" s="119"/>
    </row>
    <row r="660" spans="2:7" ht="13.2" x14ac:dyDescent="0.25">
      <c r="B660" s="118"/>
      <c r="C660" s="231"/>
      <c r="G660" s="119"/>
    </row>
    <row r="661" spans="2:7" ht="13.2" x14ac:dyDescent="0.25">
      <c r="B661" s="118"/>
      <c r="C661" s="231"/>
      <c r="G661" s="119"/>
    </row>
    <row r="662" spans="2:7" ht="13.2" x14ac:dyDescent="0.25">
      <c r="B662" s="118"/>
      <c r="C662" s="231"/>
      <c r="G662" s="119"/>
    </row>
    <row r="663" spans="2:7" ht="13.2" x14ac:dyDescent="0.25">
      <c r="B663" s="118"/>
      <c r="C663" s="231"/>
      <c r="G663" s="119"/>
    </row>
    <row r="664" spans="2:7" ht="13.2" x14ac:dyDescent="0.25">
      <c r="B664" s="118"/>
      <c r="C664" s="231"/>
      <c r="G664" s="119"/>
    </row>
    <row r="665" spans="2:7" ht="13.2" x14ac:dyDescent="0.25">
      <c r="B665" s="118"/>
      <c r="C665" s="231"/>
      <c r="G665" s="119"/>
    </row>
    <row r="666" spans="2:7" ht="13.2" x14ac:dyDescent="0.25">
      <c r="B666" s="118"/>
      <c r="C666" s="231"/>
      <c r="G666" s="119"/>
    </row>
    <row r="667" spans="2:7" ht="13.2" x14ac:dyDescent="0.25">
      <c r="B667" s="118"/>
      <c r="C667" s="231"/>
      <c r="G667" s="119"/>
    </row>
    <row r="668" spans="2:7" ht="13.2" x14ac:dyDescent="0.25">
      <c r="B668" s="118"/>
      <c r="C668" s="231"/>
      <c r="G668" s="119"/>
    </row>
    <row r="669" spans="2:7" ht="13.2" x14ac:dyDescent="0.25">
      <c r="B669" s="118"/>
      <c r="C669" s="231"/>
      <c r="G669" s="119"/>
    </row>
    <row r="670" spans="2:7" ht="13.2" x14ac:dyDescent="0.25">
      <c r="B670" s="118"/>
      <c r="C670" s="231"/>
      <c r="G670" s="119"/>
    </row>
    <row r="671" spans="2:7" ht="13.2" x14ac:dyDescent="0.25">
      <c r="B671" s="118"/>
      <c r="C671" s="231"/>
      <c r="G671" s="119"/>
    </row>
    <row r="672" spans="2:7" ht="13.2" x14ac:dyDescent="0.25">
      <c r="B672" s="118"/>
      <c r="C672" s="231"/>
      <c r="G672" s="119"/>
    </row>
    <row r="673" spans="2:7" ht="13.2" x14ac:dyDescent="0.25">
      <c r="B673" s="118"/>
      <c r="C673" s="231"/>
      <c r="G673" s="119"/>
    </row>
    <row r="674" spans="2:7" ht="13.2" x14ac:dyDescent="0.25">
      <c r="B674" s="118"/>
      <c r="C674" s="231"/>
      <c r="G674" s="119"/>
    </row>
    <row r="675" spans="2:7" ht="13.2" x14ac:dyDescent="0.25">
      <c r="B675" s="118"/>
      <c r="C675" s="231"/>
      <c r="G675" s="119"/>
    </row>
    <row r="676" spans="2:7" ht="13.2" x14ac:dyDescent="0.25">
      <c r="B676" s="118"/>
      <c r="C676" s="231"/>
      <c r="G676" s="119"/>
    </row>
    <row r="677" spans="2:7" ht="13.2" x14ac:dyDescent="0.25">
      <c r="B677" s="118"/>
      <c r="C677" s="231"/>
      <c r="G677" s="119"/>
    </row>
    <row r="678" spans="2:7" ht="13.2" x14ac:dyDescent="0.25">
      <c r="B678" s="118"/>
      <c r="C678" s="231"/>
      <c r="G678" s="119"/>
    </row>
    <row r="679" spans="2:7" ht="13.2" x14ac:dyDescent="0.25">
      <c r="B679" s="118"/>
      <c r="C679" s="231"/>
      <c r="G679" s="119"/>
    </row>
    <row r="680" spans="2:7" ht="13.2" x14ac:dyDescent="0.25">
      <c r="B680" s="118"/>
      <c r="C680" s="231"/>
      <c r="G680" s="119"/>
    </row>
    <row r="681" spans="2:7" ht="13.2" x14ac:dyDescent="0.25">
      <c r="B681" s="118"/>
      <c r="C681" s="231"/>
      <c r="G681" s="119"/>
    </row>
    <row r="682" spans="2:7" ht="13.2" x14ac:dyDescent="0.25">
      <c r="B682" s="118"/>
      <c r="C682" s="231"/>
      <c r="G682" s="119"/>
    </row>
    <row r="683" spans="2:7" ht="13.2" x14ac:dyDescent="0.25">
      <c r="B683" s="118"/>
      <c r="C683" s="231"/>
      <c r="G683" s="119"/>
    </row>
    <row r="684" spans="2:7" ht="13.2" x14ac:dyDescent="0.25">
      <c r="B684" s="118"/>
      <c r="C684" s="231"/>
      <c r="G684" s="119"/>
    </row>
    <row r="685" spans="2:7" ht="13.2" x14ac:dyDescent="0.25">
      <c r="B685" s="118"/>
      <c r="C685" s="231"/>
      <c r="G685" s="119"/>
    </row>
    <row r="686" spans="2:7" ht="13.2" x14ac:dyDescent="0.25">
      <c r="B686" s="118"/>
      <c r="C686" s="231"/>
      <c r="G686" s="119"/>
    </row>
    <row r="687" spans="2:7" ht="13.2" x14ac:dyDescent="0.25">
      <c r="B687" s="118"/>
      <c r="C687" s="231"/>
      <c r="G687" s="119"/>
    </row>
    <row r="688" spans="2:7" ht="13.2" x14ac:dyDescent="0.25">
      <c r="B688" s="118"/>
      <c r="C688" s="231"/>
      <c r="G688" s="119"/>
    </row>
    <row r="689" spans="2:7" ht="13.2" x14ac:dyDescent="0.25">
      <c r="B689" s="118"/>
      <c r="C689" s="231"/>
      <c r="G689" s="119"/>
    </row>
    <row r="690" spans="2:7" ht="13.2" x14ac:dyDescent="0.25">
      <c r="B690" s="118"/>
      <c r="C690" s="231"/>
      <c r="G690" s="119"/>
    </row>
    <row r="691" spans="2:7" ht="13.2" x14ac:dyDescent="0.25">
      <c r="B691" s="118"/>
      <c r="C691" s="231"/>
      <c r="G691" s="119"/>
    </row>
    <row r="692" spans="2:7" ht="13.2" x14ac:dyDescent="0.25">
      <c r="B692" s="118"/>
      <c r="C692" s="231"/>
      <c r="G692" s="119"/>
    </row>
    <row r="693" spans="2:7" ht="13.2" x14ac:dyDescent="0.25">
      <c r="B693" s="118"/>
      <c r="C693" s="231"/>
      <c r="G693" s="119"/>
    </row>
    <row r="694" spans="2:7" ht="13.2" x14ac:dyDescent="0.25">
      <c r="B694" s="118"/>
      <c r="C694" s="231"/>
      <c r="G694" s="119"/>
    </row>
    <row r="695" spans="2:7" ht="13.2" x14ac:dyDescent="0.25">
      <c r="B695" s="118"/>
      <c r="C695" s="231"/>
      <c r="G695" s="119"/>
    </row>
    <row r="696" spans="2:7" ht="13.2" x14ac:dyDescent="0.25">
      <c r="B696" s="118"/>
      <c r="C696" s="231"/>
      <c r="G696" s="119"/>
    </row>
    <row r="697" spans="2:7" ht="13.2" x14ac:dyDescent="0.25">
      <c r="B697" s="118"/>
      <c r="C697" s="231"/>
      <c r="G697" s="119"/>
    </row>
    <row r="698" spans="2:7" ht="13.2" x14ac:dyDescent="0.25">
      <c r="B698" s="118"/>
      <c r="C698" s="231"/>
      <c r="G698" s="119"/>
    </row>
    <row r="699" spans="2:7" ht="13.2" x14ac:dyDescent="0.25">
      <c r="B699" s="118"/>
      <c r="C699" s="231"/>
      <c r="G699" s="119"/>
    </row>
    <row r="700" spans="2:7" ht="13.2" x14ac:dyDescent="0.25">
      <c r="B700" s="118"/>
      <c r="C700" s="231"/>
      <c r="G700" s="119"/>
    </row>
    <row r="701" spans="2:7" ht="13.2" x14ac:dyDescent="0.25">
      <c r="B701" s="118"/>
      <c r="C701" s="231"/>
      <c r="G701" s="119"/>
    </row>
    <row r="702" spans="2:7" ht="13.2" x14ac:dyDescent="0.25">
      <c r="B702" s="118"/>
      <c r="C702" s="231"/>
      <c r="G702" s="119"/>
    </row>
    <row r="703" spans="2:7" ht="13.2" x14ac:dyDescent="0.25">
      <c r="B703" s="118"/>
      <c r="C703" s="231"/>
      <c r="G703" s="119"/>
    </row>
    <row r="704" spans="2:7" ht="13.2" x14ac:dyDescent="0.25">
      <c r="B704" s="118"/>
      <c r="C704" s="231"/>
      <c r="G704" s="119"/>
    </row>
    <row r="705" spans="2:7" ht="13.2" x14ac:dyDescent="0.25">
      <c r="B705" s="118"/>
      <c r="C705" s="231"/>
      <c r="G705" s="119"/>
    </row>
    <row r="706" spans="2:7" ht="13.2" x14ac:dyDescent="0.25">
      <c r="B706" s="118"/>
      <c r="C706" s="231"/>
      <c r="G706" s="119"/>
    </row>
    <row r="707" spans="2:7" ht="13.2" x14ac:dyDescent="0.25">
      <c r="B707" s="118"/>
      <c r="C707" s="231"/>
      <c r="G707" s="119"/>
    </row>
    <row r="708" spans="2:7" ht="13.2" x14ac:dyDescent="0.25">
      <c r="B708" s="118"/>
      <c r="C708" s="231"/>
      <c r="G708" s="119"/>
    </row>
    <row r="709" spans="2:7" ht="13.2" x14ac:dyDescent="0.25">
      <c r="B709" s="118"/>
      <c r="C709" s="231"/>
      <c r="G709" s="119"/>
    </row>
    <row r="710" spans="2:7" ht="13.2" x14ac:dyDescent="0.25">
      <c r="B710" s="118"/>
      <c r="C710" s="231"/>
      <c r="G710" s="119"/>
    </row>
    <row r="711" spans="2:7" ht="13.2" x14ac:dyDescent="0.25">
      <c r="B711" s="118"/>
      <c r="C711" s="231"/>
      <c r="G711" s="119"/>
    </row>
    <row r="712" spans="2:7" ht="13.2" x14ac:dyDescent="0.25">
      <c r="B712" s="118"/>
      <c r="C712" s="231"/>
      <c r="G712" s="119"/>
    </row>
    <row r="713" spans="2:7" ht="13.2" x14ac:dyDescent="0.25">
      <c r="B713" s="118"/>
      <c r="C713" s="231"/>
      <c r="G713" s="119"/>
    </row>
    <row r="714" spans="2:7" ht="13.2" x14ac:dyDescent="0.25">
      <c r="B714" s="118"/>
      <c r="C714" s="231"/>
      <c r="G714" s="119"/>
    </row>
    <row r="715" spans="2:7" ht="13.2" x14ac:dyDescent="0.25">
      <c r="B715" s="118"/>
      <c r="C715" s="231"/>
      <c r="G715" s="119"/>
    </row>
    <row r="716" spans="2:7" ht="13.2" x14ac:dyDescent="0.25">
      <c r="B716" s="118"/>
      <c r="C716" s="231"/>
      <c r="G716" s="119"/>
    </row>
    <row r="717" spans="2:7" ht="13.2" x14ac:dyDescent="0.25">
      <c r="B717" s="118"/>
      <c r="C717" s="231"/>
      <c r="G717" s="119"/>
    </row>
    <row r="718" spans="2:7" ht="13.2" x14ac:dyDescent="0.25">
      <c r="B718" s="118"/>
      <c r="C718" s="231"/>
      <c r="G718" s="119"/>
    </row>
    <row r="719" spans="2:7" ht="13.2" x14ac:dyDescent="0.25">
      <c r="B719" s="118"/>
      <c r="C719" s="231"/>
      <c r="G719" s="119"/>
    </row>
    <row r="720" spans="2:7" ht="13.2" x14ac:dyDescent="0.25">
      <c r="B720" s="118"/>
      <c r="C720" s="231"/>
      <c r="G720" s="119"/>
    </row>
    <row r="721" spans="2:7" ht="13.2" x14ac:dyDescent="0.25">
      <c r="B721" s="118"/>
      <c r="C721" s="231"/>
      <c r="G721" s="119"/>
    </row>
    <row r="722" spans="2:7" ht="13.2" x14ac:dyDescent="0.25">
      <c r="B722" s="118"/>
      <c r="C722" s="231"/>
      <c r="G722" s="119"/>
    </row>
    <row r="723" spans="2:7" ht="13.2" x14ac:dyDescent="0.25">
      <c r="B723" s="118"/>
      <c r="C723" s="231"/>
      <c r="G723" s="119"/>
    </row>
    <row r="724" spans="2:7" ht="13.2" x14ac:dyDescent="0.25">
      <c r="B724" s="118"/>
      <c r="C724" s="231"/>
      <c r="G724" s="119"/>
    </row>
    <row r="725" spans="2:7" ht="13.2" x14ac:dyDescent="0.25">
      <c r="B725" s="118"/>
      <c r="C725" s="231"/>
      <c r="G725" s="119"/>
    </row>
    <row r="726" spans="2:7" ht="13.2" x14ac:dyDescent="0.25">
      <c r="B726" s="118"/>
      <c r="C726" s="231"/>
      <c r="G726" s="119"/>
    </row>
    <row r="727" spans="2:7" ht="13.2" x14ac:dyDescent="0.25">
      <c r="B727" s="118"/>
      <c r="C727" s="231"/>
      <c r="G727" s="119"/>
    </row>
    <row r="728" spans="2:7" ht="13.2" x14ac:dyDescent="0.25">
      <c r="B728" s="118"/>
      <c r="C728" s="231"/>
      <c r="G728" s="119"/>
    </row>
    <row r="729" spans="2:7" ht="13.2" x14ac:dyDescent="0.25">
      <c r="B729" s="118"/>
      <c r="C729" s="231"/>
      <c r="G729" s="119"/>
    </row>
    <row r="730" spans="2:7" ht="13.2" x14ac:dyDescent="0.25">
      <c r="B730" s="118"/>
      <c r="C730" s="231"/>
      <c r="G730" s="119"/>
    </row>
    <row r="731" spans="2:7" ht="13.2" x14ac:dyDescent="0.25">
      <c r="B731" s="118"/>
      <c r="C731" s="231"/>
      <c r="G731" s="119"/>
    </row>
    <row r="732" spans="2:7" ht="13.2" x14ac:dyDescent="0.25">
      <c r="B732" s="118"/>
      <c r="C732" s="231"/>
      <c r="G732" s="119"/>
    </row>
    <row r="733" spans="2:7" ht="13.2" x14ac:dyDescent="0.25">
      <c r="B733" s="118"/>
      <c r="C733" s="231"/>
      <c r="G733" s="119"/>
    </row>
    <row r="734" spans="2:7" ht="13.2" x14ac:dyDescent="0.25">
      <c r="B734" s="118"/>
      <c r="C734" s="231"/>
      <c r="G734" s="119"/>
    </row>
    <row r="735" spans="2:7" ht="13.2" x14ac:dyDescent="0.25">
      <c r="B735" s="118"/>
      <c r="C735" s="231"/>
      <c r="G735" s="119"/>
    </row>
    <row r="736" spans="2:7" ht="13.2" x14ac:dyDescent="0.25">
      <c r="B736" s="118"/>
      <c r="C736" s="231"/>
      <c r="G736" s="119"/>
    </row>
    <row r="737" spans="2:7" ht="13.2" x14ac:dyDescent="0.25">
      <c r="B737" s="118"/>
      <c r="C737" s="231"/>
      <c r="G737" s="119"/>
    </row>
    <row r="738" spans="2:7" ht="13.2" x14ac:dyDescent="0.25">
      <c r="B738" s="118"/>
      <c r="C738" s="231"/>
      <c r="G738" s="119"/>
    </row>
    <row r="739" spans="2:7" ht="13.2" x14ac:dyDescent="0.25">
      <c r="B739" s="118"/>
      <c r="C739" s="231"/>
      <c r="G739" s="119"/>
    </row>
    <row r="740" spans="2:7" ht="13.2" x14ac:dyDescent="0.25">
      <c r="B740" s="118"/>
      <c r="C740" s="231"/>
      <c r="G740" s="119"/>
    </row>
    <row r="741" spans="2:7" ht="13.2" x14ac:dyDescent="0.25">
      <c r="B741" s="118"/>
      <c r="C741" s="231"/>
      <c r="G741" s="119"/>
    </row>
    <row r="742" spans="2:7" ht="13.2" x14ac:dyDescent="0.25">
      <c r="B742" s="118"/>
      <c r="C742" s="231"/>
      <c r="G742" s="119"/>
    </row>
    <row r="743" spans="2:7" ht="13.2" x14ac:dyDescent="0.25">
      <c r="B743" s="118"/>
      <c r="C743" s="231"/>
      <c r="G743" s="119"/>
    </row>
    <row r="744" spans="2:7" ht="13.2" x14ac:dyDescent="0.25">
      <c r="B744" s="118"/>
      <c r="C744" s="231"/>
      <c r="G744" s="119"/>
    </row>
    <row r="745" spans="2:7" ht="13.2" x14ac:dyDescent="0.25">
      <c r="B745" s="118"/>
      <c r="C745" s="231"/>
      <c r="G745" s="119"/>
    </row>
    <row r="746" spans="2:7" ht="13.2" x14ac:dyDescent="0.25">
      <c r="B746" s="118"/>
      <c r="C746" s="231"/>
      <c r="G746" s="119"/>
    </row>
    <row r="747" spans="2:7" ht="13.2" x14ac:dyDescent="0.25">
      <c r="B747" s="118"/>
      <c r="C747" s="231"/>
      <c r="G747" s="119"/>
    </row>
    <row r="748" spans="2:7" ht="13.2" x14ac:dyDescent="0.25">
      <c r="B748" s="118"/>
      <c r="C748" s="231"/>
      <c r="G748" s="119"/>
    </row>
    <row r="749" spans="2:7" ht="13.2" x14ac:dyDescent="0.25">
      <c r="B749" s="118"/>
      <c r="C749" s="231"/>
      <c r="G749" s="119"/>
    </row>
    <row r="750" spans="2:7" ht="13.2" x14ac:dyDescent="0.25">
      <c r="B750" s="118"/>
      <c r="C750" s="231"/>
      <c r="G750" s="119"/>
    </row>
    <row r="751" spans="2:7" ht="13.2" x14ac:dyDescent="0.25">
      <c r="B751" s="118"/>
      <c r="C751" s="231"/>
      <c r="G751" s="119"/>
    </row>
    <row r="752" spans="2:7" ht="13.2" x14ac:dyDescent="0.25">
      <c r="B752" s="118"/>
      <c r="C752" s="231"/>
      <c r="G752" s="119"/>
    </row>
    <row r="753" spans="2:7" ht="13.2" x14ac:dyDescent="0.25">
      <c r="B753" s="118"/>
      <c r="C753" s="231"/>
      <c r="G753" s="119"/>
    </row>
    <row r="754" spans="2:7" ht="13.2" x14ac:dyDescent="0.25">
      <c r="B754" s="118"/>
      <c r="C754" s="231"/>
      <c r="G754" s="119"/>
    </row>
    <row r="755" spans="2:7" ht="13.2" x14ac:dyDescent="0.25">
      <c r="B755" s="118"/>
      <c r="C755" s="231"/>
      <c r="G755" s="119"/>
    </row>
    <row r="756" spans="2:7" ht="13.2" x14ac:dyDescent="0.25">
      <c r="B756" s="118"/>
      <c r="C756" s="231"/>
      <c r="G756" s="119"/>
    </row>
    <row r="757" spans="2:7" ht="13.2" x14ac:dyDescent="0.25">
      <c r="B757" s="118"/>
      <c r="C757" s="231"/>
      <c r="G757" s="119"/>
    </row>
    <row r="758" spans="2:7" ht="13.2" x14ac:dyDescent="0.25">
      <c r="B758" s="118"/>
      <c r="C758" s="231"/>
      <c r="G758" s="119"/>
    </row>
    <row r="759" spans="2:7" ht="13.2" x14ac:dyDescent="0.25">
      <c r="B759" s="118"/>
      <c r="C759" s="231"/>
      <c r="G759" s="119"/>
    </row>
    <row r="760" spans="2:7" ht="13.2" x14ac:dyDescent="0.25">
      <c r="B760" s="118"/>
      <c r="C760" s="231"/>
      <c r="G760" s="119"/>
    </row>
    <row r="761" spans="2:7" ht="13.2" x14ac:dyDescent="0.25">
      <c r="B761" s="118"/>
      <c r="C761" s="231"/>
      <c r="G761" s="119"/>
    </row>
    <row r="762" spans="2:7" ht="13.2" x14ac:dyDescent="0.25">
      <c r="B762" s="118"/>
      <c r="C762" s="231"/>
      <c r="G762" s="119"/>
    </row>
    <row r="763" spans="2:7" ht="13.2" x14ac:dyDescent="0.25">
      <c r="B763" s="118"/>
      <c r="C763" s="231"/>
      <c r="G763" s="119"/>
    </row>
    <row r="764" spans="2:7" ht="13.2" x14ac:dyDescent="0.25">
      <c r="B764" s="118"/>
      <c r="C764" s="231"/>
      <c r="G764" s="119"/>
    </row>
    <row r="765" spans="2:7" ht="13.2" x14ac:dyDescent="0.25">
      <c r="B765" s="118"/>
      <c r="C765" s="231"/>
      <c r="G765" s="119"/>
    </row>
    <row r="766" spans="2:7" ht="13.2" x14ac:dyDescent="0.25">
      <c r="B766" s="118"/>
      <c r="C766" s="231"/>
      <c r="G766" s="119"/>
    </row>
    <row r="767" spans="2:7" ht="13.2" x14ac:dyDescent="0.25">
      <c r="B767" s="118"/>
      <c r="C767" s="231"/>
      <c r="G767" s="119"/>
    </row>
    <row r="768" spans="2:7" ht="13.2" x14ac:dyDescent="0.25">
      <c r="B768" s="118"/>
      <c r="C768" s="231"/>
      <c r="G768" s="119"/>
    </row>
    <row r="769" spans="2:7" ht="13.2" x14ac:dyDescent="0.25">
      <c r="B769" s="118"/>
      <c r="C769" s="231"/>
      <c r="G769" s="119"/>
    </row>
    <row r="770" spans="2:7" ht="13.2" x14ac:dyDescent="0.25">
      <c r="B770" s="118"/>
      <c r="C770" s="231"/>
      <c r="G770" s="119"/>
    </row>
    <row r="771" spans="2:7" ht="13.2" x14ac:dyDescent="0.25">
      <c r="B771" s="118"/>
      <c r="C771" s="231"/>
      <c r="G771" s="119"/>
    </row>
    <row r="772" spans="2:7" ht="13.2" x14ac:dyDescent="0.25">
      <c r="B772" s="118"/>
      <c r="C772" s="231"/>
      <c r="G772" s="119"/>
    </row>
    <row r="773" spans="2:7" ht="13.2" x14ac:dyDescent="0.25">
      <c r="B773" s="118"/>
      <c r="C773" s="231"/>
      <c r="G773" s="119"/>
    </row>
    <row r="774" spans="2:7" ht="13.2" x14ac:dyDescent="0.25">
      <c r="B774" s="118"/>
      <c r="C774" s="231"/>
      <c r="G774" s="119"/>
    </row>
    <row r="775" spans="2:7" ht="13.2" x14ac:dyDescent="0.25">
      <c r="B775" s="118"/>
      <c r="C775" s="231"/>
      <c r="G775" s="119"/>
    </row>
    <row r="776" spans="2:7" ht="13.2" x14ac:dyDescent="0.25">
      <c r="B776" s="118"/>
      <c r="C776" s="231"/>
      <c r="G776" s="119"/>
    </row>
    <row r="777" spans="2:7" ht="13.2" x14ac:dyDescent="0.25">
      <c r="B777" s="118"/>
      <c r="C777" s="231"/>
      <c r="G777" s="119"/>
    </row>
    <row r="778" spans="2:7" ht="13.2" x14ac:dyDescent="0.25">
      <c r="B778" s="118"/>
      <c r="C778" s="231"/>
      <c r="G778" s="119"/>
    </row>
    <row r="779" spans="2:7" ht="13.2" x14ac:dyDescent="0.25">
      <c r="B779" s="118"/>
      <c r="C779" s="231"/>
      <c r="G779" s="119"/>
    </row>
    <row r="780" spans="2:7" ht="13.2" x14ac:dyDescent="0.25">
      <c r="B780" s="118"/>
      <c r="C780" s="231"/>
      <c r="G780" s="119"/>
    </row>
    <row r="781" spans="2:7" ht="13.2" x14ac:dyDescent="0.25">
      <c r="B781" s="118"/>
      <c r="C781" s="231"/>
      <c r="G781" s="119"/>
    </row>
    <row r="782" spans="2:7" ht="13.2" x14ac:dyDescent="0.25">
      <c r="B782" s="118"/>
      <c r="C782" s="231"/>
      <c r="G782" s="119"/>
    </row>
    <row r="783" spans="2:7" ht="13.2" x14ac:dyDescent="0.25">
      <c r="B783" s="118"/>
      <c r="C783" s="231"/>
      <c r="G783" s="119"/>
    </row>
    <row r="784" spans="2:7" ht="13.2" x14ac:dyDescent="0.25">
      <c r="B784" s="118"/>
      <c r="C784" s="231"/>
      <c r="G784" s="119"/>
    </row>
    <row r="785" spans="2:7" ht="13.2" x14ac:dyDescent="0.25">
      <c r="B785" s="118"/>
      <c r="C785" s="231"/>
      <c r="G785" s="119"/>
    </row>
    <row r="786" spans="2:7" ht="13.2" x14ac:dyDescent="0.25">
      <c r="B786" s="118"/>
      <c r="C786" s="231"/>
      <c r="G786" s="119"/>
    </row>
    <row r="787" spans="2:7" ht="13.2" x14ac:dyDescent="0.25">
      <c r="B787" s="118"/>
      <c r="C787" s="231"/>
      <c r="G787" s="119"/>
    </row>
    <row r="788" spans="2:7" ht="13.2" x14ac:dyDescent="0.25">
      <c r="B788" s="118"/>
      <c r="C788" s="231"/>
      <c r="G788" s="119"/>
    </row>
    <row r="789" spans="2:7" ht="13.2" x14ac:dyDescent="0.25">
      <c r="B789" s="118"/>
      <c r="C789" s="231"/>
      <c r="G789" s="119"/>
    </row>
    <row r="790" spans="2:7" ht="13.2" x14ac:dyDescent="0.25">
      <c r="B790" s="118"/>
      <c r="C790" s="231"/>
      <c r="G790" s="119"/>
    </row>
    <row r="791" spans="2:7" ht="13.2" x14ac:dyDescent="0.25">
      <c r="B791" s="118"/>
      <c r="C791" s="231"/>
      <c r="G791" s="119"/>
    </row>
    <row r="792" spans="2:7" ht="13.2" x14ac:dyDescent="0.25">
      <c r="B792" s="118"/>
      <c r="C792" s="231"/>
      <c r="G792" s="119"/>
    </row>
    <row r="793" spans="2:7" ht="13.2" x14ac:dyDescent="0.25">
      <c r="B793" s="118"/>
      <c r="C793" s="231"/>
      <c r="G793" s="119"/>
    </row>
    <row r="794" spans="2:7" ht="13.2" x14ac:dyDescent="0.25">
      <c r="B794" s="118"/>
      <c r="C794" s="231"/>
      <c r="G794" s="119"/>
    </row>
    <row r="795" spans="2:7" ht="13.2" x14ac:dyDescent="0.25">
      <c r="B795" s="118"/>
      <c r="C795" s="231"/>
      <c r="G795" s="119"/>
    </row>
    <row r="796" spans="2:7" ht="13.2" x14ac:dyDescent="0.25">
      <c r="B796" s="118"/>
      <c r="C796" s="231"/>
      <c r="G796" s="119"/>
    </row>
    <row r="797" spans="2:7" ht="13.2" x14ac:dyDescent="0.25">
      <c r="B797" s="118"/>
      <c r="C797" s="231"/>
      <c r="G797" s="119"/>
    </row>
    <row r="798" spans="2:7" ht="13.2" x14ac:dyDescent="0.25">
      <c r="B798" s="118"/>
      <c r="C798" s="231"/>
      <c r="G798" s="119"/>
    </row>
    <row r="799" spans="2:7" ht="13.2" x14ac:dyDescent="0.25">
      <c r="B799" s="118"/>
      <c r="C799" s="231"/>
      <c r="G799" s="119"/>
    </row>
    <row r="800" spans="2:7" ht="13.2" x14ac:dyDescent="0.25">
      <c r="B800" s="118"/>
      <c r="C800" s="231"/>
      <c r="G800" s="119"/>
    </row>
    <row r="801" spans="2:7" ht="13.2" x14ac:dyDescent="0.25">
      <c r="B801" s="118"/>
      <c r="C801" s="231"/>
      <c r="G801" s="119"/>
    </row>
    <row r="802" spans="2:7" ht="13.2" x14ac:dyDescent="0.25">
      <c r="B802" s="118"/>
      <c r="C802" s="231"/>
      <c r="G802" s="119"/>
    </row>
    <row r="803" spans="2:7" ht="13.2" x14ac:dyDescent="0.25">
      <c r="B803" s="118"/>
      <c r="C803" s="231"/>
      <c r="G803" s="119"/>
    </row>
    <row r="804" spans="2:7" ht="13.2" x14ac:dyDescent="0.25">
      <c r="B804" s="118"/>
      <c r="C804" s="231"/>
      <c r="G804" s="119"/>
    </row>
    <row r="805" spans="2:7" ht="13.2" x14ac:dyDescent="0.25">
      <c r="B805" s="118"/>
      <c r="C805" s="231"/>
      <c r="G805" s="119"/>
    </row>
    <row r="806" spans="2:7" ht="13.2" x14ac:dyDescent="0.25">
      <c r="B806" s="118"/>
      <c r="C806" s="231"/>
      <c r="G806" s="119"/>
    </row>
    <row r="807" spans="2:7" ht="13.2" x14ac:dyDescent="0.25">
      <c r="B807" s="118"/>
      <c r="C807" s="231"/>
      <c r="G807" s="119"/>
    </row>
    <row r="808" spans="2:7" ht="13.2" x14ac:dyDescent="0.25">
      <c r="B808" s="118"/>
      <c r="C808" s="231"/>
      <c r="G808" s="119"/>
    </row>
    <row r="809" spans="2:7" ht="13.2" x14ac:dyDescent="0.25">
      <c r="B809" s="118"/>
      <c r="C809" s="231"/>
      <c r="G809" s="119"/>
    </row>
    <row r="810" spans="2:7" ht="13.2" x14ac:dyDescent="0.25">
      <c r="B810" s="118"/>
      <c r="C810" s="231"/>
      <c r="G810" s="119"/>
    </row>
    <row r="811" spans="2:7" ht="13.2" x14ac:dyDescent="0.25">
      <c r="B811" s="118"/>
      <c r="C811" s="231"/>
      <c r="G811" s="119"/>
    </row>
    <row r="812" spans="2:7" ht="13.2" x14ac:dyDescent="0.25">
      <c r="B812" s="118"/>
      <c r="C812" s="231"/>
      <c r="G812" s="119"/>
    </row>
    <row r="813" spans="2:7" ht="13.2" x14ac:dyDescent="0.25">
      <c r="B813" s="118"/>
      <c r="C813" s="231"/>
      <c r="G813" s="119"/>
    </row>
    <row r="814" spans="2:7" ht="13.2" x14ac:dyDescent="0.25">
      <c r="B814" s="118"/>
      <c r="C814" s="231"/>
      <c r="G814" s="119"/>
    </row>
    <row r="815" spans="2:7" ht="13.2" x14ac:dyDescent="0.25">
      <c r="B815" s="118"/>
      <c r="C815" s="231"/>
      <c r="G815" s="119"/>
    </row>
    <row r="816" spans="2:7" ht="13.2" x14ac:dyDescent="0.25">
      <c r="B816" s="118"/>
      <c r="C816" s="231"/>
      <c r="G816" s="119"/>
    </row>
    <row r="817" spans="2:7" ht="13.2" x14ac:dyDescent="0.25">
      <c r="B817" s="118"/>
      <c r="C817" s="231"/>
      <c r="G817" s="119"/>
    </row>
    <row r="818" spans="2:7" ht="13.2" x14ac:dyDescent="0.25">
      <c r="B818" s="118"/>
      <c r="C818" s="231"/>
      <c r="G818" s="119"/>
    </row>
    <row r="819" spans="2:7" ht="13.2" x14ac:dyDescent="0.25">
      <c r="B819" s="118"/>
      <c r="C819" s="231"/>
      <c r="G819" s="119"/>
    </row>
    <row r="820" spans="2:7" ht="13.2" x14ac:dyDescent="0.25">
      <c r="B820" s="118"/>
      <c r="C820" s="231"/>
      <c r="G820" s="119"/>
    </row>
    <row r="821" spans="2:7" ht="13.2" x14ac:dyDescent="0.25">
      <c r="B821" s="118"/>
      <c r="C821" s="231"/>
      <c r="G821" s="119"/>
    </row>
    <row r="822" spans="2:7" ht="13.2" x14ac:dyDescent="0.25">
      <c r="B822" s="118"/>
      <c r="C822" s="231"/>
      <c r="G822" s="119"/>
    </row>
    <row r="823" spans="2:7" ht="13.2" x14ac:dyDescent="0.25">
      <c r="B823" s="118"/>
      <c r="C823" s="231"/>
      <c r="G823" s="119"/>
    </row>
    <row r="824" spans="2:7" ht="13.2" x14ac:dyDescent="0.25">
      <c r="B824" s="118"/>
      <c r="C824" s="231"/>
      <c r="G824" s="119"/>
    </row>
    <row r="825" spans="2:7" ht="13.2" x14ac:dyDescent="0.25">
      <c r="B825" s="118"/>
      <c r="C825" s="231"/>
      <c r="G825" s="119"/>
    </row>
    <row r="826" spans="2:7" ht="13.2" x14ac:dyDescent="0.25">
      <c r="B826" s="118"/>
      <c r="C826" s="231"/>
      <c r="G826" s="119"/>
    </row>
    <row r="827" spans="2:7" ht="13.2" x14ac:dyDescent="0.25">
      <c r="B827" s="118"/>
      <c r="C827" s="231"/>
      <c r="G827" s="119"/>
    </row>
    <row r="828" spans="2:7" ht="13.2" x14ac:dyDescent="0.25">
      <c r="B828" s="118"/>
      <c r="C828" s="231"/>
      <c r="G828" s="119"/>
    </row>
    <row r="829" spans="2:7" ht="13.2" x14ac:dyDescent="0.25">
      <c r="B829" s="118"/>
      <c r="C829" s="231"/>
      <c r="G829" s="119"/>
    </row>
    <row r="830" spans="2:7" ht="13.2" x14ac:dyDescent="0.25">
      <c r="B830" s="118"/>
      <c r="C830" s="231"/>
      <c r="G830" s="119"/>
    </row>
    <row r="831" spans="2:7" ht="13.2" x14ac:dyDescent="0.25">
      <c r="B831" s="118"/>
      <c r="C831" s="231"/>
      <c r="G831" s="119"/>
    </row>
    <row r="832" spans="2:7" ht="13.2" x14ac:dyDescent="0.25">
      <c r="B832" s="118"/>
      <c r="C832" s="231"/>
      <c r="G832" s="119"/>
    </row>
    <row r="833" spans="2:7" ht="13.2" x14ac:dyDescent="0.25">
      <c r="B833" s="118"/>
      <c r="C833" s="231"/>
      <c r="G833" s="119"/>
    </row>
    <row r="834" spans="2:7" ht="13.2" x14ac:dyDescent="0.25">
      <c r="B834" s="118"/>
      <c r="C834" s="231"/>
      <c r="G834" s="119"/>
    </row>
    <row r="835" spans="2:7" ht="13.2" x14ac:dyDescent="0.25">
      <c r="B835" s="118"/>
      <c r="C835" s="231"/>
      <c r="G835" s="119"/>
    </row>
    <row r="836" spans="2:7" ht="13.2" x14ac:dyDescent="0.25">
      <c r="B836" s="118"/>
      <c r="C836" s="231"/>
      <c r="G836" s="119"/>
    </row>
    <row r="837" spans="2:7" ht="13.2" x14ac:dyDescent="0.25">
      <c r="B837" s="118"/>
      <c r="C837" s="231"/>
      <c r="G837" s="119"/>
    </row>
    <row r="838" spans="2:7" ht="13.2" x14ac:dyDescent="0.25">
      <c r="B838" s="118"/>
      <c r="C838" s="231"/>
      <c r="G838" s="119"/>
    </row>
    <row r="839" spans="2:7" ht="13.2" x14ac:dyDescent="0.25">
      <c r="B839" s="118"/>
      <c r="C839" s="231"/>
      <c r="G839" s="119"/>
    </row>
    <row r="840" spans="2:7" ht="13.2" x14ac:dyDescent="0.25">
      <c r="B840" s="118"/>
      <c r="C840" s="231"/>
      <c r="G840" s="119"/>
    </row>
    <row r="841" spans="2:7" ht="13.2" x14ac:dyDescent="0.25">
      <c r="B841" s="118"/>
      <c r="C841" s="231"/>
      <c r="G841" s="119"/>
    </row>
    <row r="842" spans="2:7" ht="13.2" x14ac:dyDescent="0.25">
      <c r="B842" s="118"/>
      <c r="C842" s="231"/>
      <c r="G842" s="119"/>
    </row>
    <row r="843" spans="2:7" ht="13.2" x14ac:dyDescent="0.25">
      <c r="B843" s="118"/>
      <c r="C843" s="231"/>
      <c r="G843" s="119"/>
    </row>
    <row r="844" spans="2:7" ht="13.2" x14ac:dyDescent="0.25">
      <c r="B844" s="118"/>
      <c r="C844" s="231"/>
      <c r="G844" s="119"/>
    </row>
    <row r="845" spans="2:7" ht="13.2" x14ac:dyDescent="0.25">
      <c r="B845" s="118"/>
      <c r="C845" s="231"/>
      <c r="G845" s="119"/>
    </row>
    <row r="846" spans="2:7" ht="13.2" x14ac:dyDescent="0.25">
      <c r="B846" s="118"/>
      <c r="C846" s="231"/>
      <c r="G846" s="119"/>
    </row>
    <row r="847" spans="2:7" ht="13.2" x14ac:dyDescent="0.25">
      <c r="B847" s="118"/>
      <c r="C847" s="231"/>
      <c r="G847" s="119"/>
    </row>
    <row r="848" spans="2:7" ht="13.2" x14ac:dyDescent="0.25">
      <c r="B848" s="118"/>
      <c r="C848" s="231"/>
      <c r="G848" s="119"/>
    </row>
    <row r="849" spans="2:7" ht="13.2" x14ac:dyDescent="0.25">
      <c r="B849" s="118"/>
      <c r="C849" s="231"/>
      <c r="G849" s="119"/>
    </row>
    <row r="850" spans="2:7" ht="13.2" x14ac:dyDescent="0.25">
      <c r="B850" s="118"/>
      <c r="C850" s="231"/>
      <c r="G850" s="119"/>
    </row>
    <row r="851" spans="2:7" ht="13.2" x14ac:dyDescent="0.25">
      <c r="B851" s="118"/>
      <c r="C851" s="231"/>
      <c r="G851" s="119"/>
    </row>
    <row r="852" spans="2:7" ht="13.2" x14ac:dyDescent="0.25">
      <c r="B852" s="118"/>
      <c r="C852" s="231"/>
      <c r="G852" s="119"/>
    </row>
    <row r="853" spans="2:7" ht="13.2" x14ac:dyDescent="0.25">
      <c r="B853" s="118"/>
      <c r="C853" s="231"/>
      <c r="G853" s="119"/>
    </row>
    <row r="854" spans="2:7" ht="13.2" x14ac:dyDescent="0.25">
      <c r="B854" s="118"/>
      <c r="C854" s="231"/>
      <c r="G854" s="119"/>
    </row>
    <row r="855" spans="2:7" ht="13.2" x14ac:dyDescent="0.25">
      <c r="B855" s="118"/>
      <c r="C855" s="231"/>
      <c r="G855" s="119"/>
    </row>
    <row r="856" spans="2:7" ht="13.2" x14ac:dyDescent="0.25">
      <c r="B856" s="118"/>
      <c r="C856" s="231"/>
      <c r="G856" s="119"/>
    </row>
    <row r="857" spans="2:7" ht="13.2" x14ac:dyDescent="0.25">
      <c r="B857" s="118"/>
      <c r="C857" s="231"/>
      <c r="G857" s="119"/>
    </row>
    <row r="858" spans="2:7" ht="13.2" x14ac:dyDescent="0.25">
      <c r="B858" s="118"/>
      <c r="C858" s="231"/>
      <c r="G858" s="119"/>
    </row>
    <row r="859" spans="2:7" ht="13.2" x14ac:dyDescent="0.25">
      <c r="B859" s="118"/>
      <c r="C859" s="231"/>
      <c r="G859" s="119"/>
    </row>
    <row r="860" spans="2:7" ht="13.2" x14ac:dyDescent="0.25">
      <c r="B860" s="118"/>
      <c r="C860" s="231"/>
      <c r="G860" s="119"/>
    </row>
    <row r="861" spans="2:7" ht="13.2" x14ac:dyDescent="0.25">
      <c r="B861" s="118"/>
      <c r="C861" s="231"/>
      <c r="G861" s="119"/>
    </row>
    <row r="862" spans="2:7" ht="13.2" x14ac:dyDescent="0.25">
      <c r="B862" s="118"/>
      <c r="C862" s="231"/>
      <c r="G862" s="119"/>
    </row>
    <row r="863" spans="2:7" ht="13.2" x14ac:dyDescent="0.25">
      <c r="B863" s="118"/>
      <c r="C863" s="231"/>
      <c r="G863" s="119"/>
    </row>
    <row r="864" spans="2:7" ht="13.2" x14ac:dyDescent="0.25">
      <c r="B864" s="118"/>
      <c r="C864" s="231"/>
      <c r="G864" s="119"/>
    </row>
    <row r="865" spans="2:7" ht="13.2" x14ac:dyDescent="0.25">
      <c r="B865" s="118"/>
      <c r="C865" s="231"/>
      <c r="G865" s="119"/>
    </row>
    <row r="866" spans="2:7" ht="13.2" x14ac:dyDescent="0.25">
      <c r="B866" s="118"/>
      <c r="C866" s="231"/>
      <c r="G866" s="119"/>
    </row>
    <row r="867" spans="2:7" ht="13.2" x14ac:dyDescent="0.25">
      <c r="B867" s="118"/>
      <c r="C867" s="231"/>
      <c r="G867" s="119"/>
    </row>
    <row r="868" spans="2:7" ht="13.2" x14ac:dyDescent="0.25">
      <c r="B868" s="118"/>
      <c r="C868" s="231"/>
      <c r="G868" s="119"/>
    </row>
    <row r="869" spans="2:7" ht="13.2" x14ac:dyDescent="0.25">
      <c r="B869" s="118"/>
      <c r="C869" s="231"/>
      <c r="G869" s="119"/>
    </row>
    <row r="870" spans="2:7" ht="13.2" x14ac:dyDescent="0.25">
      <c r="B870" s="118"/>
      <c r="C870" s="231"/>
      <c r="G870" s="119"/>
    </row>
    <row r="871" spans="2:7" ht="13.2" x14ac:dyDescent="0.25">
      <c r="B871" s="118"/>
      <c r="C871" s="231"/>
      <c r="G871" s="119"/>
    </row>
    <row r="872" spans="2:7" ht="13.2" x14ac:dyDescent="0.25">
      <c r="B872" s="118"/>
      <c r="C872" s="231"/>
      <c r="G872" s="119"/>
    </row>
    <row r="873" spans="2:7" ht="13.2" x14ac:dyDescent="0.25">
      <c r="B873" s="118"/>
      <c r="C873" s="231"/>
      <c r="G873" s="119"/>
    </row>
    <row r="874" spans="2:7" ht="13.2" x14ac:dyDescent="0.25">
      <c r="B874" s="118"/>
      <c r="C874" s="231"/>
      <c r="G874" s="119"/>
    </row>
    <row r="875" spans="2:7" ht="13.2" x14ac:dyDescent="0.25">
      <c r="B875" s="118"/>
      <c r="C875" s="231"/>
      <c r="G875" s="119"/>
    </row>
    <row r="876" spans="2:7" ht="13.2" x14ac:dyDescent="0.25">
      <c r="B876" s="118"/>
      <c r="C876" s="231"/>
      <c r="G876" s="119"/>
    </row>
    <row r="877" spans="2:7" ht="13.2" x14ac:dyDescent="0.25">
      <c r="B877" s="118"/>
      <c r="C877" s="231"/>
      <c r="G877" s="119"/>
    </row>
    <row r="878" spans="2:7" ht="13.2" x14ac:dyDescent="0.25">
      <c r="B878" s="118"/>
      <c r="C878" s="231"/>
      <c r="G878" s="119"/>
    </row>
    <row r="879" spans="2:7" ht="13.2" x14ac:dyDescent="0.25">
      <c r="B879" s="118"/>
      <c r="C879" s="231"/>
      <c r="G879" s="119"/>
    </row>
    <row r="880" spans="2:7" ht="13.2" x14ac:dyDescent="0.25">
      <c r="B880" s="118"/>
      <c r="C880" s="231"/>
      <c r="G880" s="119"/>
    </row>
    <row r="881" spans="2:7" ht="13.2" x14ac:dyDescent="0.25">
      <c r="B881" s="118"/>
      <c r="C881" s="231"/>
      <c r="G881" s="119"/>
    </row>
    <row r="882" spans="2:7" ht="13.2" x14ac:dyDescent="0.25">
      <c r="B882" s="118"/>
      <c r="C882" s="231"/>
      <c r="G882" s="119"/>
    </row>
    <row r="883" spans="2:7" ht="13.2" x14ac:dyDescent="0.25">
      <c r="B883" s="118"/>
      <c r="C883" s="231"/>
      <c r="G883" s="119"/>
    </row>
    <row r="884" spans="2:7" ht="13.2" x14ac:dyDescent="0.25">
      <c r="B884" s="118"/>
      <c r="C884" s="231"/>
      <c r="G884" s="119"/>
    </row>
    <row r="885" spans="2:7" ht="13.2" x14ac:dyDescent="0.25">
      <c r="B885" s="118"/>
      <c r="C885" s="231"/>
      <c r="G885" s="119"/>
    </row>
    <row r="886" spans="2:7" ht="13.2" x14ac:dyDescent="0.25">
      <c r="B886" s="118"/>
      <c r="C886" s="231"/>
      <c r="G886" s="119"/>
    </row>
    <row r="887" spans="2:7" ht="13.2" x14ac:dyDescent="0.25">
      <c r="B887" s="118"/>
      <c r="C887" s="231"/>
      <c r="G887" s="119"/>
    </row>
    <row r="888" spans="2:7" ht="13.2" x14ac:dyDescent="0.25">
      <c r="B888" s="118"/>
      <c r="C888" s="231"/>
      <c r="G888" s="119"/>
    </row>
    <row r="889" spans="2:7" ht="13.2" x14ac:dyDescent="0.25">
      <c r="B889" s="118"/>
      <c r="C889" s="231"/>
      <c r="G889" s="119"/>
    </row>
    <row r="890" spans="2:7" ht="13.2" x14ac:dyDescent="0.25">
      <c r="B890" s="118"/>
      <c r="C890" s="231"/>
      <c r="G890" s="119"/>
    </row>
    <row r="891" spans="2:7" ht="13.2" x14ac:dyDescent="0.25">
      <c r="B891" s="118"/>
      <c r="C891" s="231"/>
      <c r="G891" s="119"/>
    </row>
    <row r="892" spans="2:7" ht="13.2" x14ac:dyDescent="0.25">
      <c r="B892" s="118"/>
      <c r="C892" s="231"/>
      <c r="G892" s="119"/>
    </row>
    <row r="893" spans="2:7" ht="13.2" x14ac:dyDescent="0.25">
      <c r="B893" s="118"/>
      <c r="C893" s="231"/>
      <c r="G893" s="119"/>
    </row>
    <row r="894" spans="2:7" ht="13.2" x14ac:dyDescent="0.25">
      <c r="B894" s="118"/>
      <c r="C894" s="231"/>
      <c r="G894" s="119"/>
    </row>
    <row r="895" spans="2:7" ht="13.2" x14ac:dyDescent="0.25">
      <c r="B895" s="118"/>
      <c r="C895" s="231"/>
      <c r="G895" s="119"/>
    </row>
    <row r="896" spans="2:7" ht="13.2" x14ac:dyDescent="0.25">
      <c r="B896" s="118"/>
      <c r="C896" s="231"/>
      <c r="G896" s="119"/>
    </row>
    <row r="897" spans="2:7" ht="13.2" x14ac:dyDescent="0.25">
      <c r="B897" s="118"/>
      <c r="C897" s="231"/>
      <c r="G897" s="119"/>
    </row>
    <row r="898" spans="2:7" ht="13.2" x14ac:dyDescent="0.25">
      <c r="B898" s="118"/>
      <c r="C898" s="231"/>
      <c r="G898" s="119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890"/>
  <sheetViews>
    <sheetView workbookViewId="0">
      <pane ySplit="2" topLeftCell="A7" activePane="bottomLeft" state="frozen"/>
      <selection pane="bottomLeft" activeCell="C23" sqref="C23"/>
    </sheetView>
  </sheetViews>
  <sheetFormatPr defaultColWidth="12.6640625" defaultRowHeight="15.75" customHeight="1" x14ac:dyDescent="0.25"/>
  <cols>
    <col min="1" max="1" width="2.21875" customWidth="1"/>
    <col min="2" max="2" width="40.77734375" customWidth="1"/>
    <col min="4" max="4" width="16.6640625" customWidth="1"/>
  </cols>
  <sheetData>
    <row r="1" spans="1:42" x14ac:dyDescent="0.25">
      <c r="A1" s="457" t="s">
        <v>144</v>
      </c>
      <c r="B1" s="442"/>
      <c r="C1" s="66"/>
      <c r="D1" s="66"/>
      <c r="E1" s="66"/>
      <c r="F1" s="65"/>
      <c r="G1" s="66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</row>
    <row r="2" spans="1:42" x14ac:dyDescent="0.25">
      <c r="A2" s="351"/>
      <c r="B2" s="352"/>
      <c r="C2" s="353" t="s">
        <v>108</v>
      </c>
      <c r="D2" s="353" t="s">
        <v>109</v>
      </c>
      <c r="E2" s="353" t="s">
        <v>110</v>
      </c>
      <c r="F2" s="354" t="s">
        <v>145</v>
      </c>
      <c r="G2" s="355" t="s">
        <v>20</v>
      </c>
      <c r="H2" s="355" t="s">
        <v>21</v>
      </c>
      <c r="I2" s="355" t="s">
        <v>22</v>
      </c>
      <c r="J2" s="355" t="s">
        <v>23</v>
      </c>
      <c r="K2" s="355" t="s">
        <v>24</v>
      </c>
      <c r="L2" s="355" t="s">
        <v>25</v>
      </c>
      <c r="M2" s="355" t="s">
        <v>26</v>
      </c>
      <c r="N2" s="355" t="s">
        <v>27</v>
      </c>
      <c r="O2" s="355" t="s">
        <v>28</v>
      </c>
      <c r="P2" s="355" t="s">
        <v>29</v>
      </c>
      <c r="Q2" s="355" t="s">
        <v>30</v>
      </c>
      <c r="R2" s="355" t="s">
        <v>31</v>
      </c>
      <c r="S2" s="355" t="s">
        <v>32</v>
      </c>
      <c r="T2" s="355" t="s">
        <v>33</v>
      </c>
      <c r="U2" s="355" t="s">
        <v>34</v>
      </c>
      <c r="V2" s="355" t="s">
        <v>35</v>
      </c>
      <c r="W2" s="355" t="s">
        <v>36</v>
      </c>
      <c r="X2" s="355" t="s">
        <v>37</v>
      </c>
      <c r="Y2" s="355" t="s">
        <v>38</v>
      </c>
      <c r="Z2" s="355" t="s">
        <v>39</v>
      </c>
      <c r="AA2" s="355" t="s">
        <v>40</v>
      </c>
      <c r="AB2" s="355" t="s">
        <v>41</v>
      </c>
      <c r="AC2" s="355" t="s">
        <v>42</v>
      </c>
      <c r="AD2" s="355" t="s">
        <v>43</v>
      </c>
      <c r="AE2" s="355" t="s">
        <v>44</v>
      </c>
      <c r="AF2" s="355" t="s">
        <v>45</v>
      </c>
      <c r="AG2" s="355" t="s">
        <v>46</v>
      </c>
      <c r="AH2" s="355" t="s">
        <v>47</v>
      </c>
      <c r="AI2" s="355" t="s">
        <v>48</v>
      </c>
      <c r="AJ2" s="355" t="s">
        <v>49</v>
      </c>
      <c r="AK2" s="355" t="s">
        <v>50</v>
      </c>
      <c r="AL2" s="356"/>
      <c r="AM2" s="314"/>
      <c r="AN2" s="314"/>
      <c r="AO2" s="314"/>
      <c r="AP2" s="314"/>
    </row>
    <row r="3" spans="1:42" x14ac:dyDescent="0.25">
      <c r="A3" s="71"/>
      <c r="B3" s="222" t="s">
        <v>269</v>
      </c>
      <c r="C3" s="73"/>
      <c r="D3" s="71"/>
      <c r="E3" s="122"/>
      <c r="F3" s="71"/>
      <c r="G3" s="126">
        <v>1</v>
      </c>
      <c r="H3" s="126">
        <v>2</v>
      </c>
      <c r="I3" s="126">
        <v>3</v>
      </c>
      <c r="J3" s="126">
        <v>4</v>
      </c>
      <c r="K3" s="126">
        <v>5</v>
      </c>
      <c r="L3" s="126">
        <v>6</v>
      </c>
      <c r="M3" s="126">
        <v>7</v>
      </c>
      <c r="N3" s="126">
        <v>8</v>
      </c>
      <c r="O3" s="126">
        <v>9</v>
      </c>
      <c r="P3" s="126">
        <v>10</v>
      </c>
      <c r="Q3" s="126">
        <v>11</v>
      </c>
      <c r="R3" s="126">
        <v>12</v>
      </c>
      <c r="S3" s="126">
        <v>13</v>
      </c>
      <c r="T3" s="126">
        <v>14</v>
      </c>
      <c r="U3" s="126">
        <v>15</v>
      </c>
      <c r="V3" s="126">
        <v>16</v>
      </c>
      <c r="W3" s="126">
        <v>17</v>
      </c>
      <c r="X3" s="126">
        <v>18</v>
      </c>
      <c r="Y3" s="126">
        <v>19</v>
      </c>
      <c r="Z3" s="126">
        <v>20</v>
      </c>
      <c r="AA3" s="126">
        <v>21</v>
      </c>
      <c r="AB3" s="126">
        <v>22</v>
      </c>
      <c r="AC3" s="126">
        <v>23</v>
      </c>
      <c r="AD3" s="126">
        <v>24</v>
      </c>
      <c r="AE3" s="126">
        <v>25</v>
      </c>
      <c r="AF3" s="126">
        <v>26</v>
      </c>
      <c r="AG3" s="126">
        <v>27</v>
      </c>
      <c r="AH3" s="126">
        <v>28</v>
      </c>
      <c r="AI3" s="126">
        <v>29</v>
      </c>
      <c r="AJ3" s="126">
        <v>30</v>
      </c>
      <c r="AK3" s="126">
        <v>31</v>
      </c>
      <c r="AL3" s="73"/>
      <c r="AM3" s="73"/>
      <c r="AN3" s="73"/>
      <c r="AO3" s="73"/>
      <c r="AP3" s="73"/>
    </row>
    <row r="4" spans="1:42" x14ac:dyDescent="0.25">
      <c r="A4" s="71"/>
      <c r="B4" s="222"/>
      <c r="C4" s="73"/>
      <c r="D4" s="71"/>
      <c r="E4" s="122"/>
      <c r="F4" s="71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</row>
    <row r="5" spans="1:42" x14ac:dyDescent="0.25">
      <c r="A5" s="317"/>
      <c r="B5" s="378" t="s">
        <v>260</v>
      </c>
      <c r="C5" s="237" t="s">
        <v>167</v>
      </c>
      <c r="D5" s="231"/>
      <c r="E5" s="241"/>
      <c r="F5" s="317"/>
      <c r="G5" s="379">
        <f>'P&amp;L'!G15</f>
        <v>-80368.537500000006</v>
      </c>
      <c r="H5" s="379">
        <f>'P&amp;L'!H15</f>
        <v>-93340.215583049736</v>
      </c>
      <c r="I5" s="379">
        <f>'P&amp;L'!I15</f>
        <v>-66433.969902434532</v>
      </c>
      <c r="J5" s="379">
        <f>'P&amp;L'!J15</f>
        <v>41883.068337804682</v>
      </c>
      <c r="K5" s="379">
        <f>'P&amp;L'!K15</f>
        <v>20685.669097144553</v>
      </c>
      <c r="L5" s="379">
        <f>'P&amp;L'!L15</f>
        <v>440.94439327419968</v>
      </c>
      <c r="M5" s="379">
        <f>'P&amp;L'!M15</f>
        <v>-42145.422584166095</v>
      </c>
      <c r="N5" s="379">
        <f>'P&amp;L'!N15</f>
        <v>-51016.409015016266</v>
      </c>
      <c r="O5" s="379">
        <f>'P&amp;L'!O15</f>
        <v>-104489.14414019295</v>
      </c>
      <c r="P5" s="379">
        <f>'P&amp;L'!P15</f>
        <v>-140778.61082281597</v>
      </c>
      <c r="Q5" s="379">
        <f>'P&amp;L'!Q15</f>
        <v>111255.31473379635</v>
      </c>
      <c r="R5" s="379">
        <f>'P&amp;L'!R15</f>
        <v>2332145.5349469269</v>
      </c>
      <c r="S5" s="379">
        <f>'P&amp;L'!S15</f>
        <v>4602224.6886719102</v>
      </c>
      <c r="T5" s="379">
        <f>'P&amp;L'!T15</f>
        <v>9446058.6121249218</v>
      </c>
      <c r="U5" s="379">
        <f>'P&amp;L'!U15</f>
        <v>7062928.3158840658</v>
      </c>
      <c r="V5" s="379">
        <f>'P&amp;L'!V15</f>
        <v>7375085.9637869913</v>
      </c>
      <c r="W5" s="379">
        <f>'P&amp;L'!W15</f>
        <v>7709388.8368910067</v>
      </c>
      <c r="X5" s="379">
        <f>'P&amp;L'!X15</f>
        <v>7014985.3836045731</v>
      </c>
      <c r="Y5" s="379">
        <f>'P&amp;L'!Y15</f>
        <v>7766741.537948871</v>
      </c>
      <c r="Z5" s="379">
        <f>'P&amp;L'!Z15</f>
        <v>8284537.525224518</v>
      </c>
      <c r="AA5" s="379">
        <f>'P&amp;L'!AA15</f>
        <v>8067563.5121481502</v>
      </c>
      <c r="AB5" s="379">
        <f>'P&amp;L'!AB15</f>
        <v>7991130.7765276562</v>
      </c>
      <c r="AC5" s="379">
        <f>'P&amp;L'!AC15</f>
        <v>8418781.8256519735</v>
      </c>
      <c r="AD5" s="379">
        <f>'P&amp;L'!AD15</f>
        <v>7721470.530318846</v>
      </c>
      <c r="AE5" s="379">
        <f>'P&amp;L'!AE15</f>
        <v>7436935.0175801292</v>
      </c>
      <c r="AF5" s="379">
        <f>'P&amp;L'!AF15</f>
        <v>7283178.3551410176</v>
      </c>
      <c r="AG5" s="379">
        <f>'P&amp;L'!AG15</f>
        <v>4500576.3452591579</v>
      </c>
      <c r="AH5" s="379">
        <f>'P&amp;L'!AH15</f>
        <v>4741439.628165856</v>
      </c>
      <c r="AI5" s="379">
        <f>'P&amp;L'!AI15</f>
        <v>1320853.6595096635</v>
      </c>
      <c r="AJ5" s="379">
        <f>'P&amp;L'!AJ15</f>
        <v>7784213.9181758352</v>
      </c>
      <c r="AK5" s="379">
        <f>'P&amp;L'!AK15</f>
        <v>6611014.0195774222</v>
      </c>
      <c r="AL5" s="317"/>
      <c r="AM5" s="317"/>
      <c r="AN5" s="317"/>
      <c r="AO5" s="317"/>
      <c r="AP5" s="317"/>
    </row>
    <row r="6" spans="1:42" x14ac:dyDescent="0.25">
      <c r="A6" s="317"/>
      <c r="B6" s="378" t="s">
        <v>153</v>
      </c>
      <c r="C6" s="237" t="s">
        <v>167</v>
      </c>
      <c r="D6" s="231"/>
      <c r="E6" s="241"/>
      <c r="F6" s="317"/>
      <c r="G6" s="380">
        <f>'P&amp;L'!G19</f>
        <v>0</v>
      </c>
      <c r="H6" s="380">
        <f>'P&amp;L'!H19</f>
        <v>0</v>
      </c>
      <c r="I6" s="380">
        <f>'P&amp;L'!I19</f>
        <v>0</v>
      </c>
      <c r="J6" s="380">
        <f>'P&amp;L'!J19</f>
        <v>8376.6136675609359</v>
      </c>
      <c r="K6" s="380">
        <f>'P&amp;L'!K19</f>
        <v>4137.133819428911</v>
      </c>
      <c r="L6" s="380">
        <f>'P&amp;L'!L19</f>
        <v>88.188878654839939</v>
      </c>
      <c r="M6" s="380">
        <f>'P&amp;L'!M19</f>
        <v>0</v>
      </c>
      <c r="N6" s="380">
        <f>'P&amp;L'!N19</f>
        <v>0</v>
      </c>
      <c r="O6" s="380">
        <f>'P&amp;L'!O19</f>
        <v>0</v>
      </c>
      <c r="P6" s="380">
        <f>'P&amp;L'!P19</f>
        <v>0</v>
      </c>
      <c r="Q6" s="380">
        <f>'P&amp;L'!Q19</f>
        <v>22251.06294675927</v>
      </c>
      <c r="R6" s="380">
        <f>'P&amp;L'!R19</f>
        <v>466429.10698938539</v>
      </c>
      <c r="S6" s="380">
        <f>'P&amp;L'!S19</f>
        <v>920444.93773438211</v>
      </c>
      <c r="T6" s="380">
        <f>'P&amp;L'!T19</f>
        <v>1889211.7224249844</v>
      </c>
      <c r="U6" s="380">
        <f>'P&amp;L'!U19</f>
        <v>1412585.6631768132</v>
      </c>
      <c r="V6" s="380">
        <f>'P&amp;L'!V19</f>
        <v>1475017.1927573984</v>
      </c>
      <c r="W6" s="380">
        <f>'P&amp;L'!W19</f>
        <v>1541877.7673782015</v>
      </c>
      <c r="X6" s="380">
        <f>'P&amp;L'!X19</f>
        <v>1402997.0767209148</v>
      </c>
      <c r="Y6" s="380">
        <f>'P&amp;L'!Y19</f>
        <v>1553348.3075897743</v>
      </c>
      <c r="Z6" s="380">
        <f>'P&amp;L'!Z19</f>
        <v>1656907.5050449036</v>
      </c>
      <c r="AA6" s="380">
        <f>'P&amp;L'!AA19</f>
        <v>1613512.7024296301</v>
      </c>
      <c r="AB6" s="380">
        <f>'P&amp;L'!AB19</f>
        <v>1598226.1553055313</v>
      </c>
      <c r="AC6" s="380">
        <f>'P&amp;L'!AC19</f>
        <v>1683756.3651303947</v>
      </c>
      <c r="AD6" s="380">
        <f>'P&amp;L'!AD19</f>
        <v>1544294.1060637692</v>
      </c>
      <c r="AE6" s="380">
        <f>'P&amp;L'!AE19</f>
        <v>1487387.0035160258</v>
      </c>
      <c r="AF6" s="380">
        <f>'P&amp;L'!AF19</f>
        <v>1456635.6710282036</v>
      </c>
      <c r="AG6" s="380">
        <f>'P&amp;L'!AG19</f>
        <v>900115.26905183168</v>
      </c>
      <c r="AH6" s="380">
        <f>'P&amp;L'!AH19</f>
        <v>948287.92563317122</v>
      </c>
      <c r="AI6" s="380">
        <f>'P&amp;L'!AI19</f>
        <v>264170.73190193268</v>
      </c>
      <c r="AJ6" s="380">
        <f>'P&amp;L'!AJ19</f>
        <v>1556842.7836351672</v>
      </c>
      <c r="AK6" s="380">
        <f>'P&amp;L'!AK19</f>
        <v>1322202.8039154846</v>
      </c>
      <c r="AL6" s="317"/>
      <c r="AM6" s="317"/>
      <c r="AN6" s="317"/>
      <c r="AO6" s="317"/>
      <c r="AP6" s="317"/>
    </row>
    <row r="7" spans="1:42" x14ac:dyDescent="0.25">
      <c r="A7" s="381"/>
      <c r="B7" s="382" t="s">
        <v>270</v>
      </c>
      <c r="C7" s="383" t="s">
        <v>167</v>
      </c>
      <c r="D7" s="384"/>
      <c r="E7" s="385"/>
      <c r="F7" s="386"/>
      <c r="G7" s="387">
        <f>'P&amp;L'!G20</f>
        <v>-80368.537500000006</v>
      </c>
      <c r="H7" s="387">
        <f>'P&amp;L'!H20</f>
        <v>-93340.215583049736</v>
      </c>
      <c r="I7" s="387">
        <f>'P&amp;L'!I20</f>
        <v>-66433.969902434532</v>
      </c>
      <c r="J7" s="387">
        <f>'P&amp;L'!J20</f>
        <v>33506.454670243744</v>
      </c>
      <c r="K7" s="387">
        <f>'P&amp;L'!K20</f>
        <v>16548.535277715644</v>
      </c>
      <c r="L7" s="387">
        <f>'P&amp;L'!L20</f>
        <v>352.75551461935976</v>
      </c>
      <c r="M7" s="387">
        <f>'P&amp;L'!M20</f>
        <v>-42145.422584166095</v>
      </c>
      <c r="N7" s="387">
        <f>'P&amp;L'!N20</f>
        <v>-51016.409015016266</v>
      </c>
      <c r="O7" s="387">
        <f>'P&amp;L'!O20</f>
        <v>-104489.14414019295</v>
      </c>
      <c r="P7" s="387">
        <f>'P&amp;L'!P20</f>
        <v>-140778.61082281597</v>
      </c>
      <c r="Q7" s="387">
        <f>'P&amp;L'!Q20</f>
        <v>89004.251787037079</v>
      </c>
      <c r="R7" s="387">
        <f>'P&amp;L'!R20</f>
        <v>1865716.4279575415</v>
      </c>
      <c r="S7" s="387">
        <f>'P&amp;L'!S20</f>
        <v>3681779.750937528</v>
      </c>
      <c r="T7" s="387">
        <f>'P&amp;L'!T20</f>
        <v>7556846.8896999378</v>
      </c>
      <c r="U7" s="387">
        <f>'P&amp;L'!U20</f>
        <v>5650342.6527072527</v>
      </c>
      <c r="V7" s="387">
        <f>'P&amp;L'!V20</f>
        <v>5900068.7710295934</v>
      </c>
      <c r="W7" s="387">
        <f>'P&amp;L'!W20</f>
        <v>6167511.069512805</v>
      </c>
      <c r="X7" s="387">
        <f>'P&amp;L'!X20</f>
        <v>5611988.3068836583</v>
      </c>
      <c r="Y7" s="387">
        <f>'P&amp;L'!Y20</f>
        <v>6213393.230359097</v>
      </c>
      <c r="Z7" s="387">
        <f>'P&amp;L'!Z20</f>
        <v>6627630.0201796144</v>
      </c>
      <c r="AA7" s="387">
        <f>'P&amp;L'!AA20</f>
        <v>6454050.8097185204</v>
      </c>
      <c r="AB7" s="387">
        <f>'P&amp;L'!AB20</f>
        <v>6392904.6212221254</v>
      </c>
      <c r="AC7" s="387">
        <f>'P&amp;L'!AC20</f>
        <v>6735025.4605215788</v>
      </c>
      <c r="AD7" s="387">
        <f>'P&amp;L'!AD20</f>
        <v>6177176.4242550768</v>
      </c>
      <c r="AE7" s="387">
        <f>'P&amp;L'!AE20</f>
        <v>5949548.0140641034</v>
      </c>
      <c r="AF7" s="387">
        <f>'P&amp;L'!AF20</f>
        <v>5826542.6841128143</v>
      </c>
      <c r="AG7" s="387">
        <f>'P&amp;L'!AG20</f>
        <v>3600461.0762073263</v>
      </c>
      <c r="AH7" s="387">
        <f>'P&amp;L'!AH20</f>
        <v>3793151.7025326849</v>
      </c>
      <c r="AI7" s="387">
        <f>'P&amp;L'!AI20</f>
        <v>1056682.9276077307</v>
      </c>
      <c r="AJ7" s="387">
        <f>'P&amp;L'!AJ20</f>
        <v>6227371.1345406678</v>
      </c>
      <c r="AK7" s="387">
        <f>'P&amp;L'!AK20</f>
        <v>5288811.2156619374</v>
      </c>
      <c r="AL7" s="381"/>
      <c r="AM7" s="381"/>
      <c r="AN7" s="381"/>
      <c r="AO7" s="381"/>
      <c r="AP7" s="381"/>
    </row>
    <row r="8" spans="1:42" x14ac:dyDescent="0.25">
      <c r="B8" s="118"/>
      <c r="C8" s="241"/>
      <c r="D8" s="231"/>
      <c r="E8" s="241"/>
      <c r="G8" s="119"/>
    </row>
    <row r="9" spans="1:42" x14ac:dyDescent="0.25">
      <c r="A9" s="317"/>
      <c r="B9" s="378" t="s">
        <v>271</v>
      </c>
      <c r="C9" s="237" t="s">
        <v>167</v>
      </c>
      <c r="D9" s="231"/>
      <c r="E9" s="241"/>
      <c r="F9" s="317"/>
      <c r="G9" s="388">
        <f>'P&amp;L'!G14</f>
        <v>0</v>
      </c>
      <c r="H9" s="388">
        <f>'P&amp;L'!H14</f>
        <v>1898.0104395544488</v>
      </c>
      <c r="I9" s="388">
        <f>'P&amp;L'!I14</f>
        <v>3842.6065372348498</v>
      </c>
      <c r="J9" s="388">
        <f>'P&amp;L'!J14</f>
        <v>13614.173669174243</v>
      </c>
      <c r="K9" s="388">
        <f>'P&amp;L'!K14</f>
        <v>15750.000000000004</v>
      </c>
      <c r="L9" s="388">
        <f>'P&amp;L'!L14</f>
        <v>17936.198653789546</v>
      </c>
      <c r="M9" s="388">
        <f>'P&amp;L'!M14</f>
        <v>20173.684320482967</v>
      </c>
      <c r="N9" s="388">
        <f>'P&amp;L'!N14</f>
        <v>22463.386554137509</v>
      </c>
      <c r="O9" s="388">
        <f>'P&amp;L'!O14</f>
        <v>24806.250000000015</v>
      </c>
      <c r="P9" s="388">
        <f>'P&amp;L'!P14</f>
        <v>27203.234624914156</v>
      </c>
      <c r="Q9" s="388">
        <f>'P&amp;L'!Q14</f>
        <v>39441.570214976266</v>
      </c>
      <c r="R9" s="388">
        <f>'P&amp;L'!R14</f>
        <v>22814.632234802211</v>
      </c>
      <c r="S9" s="388">
        <f>'P&amp;L'!S14</f>
        <v>329098.3171875003</v>
      </c>
      <c r="T9" s="388">
        <f>'P&amp;L'!T14</f>
        <v>797775.66022754519</v>
      </c>
      <c r="U9" s="388">
        <f>'P&amp;L'!U14</f>
        <v>807566.15015163936</v>
      </c>
      <c r="V9" s="388">
        <f>'P&amp;L'!V14</f>
        <v>923298.24664942641</v>
      </c>
      <c r="W9" s="388">
        <f>'P&amp;L'!W14</f>
        <v>931475.28812500136</v>
      </c>
      <c r="X9" s="388">
        <f>'P&amp;L'!X14</f>
        <v>939715.48095748585</v>
      </c>
      <c r="Y9" s="388">
        <f>'P&amp;L'!Y14</f>
        <v>948019.14363767381</v>
      </c>
      <c r="Z9" s="388">
        <f>'P&amp;L'!Z14</f>
        <v>987828.00801105017</v>
      </c>
      <c r="AA9" s="388">
        <f>'P&amp;L'!AA14</f>
        <v>996645.41541015799</v>
      </c>
      <c r="AB9" s="388">
        <f>'P&amp;L'!AB14</f>
        <v>1005531.9729262587</v>
      </c>
      <c r="AC9" s="388">
        <f>'P&amp;L'!AC14</f>
        <v>1034488.0498424629</v>
      </c>
      <c r="AD9" s="388">
        <f>'P&amp;L'!AD14</f>
        <v>1043514.0140911965</v>
      </c>
      <c r="AE9" s="388">
        <f>'P&amp;L'!AE14</f>
        <v>1052610.2321654316</v>
      </c>
      <c r="AF9" s="388">
        <f>'P&amp;L'!AF14</f>
        <v>1061777.0690279431</v>
      </c>
      <c r="AG9" s="388">
        <f>'P&amp;L'!AG14</f>
        <v>1074439.2790975613</v>
      </c>
      <c r="AH9" s="388">
        <f>'P&amp;L'!AH14</f>
        <v>1118454.6268595036</v>
      </c>
      <c r="AI9" s="388">
        <f>'P&amp;L'!AI14</f>
        <v>1128303.4405266969</v>
      </c>
      <c r="AJ9" s="388">
        <f>'P&amp;L'!AJ14</f>
        <v>1138230.0584050959</v>
      </c>
      <c r="AK9" s="388">
        <f>'P&amp;L'!AK14</f>
        <v>1148234.9068501925</v>
      </c>
      <c r="AL9" s="317"/>
      <c r="AM9" s="317"/>
      <c r="AN9" s="317"/>
      <c r="AO9" s="317"/>
      <c r="AP9" s="317"/>
    </row>
    <row r="10" spans="1:42" x14ac:dyDescent="0.25">
      <c r="A10" s="389"/>
      <c r="B10" s="390" t="s">
        <v>272</v>
      </c>
      <c r="C10" s="391"/>
      <c r="D10" s="392"/>
      <c r="E10" s="391"/>
      <c r="F10" s="389"/>
      <c r="G10" s="380">
        <f>'P&amp;L'!G10</f>
        <v>3000</v>
      </c>
      <c r="H10" s="380">
        <f>'P&amp;L'!H10</f>
        <v>3000</v>
      </c>
      <c r="I10" s="380">
        <f>'P&amp;L'!I10</f>
        <v>3000</v>
      </c>
      <c r="J10" s="380">
        <f>'P&amp;L'!J10</f>
        <v>5434.0461761277511</v>
      </c>
      <c r="K10" s="380">
        <f>'P&amp;L'!K10</f>
        <v>5832.1166785000005</v>
      </c>
      <c r="L10" s="380">
        <f>'P&amp;L'!L10</f>
        <v>6211.6003813816178</v>
      </c>
      <c r="M10" s="380">
        <f>'P&amp;L'!M10</f>
        <v>7179.2858779917015</v>
      </c>
      <c r="N10" s="380">
        <f>'P&amp;L'!N10</f>
        <v>7335.1446133197887</v>
      </c>
      <c r="O10" s="380">
        <f>'P&amp;L'!O10</f>
        <v>8365.6432762937511</v>
      </c>
      <c r="P10" s="380">
        <f>'P&amp;L'!P10</f>
        <v>17882.839846496674</v>
      </c>
      <c r="Q10" s="380">
        <f>'P&amp;L'!Q10</f>
        <v>69095.265701783588</v>
      </c>
      <c r="R10" s="380">
        <f>'P&amp;L'!R10</f>
        <v>89331.567938178778</v>
      </c>
      <c r="S10" s="380">
        <f>'P&amp;L'!S10</f>
        <v>160498.29593766673</v>
      </c>
      <c r="T10" s="380">
        <f>'P&amp;L'!T10</f>
        <v>64649.556695010346</v>
      </c>
      <c r="U10" s="380">
        <f>'P&amp;L'!U10</f>
        <v>94860.674212245751</v>
      </c>
      <c r="V10" s="380">
        <f>'P&amp;L'!V10</f>
        <v>688654.97582558054</v>
      </c>
      <c r="W10" s="380">
        <f>'P&amp;L'!W10</f>
        <v>71756.42038372453</v>
      </c>
      <c r="X10" s="380">
        <f>'P&amp;L'!X10</f>
        <v>693898.54331609816</v>
      </c>
      <c r="Y10" s="380">
        <f>'P&amp;L'!Y10</f>
        <v>81853.069092693593</v>
      </c>
      <c r="Z10" s="380">
        <f>'P&amp;L'!Z10</f>
        <v>69509.063846383913</v>
      </c>
      <c r="AA10" s="380">
        <f>'P&amp;L'!AA10</f>
        <v>69610.44108790801</v>
      </c>
      <c r="AB10" s="380">
        <f>'P&amp;L'!AB10</f>
        <v>69911.171540605123</v>
      </c>
      <c r="AC10" s="380">
        <f>'P&amp;L'!AC10</f>
        <v>70229.478672590049</v>
      </c>
      <c r="AD10" s="380">
        <f>'P&amp;L'!AD10</f>
        <v>82662.440011184532</v>
      </c>
      <c r="AE10" s="380">
        <f>'P&amp;L'!AE10</f>
        <v>87008.329547307585</v>
      </c>
      <c r="AF10" s="380">
        <f>'P&amp;L'!AF10</f>
        <v>88796.464068290981</v>
      </c>
      <c r="AG10" s="380">
        <f>'P&amp;L'!AG10</f>
        <v>160502.76612940838</v>
      </c>
      <c r="AH10" s="380">
        <f>'P&amp;L'!AH10</f>
        <v>154468.88508493916</v>
      </c>
      <c r="AI10" s="380">
        <f>'P&amp;L'!AI10</f>
        <v>220235.07530473001</v>
      </c>
      <c r="AJ10" s="380">
        <f>'P&amp;L'!AJ10</f>
        <v>92205.31017866102</v>
      </c>
      <c r="AK10" s="380">
        <f>'P&amp;L'!AK10</f>
        <v>125058.67104893492</v>
      </c>
      <c r="AL10" s="389"/>
      <c r="AM10" s="389"/>
      <c r="AN10" s="389"/>
      <c r="AO10" s="389"/>
      <c r="AP10" s="389"/>
    </row>
    <row r="11" spans="1:42" x14ac:dyDescent="0.25">
      <c r="A11" s="393"/>
      <c r="B11" s="382" t="s">
        <v>273</v>
      </c>
      <c r="C11" s="383" t="s">
        <v>167</v>
      </c>
      <c r="D11" s="384"/>
      <c r="E11" s="385"/>
      <c r="F11" s="386"/>
      <c r="G11" s="387">
        <f t="shared" ref="G11:AK11" si="0">G7+G9-G10</f>
        <v>-83368.537500000006</v>
      </c>
      <c r="H11" s="387">
        <f t="shared" si="0"/>
        <v>-94442.205143495288</v>
      </c>
      <c r="I11" s="387">
        <f t="shared" si="0"/>
        <v>-65591.363365199679</v>
      </c>
      <c r="J11" s="387">
        <f t="shared" si="0"/>
        <v>41686.582163290237</v>
      </c>
      <c r="K11" s="387">
        <f t="shared" si="0"/>
        <v>26466.418599215649</v>
      </c>
      <c r="L11" s="387">
        <f t="shared" si="0"/>
        <v>12077.353787027288</v>
      </c>
      <c r="M11" s="387">
        <f t="shared" si="0"/>
        <v>-29151.024141674829</v>
      </c>
      <c r="N11" s="387">
        <f t="shared" si="0"/>
        <v>-35888.167074198544</v>
      </c>
      <c r="O11" s="387">
        <f t="shared" si="0"/>
        <v>-88048.537416486681</v>
      </c>
      <c r="P11" s="387">
        <f t="shared" si="0"/>
        <v>-131458.21604439849</v>
      </c>
      <c r="Q11" s="387">
        <f t="shared" si="0"/>
        <v>59350.556300229757</v>
      </c>
      <c r="R11" s="387">
        <f t="shared" si="0"/>
        <v>1799199.492254165</v>
      </c>
      <c r="S11" s="387">
        <f t="shared" si="0"/>
        <v>3850379.7721873615</v>
      </c>
      <c r="T11" s="387">
        <f t="shared" si="0"/>
        <v>8289972.9932324728</v>
      </c>
      <c r="U11" s="387">
        <f t="shared" si="0"/>
        <v>6363048.1286466457</v>
      </c>
      <c r="V11" s="387">
        <f t="shared" si="0"/>
        <v>6134712.0418534391</v>
      </c>
      <c r="W11" s="387">
        <f t="shared" si="0"/>
        <v>7027229.9372540815</v>
      </c>
      <c r="X11" s="387">
        <f t="shared" si="0"/>
        <v>5857805.2445250461</v>
      </c>
      <c r="Y11" s="387">
        <f t="shared" si="0"/>
        <v>7079559.3049040772</v>
      </c>
      <c r="Z11" s="387">
        <f t="shared" si="0"/>
        <v>7545948.9643442808</v>
      </c>
      <c r="AA11" s="387">
        <f t="shared" si="0"/>
        <v>7381085.7840407705</v>
      </c>
      <c r="AB11" s="387">
        <f t="shared" si="0"/>
        <v>7328525.4226077795</v>
      </c>
      <c r="AC11" s="387">
        <f t="shared" si="0"/>
        <v>7699284.0316914516</v>
      </c>
      <c r="AD11" s="387">
        <f t="shared" si="0"/>
        <v>7138027.9983350886</v>
      </c>
      <c r="AE11" s="387">
        <f t="shared" si="0"/>
        <v>6915149.9166822275</v>
      </c>
      <c r="AF11" s="387">
        <f t="shared" si="0"/>
        <v>6799523.2890724661</v>
      </c>
      <c r="AG11" s="387">
        <f t="shared" si="0"/>
        <v>4514397.5891754795</v>
      </c>
      <c r="AH11" s="387">
        <f t="shared" si="0"/>
        <v>4757137.444307249</v>
      </c>
      <c r="AI11" s="387">
        <f t="shared" si="0"/>
        <v>1964751.2928296977</v>
      </c>
      <c r="AJ11" s="387">
        <f t="shared" si="0"/>
        <v>7273395.8827671027</v>
      </c>
      <c r="AK11" s="387">
        <f t="shared" si="0"/>
        <v>6311987.4514631955</v>
      </c>
      <c r="AL11" s="342"/>
      <c r="AM11" s="342"/>
      <c r="AN11" s="342"/>
      <c r="AO11" s="342"/>
      <c r="AP11" s="342"/>
    </row>
    <row r="12" spans="1:42" x14ac:dyDescent="0.25">
      <c r="A12" s="328"/>
      <c r="B12" s="329" t="s">
        <v>274</v>
      </c>
      <c r="C12" s="330" t="s">
        <v>128</v>
      </c>
      <c r="D12" s="331"/>
      <c r="E12" s="331"/>
      <c r="F12" s="331"/>
      <c r="G12" s="331" t="str">
        <f>IFERROR(G11/'P&amp;L'!G5, "n/a")</f>
        <v>n/a</v>
      </c>
      <c r="H12" s="331" t="str">
        <f>IFERROR(H11/'P&amp;L'!H5, "n/a")</f>
        <v>n/a</v>
      </c>
      <c r="I12" s="331">
        <f>IFERROR(I11/'P&amp;L'!I5, "n/a")</f>
        <v>-0.38601320247881166</v>
      </c>
      <c r="J12" s="331">
        <f>IFERROR(J11/'P&amp;L'!J5, "n/a")</f>
        <v>0.2466378203426195</v>
      </c>
      <c r="K12" s="331">
        <f>IFERROR(K11/'P&amp;L'!K5, "n/a")</f>
        <v>0.15742236960125464</v>
      </c>
      <c r="L12" s="331">
        <f>IFERROR(L11/'P&amp;L'!L5, "n/a")</f>
        <v>7.2218911852074782E-2</v>
      </c>
      <c r="M12" s="331">
        <f>IFERROR(M11/'P&amp;L'!M5, "n/a")</f>
        <v>-0.16753639585545438</v>
      </c>
      <c r="N12" s="331">
        <f>IFERROR(N11/'P&amp;L'!N5, "n/a")</f>
        <v>-0.20735500051691794</v>
      </c>
      <c r="O12" s="331">
        <f>IFERROR(O11/'P&amp;L'!O5, "n/a")</f>
        <v>-0.51143832036878334</v>
      </c>
      <c r="P12" s="331">
        <f>IFERROR(P11/'P&amp;L'!P5, "n/a")</f>
        <v>-0.76765615620130501</v>
      </c>
      <c r="Q12" s="331">
        <f>IFERROR(Q11/'P&amp;L'!Q5, "n/a")</f>
        <v>1.9554639110703771E-2</v>
      </c>
      <c r="R12" s="331">
        <f>IFERROR(R11/'P&amp;L'!R5, "n/a")</f>
        <v>0.29797664037959487</v>
      </c>
      <c r="S12" s="331">
        <f>IFERROR(S11/'P&amp;L'!S5, "n/a")</f>
        <v>0.3230147035855091</v>
      </c>
      <c r="T12" s="331">
        <f>IFERROR(T11/'P&amp;L'!T5, "n/a")</f>
        <v>0.69916507195529609</v>
      </c>
      <c r="U12" s="331">
        <f>IFERROR(U11/'P&amp;L'!U5, "n/a")</f>
        <v>0.57874503387891207</v>
      </c>
      <c r="V12" s="331">
        <f>IFERROR(V11/'P&amp;L'!V5, "n/a")</f>
        <v>0.5609499778500926</v>
      </c>
      <c r="W12" s="331">
        <f>IFERROR(W11/'P&amp;L'!W5, "n/a")</f>
        <v>0.64598435671122711</v>
      </c>
      <c r="X12" s="331">
        <f>IFERROR(X11/'P&amp;L'!X5, "n/a")</f>
        <v>0.541353126361102</v>
      </c>
      <c r="Y12" s="331">
        <f>IFERROR(Y11/'P&amp;L'!Y5, "n/a")</f>
        <v>0.60765567009072829</v>
      </c>
      <c r="Z12" s="331">
        <f>IFERROR(Z11/'P&amp;L'!Z5, "n/a")</f>
        <v>0.65113805504385491</v>
      </c>
      <c r="AA12" s="331">
        <f>IFERROR(AA11/'P&amp;L'!AA5, "n/a")</f>
        <v>0.64030567495179613</v>
      </c>
      <c r="AB12" s="331">
        <f>IFERROR(AB11/'P&amp;L'!AB5, "n/a")</f>
        <v>0.63913349874040604</v>
      </c>
      <c r="AC12" s="331">
        <f>IFERROR(AC11/'P&amp;L'!AC5, "n/a")</f>
        <v>0.64535922524695011</v>
      </c>
      <c r="AD12" s="331">
        <f>IFERROR(AD11/'P&amp;L'!AD5, "n/a")</f>
        <v>0.60150232745826882</v>
      </c>
      <c r="AE12" s="331">
        <f>IFERROR(AE11/'P&amp;L'!AE5, "n/a")</f>
        <v>0.58582587336250902</v>
      </c>
      <c r="AF12" s="331">
        <f>IFERROR(AF11/'P&amp;L'!AF5, "n/a")</f>
        <v>0.57909964441605111</v>
      </c>
      <c r="AG12" s="331">
        <f>IFERROR(AG11/'P&amp;L'!AG5, "n/a")</f>
        <v>0.35783220507339014</v>
      </c>
      <c r="AH12" s="331">
        <f>IFERROR(AH11/'P&amp;L'!AH5, "n/a")</f>
        <v>0.37908203426671794</v>
      </c>
      <c r="AI12" s="331">
        <f>IFERROR(AI11/'P&amp;L'!AI5, "n/a")</f>
        <v>0.15739936291756776</v>
      </c>
      <c r="AJ12" s="331">
        <f>IFERROR(AJ11/'P&amp;L'!AJ5, "n/a")</f>
        <v>0.58578803553382497</v>
      </c>
      <c r="AK12" s="331">
        <f>IFERROR(AK11/'P&amp;L'!AK5, "n/a")</f>
        <v>0.48859115074362053</v>
      </c>
      <c r="AL12" s="331"/>
      <c r="AM12" s="331"/>
      <c r="AN12" s="331"/>
      <c r="AO12" s="331"/>
      <c r="AP12" s="331"/>
    </row>
    <row r="13" spans="1:42" x14ac:dyDescent="0.25">
      <c r="B13" s="118"/>
      <c r="C13" s="241"/>
      <c r="D13" s="231"/>
      <c r="E13" s="241"/>
      <c r="G13" s="119"/>
      <c r="AE13" s="342"/>
      <c r="AF13" s="342"/>
      <c r="AG13" s="342"/>
      <c r="AH13" s="342"/>
      <c r="AI13" s="342"/>
      <c r="AJ13" s="342"/>
      <c r="AK13" s="342"/>
      <c r="AL13" s="342"/>
      <c r="AM13" s="342"/>
      <c r="AN13" s="342"/>
      <c r="AO13" s="342"/>
      <c r="AP13" s="342"/>
    </row>
    <row r="14" spans="1:42" x14ac:dyDescent="0.25">
      <c r="A14" s="381"/>
      <c r="B14" s="394" t="s">
        <v>275</v>
      </c>
      <c r="C14" s="395" t="s">
        <v>128</v>
      </c>
      <c r="D14" s="112" t="s">
        <v>276</v>
      </c>
      <c r="E14" s="395" t="s">
        <v>277</v>
      </c>
      <c r="F14" s="396">
        <v>5.5E-2</v>
      </c>
      <c r="G14" s="297"/>
      <c r="H14" s="381"/>
      <c r="I14" s="381"/>
      <c r="J14" s="381"/>
      <c r="K14" s="381"/>
      <c r="L14" s="381"/>
      <c r="M14" s="381"/>
      <c r="N14" s="381"/>
      <c r="O14" s="381"/>
      <c r="P14" s="381"/>
      <c r="Q14" s="381"/>
      <c r="R14" s="381"/>
      <c r="S14" s="381"/>
      <c r="T14" s="381"/>
      <c r="U14" s="381"/>
      <c r="V14" s="381"/>
      <c r="W14" s="381"/>
      <c r="X14" s="381"/>
      <c r="Y14" s="381"/>
      <c r="Z14" s="381"/>
      <c r="AA14" s="381"/>
      <c r="AB14" s="381"/>
      <c r="AC14" s="381"/>
      <c r="AD14" s="381"/>
      <c r="AE14" s="342"/>
      <c r="AF14" s="342"/>
      <c r="AG14" s="342"/>
      <c r="AH14" s="342"/>
      <c r="AI14" s="342"/>
      <c r="AJ14" s="342"/>
      <c r="AK14" s="342"/>
      <c r="AL14" s="342"/>
      <c r="AM14" s="342"/>
      <c r="AN14" s="342"/>
      <c r="AO14" s="342"/>
      <c r="AP14" s="342"/>
    </row>
    <row r="15" spans="1:42" x14ac:dyDescent="0.25">
      <c r="A15" s="317"/>
      <c r="B15" s="378" t="s">
        <v>278</v>
      </c>
      <c r="C15" s="237" t="s">
        <v>128</v>
      </c>
      <c r="D15" s="231"/>
      <c r="E15" s="397">
        <f>(1+F14)^(1/4)-1</f>
        <v>1.3475174441242466E-2</v>
      </c>
      <c r="F15" s="398">
        <v>1.35E-2</v>
      </c>
      <c r="G15" s="364"/>
      <c r="H15" s="317"/>
      <c r="I15" s="317"/>
      <c r="J15" s="317"/>
      <c r="K15" s="317"/>
      <c r="L15" s="317"/>
      <c r="M15" s="317"/>
      <c r="N15" s="317"/>
      <c r="O15" s="317"/>
      <c r="P15" s="317"/>
      <c r="Q15" s="317"/>
      <c r="R15" s="317"/>
      <c r="S15" s="317"/>
      <c r="T15" s="317"/>
      <c r="U15" s="317"/>
      <c r="V15" s="317"/>
      <c r="W15" s="317"/>
      <c r="X15" s="317"/>
      <c r="Y15" s="317"/>
      <c r="Z15" s="317"/>
      <c r="AA15" s="317"/>
      <c r="AB15" s="317"/>
      <c r="AC15" s="317"/>
      <c r="AD15" s="317"/>
      <c r="AE15" s="389"/>
      <c r="AF15" s="389"/>
      <c r="AG15" s="389"/>
      <c r="AH15" s="389"/>
      <c r="AI15" s="389"/>
      <c r="AJ15" s="389"/>
      <c r="AK15" s="389"/>
      <c r="AL15" s="389"/>
      <c r="AM15" s="389"/>
      <c r="AN15" s="389"/>
      <c r="AO15" s="389"/>
      <c r="AP15" s="389"/>
    </row>
    <row r="16" spans="1:42" x14ac:dyDescent="0.25">
      <c r="A16" s="317"/>
      <c r="B16" s="378" t="s">
        <v>279</v>
      </c>
      <c r="C16" s="237" t="s">
        <v>151</v>
      </c>
      <c r="D16" s="231"/>
      <c r="E16" s="241"/>
      <c r="F16" s="317"/>
      <c r="G16" s="399">
        <f t="shared" ref="G16:AK16" si="1">1/(1+$F$15)^G3</f>
        <v>0.98667982239763186</v>
      </c>
      <c r="H16" s="399">
        <f t="shared" si="1"/>
        <v>0.97353707192662253</v>
      </c>
      <c r="I16" s="399">
        <f t="shared" si="1"/>
        <v>0.96056938522607038</v>
      </c>
      <c r="J16" s="399">
        <f t="shared" si="1"/>
        <v>0.94777443041546172</v>
      </c>
      <c r="K16" s="399">
        <f t="shared" si="1"/>
        <v>0.93514990667534448</v>
      </c>
      <c r="L16" s="399">
        <f t="shared" si="1"/>
        <v>0.92269354383359103</v>
      </c>
      <c r="M16" s="399">
        <f t="shared" si="1"/>
        <v>0.91040310195716923</v>
      </c>
      <c r="N16" s="399">
        <f t="shared" si="1"/>
        <v>0.89827637094935298</v>
      </c>
      <c r="O16" s="399">
        <f t="shared" si="1"/>
        <v>0.88631117015229688</v>
      </c>
      <c r="P16" s="399">
        <f t="shared" si="1"/>
        <v>0.87450534795490553</v>
      </c>
      <c r="Q16" s="399">
        <f t="shared" si="1"/>
        <v>0.86285678140592559</v>
      </c>
      <c r="R16" s="399">
        <f t="shared" si="1"/>
        <v>0.85136337583219102</v>
      </c>
      <c r="S16" s="399">
        <f t="shared" si="1"/>
        <v>0.84002306446195452</v>
      </c>
      <c r="T16" s="399">
        <f t="shared" si="1"/>
        <v>0.82883380805323592</v>
      </c>
      <c r="U16" s="399">
        <f t="shared" si="1"/>
        <v>0.81779359452711964</v>
      </c>
      <c r="V16" s="399">
        <f t="shared" si="1"/>
        <v>0.80690043860593952</v>
      </c>
      <c r="W16" s="399">
        <f t="shared" si="1"/>
        <v>0.79615238145627965</v>
      </c>
      <c r="X16" s="399">
        <f t="shared" si="1"/>
        <v>0.78554749033673377</v>
      </c>
      <c r="Y16" s="399">
        <f t="shared" si="1"/>
        <v>0.77508385825035397</v>
      </c>
      <c r="Z16" s="399">
        <f t="shared" si="1"/>
        <v>0.76475960360173056</v>
      </c>
      <c r="AA16" s="399">
        <f t="shared" si="1"/>
        <v>0.75457286985863881</v>
      </c>
      <c r="AB16" s="399">
        <f t="shared" si="1"/>
        <v>0.74452182521819321</v>
      </c>
      <c r="AC16" s="399">
        <f t="shared" si="1"/>
        <v>0.73460466227744758</v>
      </c>
      <c r="AD16" s="399">
        <f t="shared" si="1"/>
        <v>0.72481959770838444</v>
      </c>
      <c r="AE16" s="399">
        <f t="shared" si="1"/>
        <v>0.71516487193723177</v>
      </c>
      <c r="AF16" s="399">
        <f t="shared" si="1"/>
        <v>0.705638748828053</v>
      </c>
      <c r="AG16" s="399">
        <f t="shared" si="1"/>
        <v>0.69623951537055062</v>
      </c>
      <c r="AH16" s="399">
        <f t="shared" si="1"/>
        <v>0.68696548137202829</v>
      </c>
      <c r="AI16" s="399">
        <f t="shared" si="1"/>
        <v>0.67781497915345656</v>
      </c>
      <c r="AJ16" s="399">
        <f t="shared" si="1"/>
        <v>0.66878636324958707</v>
      </c>
      <c r="AK16" s="399">
        <f t="shared" si="1"/>
        <v>0.65987801011306069</v>
      </c>
      <c r="AL16" s="389"/>
      <c r="AM16" s="389"/>
      <c r="AN16" s="389"/>
      <c r="AO16" s="389"/>
      <c r="AP16" s="389"/>
    </row>
    <row r="17" spans="1:42" x14ac:dyDescent="0.25">
      <c r="A17" s="393"/>
      <c r="B17" s="400" t="s">
        <v>16</v>
      </c>
      <c r="C17" s="401" t="s">
        <v>280</v>
      </c>
      <c r="D17" s="402"/>
      <c r="E17" s="403"/>
      <c r="F17" s="404"/>
      <c r="G17" s="405">
        <f t="shared" ref="G17:AK17" si="2">G11*G16</f>
        <v>-82258.05377405032</v>
      </c>
      <c r="H17" s="405">
        <f t="shared" si="2"/>
        <v>-91942.987861691814</v>
      </c>
      <c r="I17" s="405">
        <f t="shared" si="2"/>
        <v>-63005.055583849651</v>
      </c>
      <c r="J17" s="405">
        <f t="shared" si="2"/>
        <v>39509.476665779752</v>
      </c>
      <c r="K17" s="405">
        <f t="shared" si="2"/>
        <v>24750.068883087115</v>
      </c>
      <c r="L17" s="405">
        <f t="shared" si="2"/>
        <v>11143.696365884251</v>
      </c>
      <c r="M17" s="405">
        <f t="shared" si="2"/>
        <v>-26539.18280380909</v>
      </c>
      <c r="N17" s="405">
        <f t="shared" si="2"/>
        <v>-32237.492479435128</v>
      </c>
      <c r="O17" s="405">
        <f t="shared" si="2"/>
        <v>-78038.402227804603</v>
      </c>
      <c r="P17" s="405">
        <f t="shared" si="2"/>
        <v>-114960.91296343785</v>
      </c>
      <c r="Q17" s="405">
        <f t="shared" si="2"/>
        <v>51211.029983867425</v>
      </c>
      <c r="R17" s="405">
        <f t="shared" si="2"/>
        <v>1531772.5535210699</v>
      </c>
      <c r="S17" s="405">
        <f t="shared" si="2"/>
        <v>3234407.8155751498</v>
      </c>
      <c r="T17" s="405">
        <f t="shared" si="2"/>
        <v>6871009.8846393526</v>
      </c>
      <c r="U17" s="405">
        <f t="shared" si="2"/>
        <v>5203660.001275002</v>
      </c>
      <c r="V17" s="405">
        <f t="shared" si="2"/>
        <v>4950101.8372926787</v>
      </c>
      <c r="W17" s="405">
        <f t="shared" si="2"/>
        <v>5594745.8495856998</v>
      </c>
      <c r="X17" s="405">
        <f t="shared" si="2"/>
        <v>4601584.2087180074</v>
      </c>
      <c r="Y17" s="405">
        <f t="shared" si="2"/>
        <v>5487252.1407572459</v>
      </c>
      <c r="Z17" s="405">
        <f t="shared" si="2"/>
        <v>5770836.9387708213</v>
      </c>
      <c r="AA17" s="405">
        <f t="shared" si="2"/>
        <v>5569567.0827364456</v>
      </c>
      <c r="AB17" s="405">
        <f t="shared" si="2"/>
        <v>5456247.1237978749</v>
      </c>
      <c r="AC17" s="405">
        <f t="shared" si="2"/>
        <v>5655929.9458788438</v>
      </c>
      <c r="AD17" s="405">
        <f t="shared" si="2"/>
        <v>5173782.5821844237</v>
      </c>
      <c r="AE17" s="405">
        <f t="shared" si="2"/>
        <v>4945472.3045908045</v>
      </c>
      <c r="AF17" s="405">
        <f t="shared" si="2"/>
        <v>4798007.106328303</v>
      </c>
      <c r="AG17" s="405">
        <f t="shared" si="2"/>
        <v>3143101.9896775181</v>
      </c>
      <c r="AH17" s="405">
        <f t="shared" si="2"/>
        <v>3267989.2143814298</v>
      </c>
      <c r="AI17" s="405">
        <f t="shared" si="2"/>
        <v>1331737.8565910885</v>
      </c>
      <c r="AJ17" s="405">
        <f t="shared" si="2"/>
        <v>4864347.9809103301</v>
      </c>
      <c r="AK17" s="405">
        <f t="shared" si="2"/>
        <v>4165141.7193301427</v>
      </c>
      <c r="AL17" s="342"/>
      <c r="AM17" s="342"/>
      <c r="AN17" s="342"/>
      <c r="AO17" s="342"/>
      <c r="AP17" s="342"/>
    </row>
    <row r="18" spans="1:42" x14ac:dyDescent="0.25">
      <c r="A18" s="406"/>
      <c r="B18" s="407" t="s">
        <v>281</v>
      </c>
      <c r="C18" s="339" t="s">
        <v>167</v>
      </c>
      <c r="D18" s="408"/>
      <c r="E18" s="409"/>
      <c r="F18" s="406"/>
      <c r="G18" s="410">
        <f t="shared" ref="G18:AK18" si="3">SUM($G$17:G17)</f>
        <v>-82258.05377405032</v>
      </c>
      <c r="H18" s="410">
        <f t="shared" si="3"/>
        <v>-174201.04163574212</v>
      </c>
      <c r="I18" s="410">
        <f t="shared" si="3"/>
        <v>-237206.09721959179</v>
      </c>
      <c r="J18" s="410">
        <f t="shared" si="3"/>
        <v>-197696.62055381204</v>
      </c>
      <c r="K18" s="410">
        <f t="shared" si="3"/>
        <v>-172946.55167072493</v>
      </c>
      <c r="L18" s="410">
        <f t="shared" si="3"/>
        <v>-161802.85530484069</v>
      </c>
      <c r="M18" s="410">
        <f t="shared" si="3"/>
        <v>-188342.03810864978</v>
      </c>
      <c r="N18" s="410">
        <f t="shared" si="3"/>
        <v>-220579.53058808492</v>
      </c>
      <c r="O18" s="410">
        <f t="shared" si="3"/>
        <v>-298617.93281588954</v>
      </c>
      <c r="P18" s="410">
        <f t="shared" si="3"/>
        <v>-413578.84577932738</v>
      </c>
      <c r="Q18" s="410">
        <f t="shared" si="3"/>
        <v>-362367.81579545996</v>
      </c>
      <c r="R18" s="410">
        <f t="shared" si="3"/>
        <v>1169404.7377256099</v>
      </c>
      <c r="S18" s="410">
        <f t="shared" si="3"/>
        <v>4403812.5533007598</v>
      </c>
      <c r="T18" s="410">
        <f t="shared" si="3"/>
        <v>11274822.437940113</v>
      </c>
      <c r="U18" s="410">
        <f t="shared" si="3"/>
        <v>16478482.439215116</v>
      </c>
      <c r="V18" s="410">
        <f t="shared" si="3"/>
        <v>21428584.276507795</v>
      </c>
      <c r="W18" s="410">
        <f t="shared" si="3"/>
        <v>27023330.126093496</v>
      </c>
      <c r="X18" s="410">
        <f t="shared" si="3"/>
        <v>31624914.334811501</v>
      </c>
      <c r="Y18" s="410">
        <f t="shared" si="3"/>
        <v>37112166.475568749</v>
      </c>
      <c r="Z18" s="410">
        <f t="shared" si="3"/>
        <v>42883003.414339572</v>
      </c>
      <c r="AA18" s="410">
        <f t="shared" si="3"/>
        <v>48452570.49707602</v>
      </c>
      <c r="AB18" s="410">
        <f t="shared" si="3"/>
        <v>53908817.620873898</v>
      </c>
      <c r="AC18" s="410">
        <f t="shared" si="3"/>
        <v>59564747.566752739</v>
      </c>
      <c r="AD18" s="410">
        <f t="shared" si="3"/>
        <v>64738530.148937166</v>
      </c>
      <c r="AE18" s="410">
        <f t="shared" si="3"/>
        <v>69684002.453527972</v>
      </c>
      <c r="AF18" s="410">
        <f t="shared" si="3"/>
        <v>74482009.559856281</v>
      </c>
      <c r="AG18" s="410">
        <f t="shared" si="3"/>
        <v>77625111.549533799</v>
      </c>
      <c r="AH18" s="410">
        <f t="shared" si="3"/>
        <v>80893100.763915226</v>
      </c>
      <c r="AI18" s="410">
        <f t="shared" si="3"/>
        <v>82224838.620506316</v>
      </c>
      <c r="AJ18" s="410">
        <f t="shared" si="3"/>
        <v>87089186.601416647</v>
      </c>
      <c r="AK18" s="410">
        <f t="shared" si="3"/>
        <v>91254328.320746794</v>
      </c>
      <c r="AL18" s="411"/>
      <c r="AM18" s="411"/>
      <c r="AN18" s="411"/>
      <c r="AO18" s="411"/>
      <c r="AP18" s="411"/>
    </row>
    <row r="19" spans="1:42" x14ac:dyDescent="0.25">
      <c r="B19" s="118"/>
      <c r="C19" s="241"/>
      <c r="D19" s="231"/>
      <c r="E19" s="241"/>
      <c r="G19" s="119"/>
      <c r="AE19" s="342"/>
      <c r="AF19" s="342"/>
      <c r="AG19" s="342"/>
      <c r="AH19" s="342"/>
      <c r="AI19" s="342"/>
      <c r="AJ19" s="342"/>
      <c r="AK19" s="342"/>
      <c r="AL19" s="342"/>
      <c r="AM19" s="342"/>
      <c r="AN19" s="342"/>
      <c r="AO19" s="342"/>
      <c r="AP19" s="342"/>
    </row>
    <row r="20" spans="1:42" x14ac:dyDescent="0.25">
      <c r="B20" s="412" t="s">
        <v>282</v>
      </c>
      <c r="C20" s="413" t="s">
        <v>128</v>
      </c>
      <c r="D20" s="414">
        <f>(1+IRR(G11:AD11))-1</f>
        <v>0.49452522838725343</v>
      </c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342"/>
      <c r="AF20" s="342"/>
      <c r="AG20" s="342"/>
      <c r="AH20" s="342"/>
      <c r="AI20" s="342"/>
      <c r="AJ20" s="342"/>
      <c r="AK20" s="342"/>
      <c r="AL20" s="342"/>
      <c r="AM20" s="342"/>
      <c r="AN20" s="342"/>
      <c r="AO20" s="342"/>
      <c r="AP20" s="342"/>
    </row>
    <row r="21" spans="1:42" x14ac:dyDescent="0.25">
      <c r="B21" s="415" t="s">
        <v>283</v>
      </c>
      <c r="C21" s="416" t="s">
        <v>280</v>
      </c>
      <c r="D21" s="417">
        <f>SUM(G17:AD17)</f>
        <v>64738530.148937166</v>
      </c>
      <c r="E21" s="241"/>
      <c r="G21" s="119"/>
      <c r="AE21" s="342"/>
      <c r="AF21" s="342"/>
      <c r="AG21" s="342"/>
      <c r="AH21" s="342"/>
      <c r="AI21" s="342"/>
      <c r="AJ21" s="342"/>
      <c r="AK21" s="342"/>
      <c r="AL21" s="342"/>
      <c r="AM21" s="342"/>
      <c r="AN21" s="342"/>
      <c r="AO21" s="342"/>
      <c r="AP21" s="342"/>
    </row>
    <row r="22" spans="1:42" x14ac:dyDescent="0.25">
      <c r="B22" s="418" t="s">
        <v>284</v>
      </c>
      <c r="C22" s="157" t="s">
        <v>128</v>
      </c>
      <c r="D22" s="419">
        <f t="array" ref="D22">D21/(G10+NPV(E15, IS!G139:'IS'!AK139))</f>
        <v>0.64597456828916433</v>
      </c>
      <c r="E22" s="397"/>
      <c r="F22" s="342"/>
      <c r="G22" s="119"/>
      <c r="AE22" s="342"/>
      <c r="AF22" s="342"/>
      <c r="AG22" s="342"/>
      <c r="AH22" s="342"/>
      <c r="AI22" s="342"/>
      <c r="AJ22" s="342"/>
      <c r="AK22" s="342"/>
      <c r="AL22" s="342"/>
      <c r="AM22" s="342"/>
      <c r="AN22" s="342"/>
      <c r="AO22" s="342"/>
      <c r="AP22" s="342"/>
    </row>
    <row r="23" spans="1:42" x14ac:dyDescent="0.25">
      <c r="B23" s="420" t="s">
        <v>285</v>
      </c>
      <c r="C23" s="421" t="s">
        <v>286</v>
      </c>
      <c r="D23" s="422">
        <f>COUNTIFS(G18:AD18, "&lt;0")</f>
        <v>11</v>
      </c>
      <c r="E23" s="241"/>
      <c r="G23" s="119"/>
    </row>
    <row r="24" spans="1:42" x14ac:dyDescent="0.25">
      <c r="B24" s="118"/>
      <c r="C24" s="241"/>
      <c r="D24" s="231"/>
      <c r="E24" s="241"/>
      <c r="G24" s="119"/>
    </row>
    <row r="25" spans="1:42" x14ac:dyDescent="0.25">
      <c r="B25" s="118"/>
      <c r="C25" s="241"/>
      <c r="D25" s="231"/>
      <c r="E25" s="241"/>
      <c r="G25" s="119"/>
    </row>
    <row r="26" spans="1:42" x14ac:dyDescent="0.25">
      <c r="B26" s="118"/>
      <c r="C26" s="241"/>
      <c r="D26" s="231"/>
      <c r="E26" s="241"/>
      <c r="G26" s="119"/>
    </row>
    <row r="27" spans="1:42" x14ac:dyDescent="0.25">
      <c r="B27" s="118"/>
      <c r="C27" s="241"/>
      <c r="D27" s="231"/>
      <c r="E27" s="241"/>
      <c r="G27" s="119"/>
    </row>
    <row r="28" spans="1:42" x14ac:dyDescent="0.25">
      <c r="B28" s="118"/>
      <c r="C28" s="241"/>
      <c r="D28" s="231"/>
      <c r="E28" s="241"/>
      <c r="G28" s="119"/>
    </row>
    <row r="29" spans="1:42" x14ac:dyDescent="0.25">
      <c r="B29" s="118"/>
      <c r="C29" s="241"/>
      <c r="D29" s="231"/>
      <c r="E29" s="241"/>
      <c r="G29" s="119"/>
    </row>
    <row r="30" spans="1:42" x14ac:dyDescent="0.25">
      <c r="B30" s="118"/>
      <c r="C30" s="241"/>
      <c r="D30" s="231"/>
      <c r="E30" s="241"/>
      <c r="G30" s="119"/>
    </row>
    <row r="31" spans="1:42" x14ac:dyDescent="0.25">
      <c r="B31" s="118"/>
      <c r="C31" s="241"/>
      <c r="D31" s="231"/>
      <c r="E31" s="241"/>
      <c r="G31" s="119"/>
    </row>
    <row r="32" spans="1:42" x14ac:dyDescent="0.25">
      <c r="B32" s="118"/>
      <c r="C32" s="241"/>
      <c r="D32" s="231"/>
      <c r="E32" s="241"/>
      <c r="G32" s="119"/>
    </row>
    <row r="33" spans="2:7" x14ac:dyDescent="0.25">
      <c r="B33" s="118"/>
      <c r="C33" s="241"/>
      <c r="D33" s="231"/>
      <c r="E33" s="241"/>
      <c r="G33" s="119"/>
    </row>
    <row r="34" spans="2:7" x14ac:dyDescent="0.25">
      <c r="B34" s="118"/>
      <c r="C34" s="241"/>
      <c r="D34" s="231"/>
      <c r="E34" s="241"/>
      <c r="G34" s="119"/>
    </row>
    <row r="35" spans="2:7" x14ac:dyDescent="0.25">
      <c r="B35" s="118"/>
      <c r="C35" s="241"/>
      <c r="D35" s="231"/>
      <c r="E35" s="241"/>
      <c r="G35" s="119"/>
    </row>
    <row r="36" spans="2:7" x14ac:dyDescent="0.25">
      <c r="B36" s="118"/>
      <c r="C36" s="241"/>
      <c r="D36" s="231"/>
      <c r="E36" s="241"/>
      <c r="G36" s="119"/>
    </row>
    <row r="37" spans="2:7" x14ac:dyDescent="0.25">
      <c r="B37" s="118"/>
      <c r="C37" s="241"/>
      <c r="D37" s="231"/>
      <c r="E37" s="241"/>
      <c r="G37" s="119"/>
    </row>
    <row r="38" spans="2:7" x14ac:dyDescent="0.25">
      <c r="B38" s="118"/>
      <c r="C38" s="241"/>
      <c r="D38" s="231"/>
      <c r="E38" s="241"/>
      <c r="G38" s="119"/>
    </row>
    <row r="39" spans="2:7" x14ac:dyDescent="0.25">
      <c r="B39" s="118"/>
      <c r="C39" s="241"/>
      <c r="D39" s="231"/>
      <c r="E39" s="241"/>
      <c r="G39" s="119"/>
    </row>
    <row r="40" spans="2:7" x14ac:dyDescent="0.25">
      <c r="B40" s="118"/>
      <c r="C40" s="241"/>
      <c r="D40" s="231"/>
      <c r="E40" s="241"/>
      <c r="G40" s="119"/>
    </row>
    <row r="41" spans="2:7" x14ac:dyDescent="0.25">
      <c r="B41" s="118"/>
      <c r="C41" s="241"/>
      <c r="D41" s="231"/>
      <c r="E41" s="241"/>
      <c r="G41" s="119"/>
    </row>
    <row r="42" spans="2:7" x14ac:dyDescent="0.25">
      <c r="B42" s="118"/>
      <c r="C42" s="241"/>
      <c r="D42" s="231"/>
      <c r="E42" s="241"/>
      <c r="G42" s="119"/>
    </row>
    <row r="43" spans="2:7" x14ac:dyDescent="0.25">
      <c r="B43" s="118"/>
      <c r="C43" s="241"/>
      <c r="D43" s="231"/>
      <c r="E43" s="241"/>
      <c r="G43" s="119"/>
    </row>
    <row r="44" spans="2:7" x14ac:dyDescent="0.25">
      <c r="B44" s="118"/>
      <c r="C44" s="241"/>
      <c r="D44" s="231"/>
      <c r="E44" s="241"/>
      <c r="G44" s="119"/>
    </row>
    <row r="45" spans="2:7" x14ac:dyDescent="0.25">
      <c r="B45" s="118"/>
      <c r="C45" s="241"/>
      <c r="D45" s="231"/>
      <c r="E45" s="241"/>
      <c r="G45" s="119"/>
    </row>
    <row r="46" spans="2:7" x14ac:dyDescent="0.25">
      <c r="B46" s="118"/>
      <c r="C46" s="241"/>
      <c r="D46" s="231"/>
      <c r="E46" s="241"/>
      <c r="G46" s="119"/>
    </row>
    <row r="47" spans="2:7" x14ac:dyDescent="0.25">
      <c r="B47" s="118"/>
      <c r="C47" s="241"/>
      <c r="D47" s="231"/>
      <c r="E47" s="241"/>
      <c r="G47" s="119"/>
    </row>
    <row r="48" spans="2:7" x14ac:dyDescent="0.25">
      <c r="B48" s="118"/>
      <c r="C48" s="241"/>
      <c r="D48" s="231"/>
      <c r="E48" s="241"/>
      <c r="G48" s="119"/>
    </row>
    <row r="49" spans="2:7" x14ac:dyDescent="0.25">
      <c r="B49" s="118"/>
      <c r="C49" s="241"/>
      <c r="D49" s="231"/>
      <c r="E49" s="241"/>
      <c r="G49" s="119"/>
    </row>
    <row r="50" spans="2:7" x14ac:dyDescent="0.25">
      <c r="B50" s="118"/>
      <c r="C50" s="241"/>
      <c r="D50" s="231"/>
      <c r="E50" s="241"/>
      <c r="G50" s="119"/>
    </row>
    <row r="51" spans="2:7" x14ac:dyDescent="0.25">
      <c r="B51" s="118"/>
      <c r="C51" s="241"/>
      <c r="D51" s="231"/>
      <c r="E51" s="241"/>
      <c r="G51" s="119"/>
    </row>
    <row r="52" spans="2:7" x14ac:dyDescent="0.25">
      <c r="B52" s="118"/>
      <c r="C52" s="241"/>
      <c r="D52" s="231"/>
      <c r="E52" s="241"/>
      <c r="G52" s="119"/>
    </row>
    <row r="53" spans="2:7" x14ac:dyDescent="0.25">
      <c r="B53" s="118"/>
      <c r="C53" s="241"/>
      <c r="D53" s="231"/>
      <c r="E53" s="241"/>
      <c r="G53" s="119"/>
    </row>
    <row r="54" spans="2:7" x14ac:dyDescent="0.25">
      <c r="B54" s="118"/>
      <c r="C54" s="241"/>
      <c r="D54" s="231"/>
      <c r="E54" s="241"/>
      <c r="G54" s="119"/>
    </row>
    <row r="55" spans="2:7" x14ac:dyDescent="0.25">
      <c r="B55" s="118"/>
      <c r="C55" s="241"/>
      <c r="D55" s="231"/>
      <c r="E55" s="241"/>
      <c r="G55" s="119"/>
    </row>
    <row r="56" spans="2:7" x14ac:dyDescent="0.25">
      <c r="B56" s="118"/>
      <c r="C56" s="241"/>
      <c r="D56" s="231"/>
      <c r="E56" s="241"/>
      <c r="G56" s="119"/>
    </row>
    <row r="57" spans="2:7" x14ac:dyDescent="0.25">
      <c r="B57" s="118"/>
      <c r="C57" s="241"/>
      <c r="D57" s="231"/>
      <c r="E57" s="241"/>
      <c r="G57" s="119"/>
    </row>
    <row r="58" spans="2:7" x14ac:dyDescent="0.25">
      <c r="B58" s="118"/>
      <c r="C58" s="241"/>
      <c r="D58" s="231"/>
      <c r="E58" s="241"/>
      <c r="G58" s="119"/>
    </row>
    <row r="59" spans="2:7" x14ac:dyDescent="0.25">
      <c r="B59" s="118"/>
      <c r="C59" s="241"/>
      <c r="D59" s="231"/>
      <c r="E59" s="241"/>
      <c r="G59" s="119"/>
    </row>
    <row r="60" spans="2:7" x14ac:dyDescent="0.25">
      <c r="B60" s="118"/>
      <c r="C60" s="241"/>
      <c r="D60" s="231"/>
      <c r="E60" s="241"/>
      <c r="G60" s="119"/>
    </row>
    <row r="61" spans="2:7" x14ac:dyDescent="0.25">
      <c r="B61" s="118"/>
      <c r="C61" s="241"/>
      <c r="D61" s="231"/>
      <c r="E61" s="241"/>
      <c r="G61" s="119"/>
    </row>
    <row r="62" spans="2:7" x14ac:dyDescent="0.25">
      <c r="B62" s="118"/>
      <c r="C62" s="241"/>
      <c r="D62" s="231"/>
      <c r="E62" s="241"/>
      <c r="G62" s="119"/>
    </row>
    <row r="63" spans="2:7" x14ac:dyDescent="0.25">
      <c r="B63" s="118"/>
      <c r="C63" s="241"/>
      <c r="D63" s="231"/>
      <c r="E63" s="241"/>
      <c r="G63" s="119"/>
    </row>
    <row r="64" spans="2:7" x14ac:dyDescent="0.25">
      <c r="B64" s="118"/>
      <c r="C64" s="241"/>
      <c r="D64" s="231"/>
      <c r="E64" s="241"/>
      <c r="G64" s="119"/>
    </row>
    <row r="65" spans="2:7" x14ac:dyDescent="0.25">
      <c r="B65" s="118"/>
      <c r="C65" s="241"/>
      <c r="D65" s="231"/>
      <c r="E65" s="241"/>
      <c r="G65" s="119"/>
    </row>
    <row r="66" spans="2:7" x14ac:dyDescent="0.25">
      <c r="B66" s="118"/>
      <c r="C66" s="241"/>
      <c r="D66" s="231"/>
      <c r="E66" s="241"/>
      <c r="G66" s="119"/>
    </row>
    <row r="67" spans="2:7" x14ac:dyDescent="0.25">
      <c r="B67" s="118"/>
      <c r="C67" s="241"/>
      <c r="D67" s="231"/>
      <c r="E67" s="241"/>
      <c r="G67" s="119"/>
    </row>
    <row r="68" spans="2:7" x14ac:dyDescent="0.25">
      <c r="B68" s="118"/>
      <c r="C68" s="241"/>
      <c r="D68" s="231"/>
      <c r="E68" s="241"/>
      <c r="G68" s="119"/>
    </row>
    <row r="69" spans="2:7" x14ac:dyDescent="0.25">
      <c r="B69" s="118"/>
      <c r="C69" s="241"/>
      <c r="D69" s="231"/>
      <c r="E69" s="241"/>
      <c r="G69" s="119"/>
    </row>
    <row r="70" spans="2:7" x14ac:dyDescent="0.25">
      <c r="B70" s="118"/>
      <c r="C70" s="241"/>
      <c r="D70" s="231"/>
      <c r="E70" s="241"/>
      <c r="G70" s="119"/>
    </row>
    <row r="71" spans="2:7" x14ac:dyDescent="0.25">
      <c r="B71" s="118"/>
      <c r="C71" s="241"/>
      <c r="D71" s="231"/>
      <c r="E71" s="241"/>
      <c r="G71" s="119"/>
    </row>
    <row r="72" spans="2:7" x14ac:dyDescent="0.25">
      <c r="B72" s="118"/>
      <c r="C72" s="241"/>
      <c r="D72" s="231"/>
      <c r="E72" s="241"/>
      <c r="G72" s="119"/>
    </row>
    <row r="73" spans="2:7" x14ac:dyDescent="0.25">
      <c r="B73" s="118"/>
      <c r="C73" s="241"/>
      <c r="D73" s="231"/>
      <c r="E73" s="241"/>
      <c r="G73" s="119"/>
    </row>
    <row r="74" spans="2:7" x14ac:dyDescent="0.25">
      <c r="B74" s="118"/>
      <c r="C74" s="241"/>
      <c r="D74" s="231"/>
      <c r="E74" s="241"/>
      <c r="G74" s="119"/>
    </row>
    <row r="75" spans="2:7" x14ac:dyDescent="0.25">
      <c r="B75" s="118"/>
      <c r="C75" s="241"/>
      <c r="D75" s="231"/>
      <c r="E75" s="241"/>
      <c r="G75" s="119"/>
    </row>
    <row r="76" spans="2:7" x14ac:dyDescent="0.25">
      <c r="B76" s="118"/>
      <c r="C76" s="241"/>
      <c r="D76" s="231"/>
      <c r="E76" s="241"/>
      <c r="G76" s="119"/>
    </row>
    <row r="77" spans="2:7" x14ac:dyDescent="0.25">
      <c r="B77" s="118"/>
      <c r="C77" s="241"/>
      <c r="D77" s="231"/>
      <c r="E77" s="241"/>
      <c r="G77" s="119"/>
    </row>
    <row r="78" spans="2:7" x14ac:dyDescent="0.25">
      <c r="B78" s="118"/>
      <c r="C78" s="241"/>
      <c r="D78" s="231"/>
      <c r="E78" s="241"/>
      <c r="G78" s="119"/>
    </row>
    <row r="79" spans="2:7" x14ac:dyDescent="0.25">
      <c r="B79" s="118"/>
      <c r="C79" s="241"/>
      <c r="D79" s="231"/>
      <c r="E79" s="241"/>
      <c r="G79" s="119"/>
    </row>
    <row r="80" spans="2:7" x14ac:dyDescent="0.25">
      <c r="B80" s="118"/>
      <c r="C80" s="241"/>
      <c r="D80" s="231"/>
      <c r="E80" s="241"/>
      <c r="G80" s="119"/>
    </row>
    <row r="81" spans="2:7" x14ac:dyDescent="0.25">
      <c r="B81" s="118"/>
      <c r="C81" s="241"/>
      <c r="D81" s="231"/>
      <c r="E81" s="241"/>
      <c r="G81" s="119"/>
    </row>
    <row r="82" spans="2:7" x14ac:dyDescent="0.25">
      <c r="B82" s="118"/>
      <c r="C82" s="241"/>
      <c r="D82" s="231"/>
      <c r="E82" s="241"/>
      <c r="G82" s="119"/>
    </row>
    <row r="83" spans="2:7" x14ac:dyDescent="0.25">
      <c r="B83" s="118"/>
      <c r="C83" s="241"/>
      <c r="D83" s="231"/>
      <c r="E83" s="241"/>
      <c r="G83" s="119"/>
    </row>
    <row r="84" spans="2:7" x14ac:dyDescent="0.25">
      <c r="B84" s="118"/>
      <c r="C84" s="241"/>
      <c r="D84" s="231"/>
      <c r="E84" s="241"/>
      <c r="G84" s="119"/>
    </row>
    <row r="85" spans="2:7" x14ac:dyDescent="0.25">
      <c r="B85" s="118"/>
      <c r="C85" s="241"/>
      <c r="D85" s="231"/>
      <c r="E85" s="241"/>
      <c r="G85" s="119"/>
    </row>
    <row r="86" spans="2:7" x14ac:dyDescent="0.25">
      <c r="B86" s="118"/>
      <c r="C86" s="241"/>
      <c r="D86" s="231"/>
      <c r="E86" s="241"/>
      <c r="G86" s="119"/>
    </row>
    <row r="87" spans="2:7" x14ac:dyDescent="0.25">
      <c r="B87" s="118"/>
      <c r="C87" s="241"/>
      <c r="D87" s="231"/>
      <c r="E87" s="241"/>
      <c r="G87" s="119"/>
    </row>
    <row r="88" spans="2:7" x14ac:dyDescent="0.25">
      <c r="B88" s="118"/>
      <c r="C88" s="241"/>
      <c r="D88" s="231"/>
      <c r="E88" s="241"/>
      <c r="G88" s="119"/>
    </row>
    <row r="89" spans="2:7" x14ac:dyDescent="0.25">
      <c r="B89" s="118"/>
      <c r="C89" s="241"/>
      <c r="D89" s="231"/>
      <c r="E89" s="241"/>
      <c r="G89" s="119"/>
    </row>
    <row r="90" spans="2:7" x14ac:dyDescent="0.25">
      <c r="B90" s="118"/>
      <c r="C90" s="241"/>
      <c r="D90" s="231"/>
      <c r="E90" s="241"/>
      <c r="G90" s="119"/>
    </row>
    <row r="91" spans="2:7" x14ac:dyDescent="0.25">
      <c r="B91" s="118"/>
      <c r="C91" s="241"/>
      <c r="D91" s="231"/>
      <c r="E91" s="241"/>
      <c r="G91" s="119"/>
    </row>
    <row r="92" spans="2:7" x14ac:dyDescent="0.25">
      <c r="B92" s="118"/>
      <c r="C92" s="241"/>
      <c r="D92" s="231"/>
      <c r="E92" s="241"/>
      <c r="G92" s="119"/>
    </row>
    <row r="93" spans="2:7" x14ac:dyDescent="0.25">
      <c r="B93" s="118"/>
      <c r="C93" s="241"/>
      <c r="D93" s="231"/>
      <c r="E93" s="241"/>
      <c r="G93" s="119"/>
    </row>
    <row r="94" spans="2:7" x14ac:dyDescent="0.25">
      <c r="B94" s="118"/>
      <c r="C94" s="241"/>
      <c r="D94" s="231"/>
      <c r="E94" s="241"/>
      <c r="G94" s="119"/>
    </row>
    <row r="95" spans="2:7" x14ac:dyDescent="0.25">
      <c r="B95" s="118"/>
      <c r="C95" s="241"/>
      <c r="D95" s="231"/>
      <c r="E95" s="241"/>
      <c r="G95" s="119"/>
    </row>
    <row r="96" spans="2:7" x14ac:dyDescent="0.25">
      <c r="B96" s="118"/>
      <c r="C96" s="241"/>
      <c r="D96" s="231"/>
      <c r="E96" s="241"/>
      <c r="G96" s="119"/>
    </row>
    <row r="97" spans="2:7" x14ac:dyDescent="0.25">
      <c r="B97" s="118"/>
      <c r="C97" s="241"/>
      <c r="D97" s="231"/>
      <c r="E97" s="241"/>
      <c r="G97" s="119"/>
    </row>
    <row r="98" spans="2:7" x14ac:dyDescent="0.25">
      <c r="B98" s="118"/>
      <c r="C98" s="241"/>
      <c r="D98" s="231"/>
      <c r="E98" s="241"/>
      <c r="G98" s="119"/>
    </row>
    <row r="99" spans="2:7" x14ac:dyDescent="0.25">
      <c r="B99" s="118"/>
      <c r="C99" s="241"/>
      <c r="D99" s="231"/>
      <c r="E99" s="241"/>
      <c r="G99" s="119"/>
    </row>
    <row r="100" spans="2:7" x14ac:dyDescent="0.25">
      <c r="B100" s="118"/>
      <c r="C100" s="241"/>
      <c r="D100" s="231"/>
      <c r="E100" s="241"/>
      <c r="G100" s="119"/>
    </row>
    <row r="101" spans="2:7" x14ac:dyDescent="0.25">
      <c r="B101" s="118"/>
      <c r="C101" s="241"/>
      <c r="D101" s="231"/>
      <c r="E101" s="241"/>
      <c r="G101" s="119"/>
    </row>
    <row r="102" spans="2:7" x14ac:dyDescent="0.25">
      <c r="B102" s="118"/>
      <c r="C102" s="241"/>
      <c r="D102" s="231"/>
      <c r="E102" s="241"/>
      <c r="G102" s="119"/>
    </row>
    <row r="103" spans="2:7" x14ac:dyDescent="0.25">
      <c r="B103" s="118"/>
      <c r="C103" s="241"/>
      <c r="D103" s="231"/>
      <c r="E103" s="241"/>
      <c r="G103" s="119"/>
    </row>
    <row r="104" spans="2:7" x14ac:dyDescent="0.25">
      <c r="B104" s="118"/>
      <c r="C104" s="241"/>
      <c r="D104" s="231"/>
      <c r="E104" s="241"/>
      <c r="G104" s="119"/>
    </row>
    <row r="105" spans="2:7" x14ac:dyDescent="0.25">
      <c r="B105" s="118"/>
      <c r="C105" s="241"/>
      <c r="D105" s="231"/>
      <c r="E105" s="241"/>
      <c r="G105" s="119"/>
    </row>
    <row r="106" spans="2:7" x14ac:dyDescent="0.25">
      <c r="B106" s="118"/>
      <c r="C106" s="241"/>
      <c r="D106" s="231"/>
      <c r="E106" s="241"/>
      <c r="G106" s="119"/>
    </row>
    <row r="107" spans="2:7" x14ac:dyDescent="0.25">
      <c r="B107" s="118"/>
      <c r="C107" s="241"/>
      <c r="D107" s="231"/>
      <c r="E107" s="241"/>
      <c r="G107" s="119"/>
    </row>
    <row r="108" spans="2:7" x14ac:dyDescent="0.25">
      <c r="B108" s="118"/>
      <c r="C108" s="241"/>
      <c r="D108" s="231"/>
      <c r="E108" s="241"/>
      <c r="G108" s="119"/>
    </row>
    <row r="109" spans="2:7" x14ac:dyDescent="0.25">
      <c r="B109" s="118"/>
      <c r="C109" s="241"/>
      <c r="D109" s="231"/>
      <c r="E109" s="241"/>
      <c r="G109" s="119"/>
    </row>
    <row r="110" spans="2:7" x14ac:dyDescent="0.25">
      <c r="B110" s="118"/>
      <c r="C110" s="241"/>
      <c r="D110" s="231"/>
      <c r="E110" s="241"/>
      <c r="G110" s="119"/>
    </row>
    <row r="111" spans="2:7" x14ac:dyDescent="0.25">
      <c r="B111" s="118"/>
      <c r="C111" s="241"/>
      <c r="D111" s="231"/>
      <c r="E111" s="241"/>
      <c r="G111" s="119"/>
    </row>
    <row r="112" spans="2:7" x14ac:dyDescent="0.25">
      <c r="B112" s="118"/>
      <c r="C112" s="241"/>
      <c r="D112" s="231"/>
      <c r="E112" s="241"/>
      <c r="G112" s="119"/>
    </row>
    <row r="113" spans="2:7" x14ac:dyDescent="0.25">
      <c r="B113" s="118"/>
      <c r="C113" s="241"/>
      <c r="D113" s="231"/>
      <c r="E113" s="241"/>
      <c r="G113" s="119"/>
    </row>
    <row r="114" spans="2:7" x14ac:dyDescent="0.25">
      <c r="B114" s="118"/>
      <c r="C114" s="241"/>
      <c r="D114" s="231"/>
      <c r="E114" s="241"/>
      <c r="G114" s="119"/>
    </row>
    <row r="115" spans="2:7" x14ac:dyDescent="0.25">
      <c r="B115" s="118"/>
      <c r="C115" s="241"/>
      <c r="D115" s="231"/>
      <c r="E115" s="241"/>
      <c r="G115" s="119"/>
    </row>
    <row r="116" spans="2:7" x14ac:dyDescent="0.25">
      <c r="B116" s="118"/>
      <c r="C116" s="241"/>
      <c r="D116" s="231"/>
      <c r="E116" s="241"/>
      <c r="G116" s="119"/>
    </row>
    <row r="117" spans="2:7" x14ac:dyDescent="0.25">
      <c r="B117" s="118"/>
      <c r="C117" s="241"/>
      <c r="D117" s="231"/>
      <c r="E117" s="241"/>
      <c r="G117" s="119"/>
    </row>
    <row r="118" spans="2:7" x14ac:dyDescent="0.25">
      <c r="B118" s="118"/>
      <c r="C118" s="241"/>
      <c r="D118" s="231"/>
      <c r="E118" s="241"/>
      <c r="G118" s="119"/>
    </row>
    <row r="119" spans="2:7" x14ac:dyDescent="0.25">
      <c r="B119" s="118"/>
      <c r="C119" s="241"/>
      <c r="D119" s="231"/>
      <c r="E119" s="241"/>
      <c r="G119" s="119"/>
    </row>
    <row r="120" spans="2:7" x14ac:dyDescent="0.25">
      <c r="B120" s="118"/>
      <c r="C120" s="241"/>
      <c r="D120" s="231"/>
      <c r="E120" s="241"/>
      <c r="G120" s="119"/>
    </row>
    <row r="121" spans="2:7" x14ac:dyDescent="0.25">
      <c r="B121" s="118"/>
      <c r="C121" s="241"/>
      <c r="D121" s="231"/>
      <c r="E121" s="241"/>
      <c r="G121" s="119"/>
    </row>
    <row r="122" spans="2:7" x14ac:dyDescent="0.25">
      <c r="B122" s="118"/>
      <c r="C122" s="241"/>
      <c r="D122" s="231"/>
      <c r="E122" s="241"/>
      <c r="G122" s="119"/>
    </row>
    <row r="123" spans="2:7" x14ac:dyDescent="0.25">
      <c r="B123" s="118"/>
      <c r="C123" s="241"/>
      <c r="D123" s="231"/>
      <c r="E123" s="241"/>
      <c r="G123" s="119"/>
    </row>
    <row r="124" spans="2:7" x14ac:dyDescent="0.25">
      <c r="B124" s="118"/>
      <c r="C124" s="241"/>
      <c r="D124" s="231"/>
      <c r="E124" s="241"/>
      <c r="G124" s="119"/>
    </row>
    <row r="125" spans="2:7" x14ac:dyDescent="0.25">
      <c r="B125" s="118"/>
      <c r="C125" s="241"/>
      <c r="D125" s="231"/>
      <c r="E125" s="241"/>
      <c r="G125" s="119"/>
    </row>
    <row r="126" spans="2:7" x14ac:dyDescent="0.25">
      <c r="B126" s="118"/>
      <c r="C126" s="241"/>
      <c r="D126" s="231"/>
      <c r="E126" s="241"/>
      <c r="G126" s="119"/>
    </row>
    <row r="127" spans="2:7" x14ac:dyDescent="0.25">
      <c r="B127" s="118"/>
      <c r="C127" s="241"/>
      <c r="D127" s="231"/>
      <c r="E127" s="241"/>
      <c r="G127" s="119"/>
    </row>
    <row r="128" spans="2:7" x14ac:dyDescent="0.25">
      <c r="B128" s="118"/>
      <c r="C128" s="241"/>
      <c r="D128" s="231"/>
      <c r="E128" s="241"/>
      <c r="G128" s="119"/>
    </row>
    <row r="129" spans="2:7" x14ac:dyDescent="0.25">
      <c r="B129" s="118"/>
      <c r="C129" s="241"/>
      <c r="D129" s="231"/>
      <c r="E129" s="241"/>
      <c r="G129" s="119"/>
    </row>
    <row r="130" spans="2:7" x14ac:dyDescent="0.25">
      <c r="B130" s="118"/>
      <c r="C130" s="241"/>
      <c r="D130" s="231"/>
      <c r="E130" s="241"/>
      <c r="G130" s="119"/>
    </row>
    <row r="131" spans="2:7" x14ac:dyDescent="0.25">
      <c r="B131" s="118"/>
      <c r="C131" s="241"/>
      <c r="D131" s="231"/>
      <c r="E131" s="241"/>
      <c r="G131" s="119"/>
    </row>
    <row r="132" spans="2:7" x14ac:dyDescent="0.25">
      <c r="B132" s="118"/>
      <c r="C132" s="241"/>
      <c r="D132" s="231"/>
      <c r="E132" s="241"/>
      <c r="G132" s="119"/>
    </row>
    <row r="133" spans="2:7" x14ac:dyDescent="0.25">
      <c r="B133" s="118"/>
      <c r="C133" s="241"/>
      <c r="D133" s="231"/>
      <c r="E133" s="241"/>
      <c r="G133" s="119"/>
    </row>
    <row r="134" spans="2:7" x14ac:dyDescent="0.25">
      <c r="B134" s="118"/>
      <c r="C134" s="241"/>
      <c r="D134" s="231"/>
      <c r="E134" s="241"/>
      <c r="G134" s="119"/>
    </row>
    <row r="135" spans="2:7" x14ac:dyDescent="0.25">
      <c r="B135" s="118"/>
      <c r="C135" s="241"/>
      <c r="D135" s="231"/>
      <c r="E135" s="241"/>
      <c r="G135" s="119"/>
    </row>
    <row r="136" spans="2:7" x14ac:dyDescent="0.25">
      <c r="B136" s="118"/>
      <c r="C136" s="241"/>
      <c r="D136" s="231"/>
      <c r="E136" s="241"/>
      <c r="G136" s="119"/>
    </row>
    <row r="137" spans="2:7" x14ac:dyDescent="0.25">
      <c r="B137" s="118"/>
      <c r="C137" s="241"/>
      <c r="D137" s="231"/>
      <c r="E137" s="241"/>
      <c r="G137" s="119"/>
    </row>
    <row r="138" spans="2:7" x14ac:dyDescent="0.25">
      <c r="B138" s="118"/>
      <c r="C138" s="241"/>
      <c r="D138" s="231"/>
      <c r="E138" s="241"/>
      <c r="G138" s="119"/>
    </row>
    <row r="139" spans="2:7" x14ac:dyDescent="0.25">
      <c r="B139" s="118"/>
      <c r="C139" s="241"/>
      <c r="D139" s="231"/>
      <c r="E139" s="241"/>
      <c r="G139" s="119"/>
    </row>
    <row r="140" spans="2:7" x14ac:dyDescent="0.25">
      <c r="B140" s="118"/>
      <c r="C140" s="241"/>
      <c r="D140" s="231"/>
      <c r="E140" s="241"/>
      <c r="G140" s="119"/>
    </row>
    <row r="141" spans="2:7" x14ac:dyDescent="0.25">
      <c r="B141" s="118"/>
      <c r="C141" s="241"/>
      <c r="D141" s="231"/>
      <c r="E141" s="241"/>
      <c r="G141" s="119"/>
    </row>
    <row r="142" spans="2:7" x14ac:dyDescent="0.25">
      <c r="B142" s="118"/>
      <c r="C142" s="241"/>
      <c r="D142" s="231"/>
      <c r="E142" s="241"/>
      <c r="G142" s="119"/>
    </row>
    <row r="143" spans="2:7" x14ac:dyDescent="0.25">
      <c r="B143" s="118"/>
      <c r="C143" s="241"/>
      <c r="D143" s="231"/>
      <c r="E143" s="241"/>
      <c r="G143" s="119"/>
    </row>
    <row r="144" spans="2:7" x14ac:dyDescent="0.25">
      <c r="B144" s="118"/>
      <c r="C144" s="241"/>
      <c r="D144" s="231"/>
      <c r="E144" s="241"/>
      <c r="G144" s="119"/>
    </row>
    <row r="145" spans="2:7" x14ac:dyDescent="0.25">
      <c r="B145" s="118"/>
      <c r="C145" s="241"/>
      <c r="D145" s="231"/>
      <c r="E145" s="241"/>
      <c r="G145" s="119"/>
    </row>
    <row r="146" spans="2:7" x14ac:dyDescent="0.25">
      <c r="B146" s="118"/>
      <c r="C146" s="241"/>
      <c r="D146" s="231"/>
      <c r="E146" s="241"/>
      <c r="G146" s="119"/>
    </row>
    <row r="147" spans="2:7" x14ac:dyDescent="0.25">
      <c r="B147" s="118"/>
      <c r="C147" s="241"/>
      <c r="D147" s="231"/>
      <c r="E147" s="241"/>
      <c r="G147" s="119"/>
    </row>
    <row r="148" spans="2:7" x14ac:dyDescent="0.25">
      <c r="B148" s="118"/>
      <c r="C148" s="241"/>
      <c r="D148" s="231"/>
      <c r="E148" s="241"/>
      <c r="G148" s="119"/>
    </row>
    <row r="149" spans="2:7" x14ac:dyDescent="0.25">
      <c r="B149" s="118"/>
      <c r="C149" s="241"/>
      <c r="D149" s="231"/>
      <c r="E149" s="241"/>
      <c r="G149" s="119"/>
    </row>
    <row r="150" spans="2:7" x14ac:dyDescent="0.25">
      <c r="B150" s="118"/>
      <c r="C150" s="241"/>
      <c r="D150" s="231"/>
      <c r="E150" s="241"/>
      <c r="G150" s="119"/>
    </row>
    <row r="151" spans="2:7" x14ac:dyDescent="0.25">
      <c r="B151" s="118"/>
      <c r="C151" s="241"/>
      <c r="D151" s="231"/>
      <c r="E151" s="241"/>
      <c r="G151" s="119"/>
    </row>
    <row r="152" spans="2:7" x14ac:dyDescent="0.25">
      <c r="B152" s="118"/>
      <c r="C152" s="241"/>
      <c r="D152" s="231"/>
      <c r="E152" s="241"/>
      <c r="G152" s="119"/>
    </row>
    <row r="153" spans="2:7" x14ac:dyDescent="0.25">
      <c r="B153" s="118"/>
      <c r="C153" s="241"/>
      <c r="D153" s="231"/>
      <c r="E153" s="241"/>
      <c r="G153" s="119"/>
    </row>
    <row r="154" spans="2:7" x14ac:dyDescent="0.25">
      <c r="B154" s="118"/>
      <c r="C154" s="241"/>
      <c r="D154" s="231"/>
      <c r="E154" s="241"/>
      <c r="G154" s="119"/>
    </row>
    <row r="155" spans="2:7" x14ac:dyDescent="0.25">
      <c r="B155" s="118"/>
      <c r="C155" s="241"/>
      <c r="D155" s="231"/>
      <c r="E155" s="241"/>
      <c r="G155" s="119"/>
    </row>
    <row r="156" spans="2:7" x14ac:dyDescent="0.25">
      <c r="B156" s="118"/>
      <c r="C156" s="241"/>
      <c r="D156" s="231"/>
      <c r="E156" s="241"/>
      <c r="G156" s="119"/>
    </row>
    <row r="157" spans="2:7" x14ac:dyDescent="0.25">
      <c r="B157" s="118"/>
      <c r="C157" s="241"/>
      <c r="D157" s="231"/>
      <c r="E157" s="241"/>
      <c r="G157" s="119"/>
    </row>
    <row r="158" spans="2:7" x14ac:dyDescent="0.25">
      <c r="B158" s="118"/>
      <c r="C158" s="241"/>
      <c r="D158" s="231"/>
      <c r="E158" s="241"/>
      <c r="G158" s="119"/>
    </row>
    <row r="159" spans="2:7" x14ac:dyDescent="0.25">
      <c r="B159" s="118"/>
      <c r="C159" s="241"/>
      <c r="D159" s="231"/>
      <c r="E159" s="241"/>
      <c r="G159" s="119"/>
    </row>
    <row r="160" spans="2:7" x14ac:dyDescent="0.25">
      <c r="B160" s="118"/>
      <c r="C160" s="241"/>
      <c r="D160" s="231"/>
      <c r="E160" s="241"/>
      <c r="G160" s="119"/>
    </row>
    <row r="161" spans="2:7" x14ac:dyDescent="0.25">
      <c r="B161" s="118"/>
      <c r="C161" s="241"/>
      <c r="D161" s="231"/>
      <c r="E161" s="241"/>
      <c r="G161" s="119"/>
    </row>
    <row r="162" spans="2:7" x14ac:dyDescent="0.25">
      <c r="B162" s="118"/>
      <c r="C162" s="241"/>
      <c r="D162" s="231"/>
      <c r="E162" s="241"/>
      <c r="G162" s="119"/>
    </row>
    <row r="163" spans="2:7" x14ac:dyDescent="0.25">
      <c r="B163" s="118"/>
      <c r="C163" s="241"/>
      <c r="D163" s="231"/>
      <c r="E163" s="241"/>
      <c r="G163" s="119"/>
    </row>
    <row r="164" spans="2:7" x14ac:dyDescent="0.25">
      <c r="B164" s="118"/>
      <c r="C164" s="241"/>
      <c r="D164" s="231"/>
      <c r="E164" s="241"/>
      <c r="G164" s="119"/>
    </row>
    <row r="165" spans="2:7" x14ac:dyDescent="0.25">
      <c r="B165" s="118"/>
      <c r="C165" s="241"/>
      <c r="D165" s="231"/>
      <c r="E165" s="241"/>
      <c r="G165" s="119"/>
    </row>
    <row r="166" spans="2:7" x14ac:dyDescent="0.25">
      <c r="B166" s="118"/>
      <c r="C166" s="241"/>
      <c r="D166" s="231"/>
      <c r="E166" s="241"/>
      <c r="G166" s="119"/>
    </row>
    <row r="167" spans="2:7" x14ac:dyDescent="0.25">
      <c r="B167" s="118"/>
      <c r="C167" s="241"/>
      <c r="D167" s="231"/>
      <c r="E167" s="241"/>
      <c r="G167" s="119"/>
    </row>
    <row r="168" spans="2:7" x14ac:dyDescent="0.25">
      <c r="B168" s="118"/>
      <c r="C168" s="241"/>
      <c r="D168" s="231"/>
      <c r="E168" s="241"/>
      <c r="G168" s="119"/>
    </row>
    <row r="169" spans="2:7" x14ac:dyDescent="0.25">
      <c r="B169" s="118"/>
      <c r="C169" s="241"/>
      <c r="D169" s="231"/>
      <c r="E169" s="241"/>
      <c r="G169" s="119"/>
    </row>
    <row r="170" spans="2:7" x14ac:dyDescent="0.25">
      <c r="B170" s="118"/>
      <c r="C170" s="241"/>
      <c r="D170" s="231"/>
      <c r="E170" s="241"/>
      <c r="G170" s="119"/>
    </row>
    <row r="171" spans="2:7" x14ac:dyDescent="0.25">
      <c r="B171" s="118"/>
      <c r="C171" s="241"/>
      <c r="D171" s="231"/>
      <c r="E171" s="241"/>
      <c r="G171" s="119"/>
    </row>
    <row r="172" spans="2:7" x14ac:dyDescent="0.25">
      <c r="B172" s="118"/>
      <c r="C172" s="241"/>
      <c r="D172" s="231"/>
      <c r="E172" s="241"/>
      <c r="G172" s="119"/>
    </row>
    <row r="173" spans="2:7" x14ac:dyDescent="0.25">
      <c r="B173" s="118"/>
      <c r="C173" s="241"/>
      <c r="D173" s="231"/>
      <c r="E173" s="241"/>
      <c r="G173" s="119"/>
    </row>
    <row r="174" spans="2:7" x14ac:dyDescent="0.25">
      <c r="B174" s="118"/>
      <c r="C174" s="241"/>
      <c r="D174" s="231"/>
      <c r="E174" s="241"/>
      <c r="G174" s="119"/>
    </row>
    <row r="175" spans="2:7" x14ac:dyDescent="0.25">
      <c r="B175" s="118"/>
      <c r="C175" s="241"/>
      <c r="D175" s="231"/>
      <c r="E175" s="241"/>
      <c r="G175" s="119"/>
    </row>
    <row r="176" spans="2:7" x14ac:dyDescent="0.25">
      <c r="B176" s="118"/>
      <c r="C176" s="241"/>
      <c r="D176" s="231"/>
      <c r="E176" s="241"/>
      <c r="G176" s="119"/>
    </row>
    <row r="177" spans="2:7" x14ac:dyDescent="0.25">
      <c r="B177" s="118"/>
      <c r="C177" s="241"/>
      <c r="D177" s="231"/>
      <c r="E177" s="241"/>
      <c r="G177" s="119"/>
    </row>
    <row r="178" spans="2:7" x14ac:dyDescent="0.25">
      <c r="B178" s="118"/>
      <c r="C178" s="241"/>
      <c r="D178" s="231"/>
      <c r="E178" s="241"/>
      <c r="G178" s="119"/>
    </row>
    <row r="179" spans="2:7" x14ac:dyDescent="0.25">
      <c r="B179" s="118"/>
      <c r="C179" s="241"/>
      <c r="D179" s="231"/>
      <c r="E179" s="241"/>
      <c r="G179" s="119"/>
    </row>
    <row r="180" spans="2:7" x14ac:dyDescent="0.25">
      <c r="B180" s="118"/>
      <c r="C180" s="241"/>
      <c r="D180" s="231"/>
      <c r="E180" s="241"/>
      <c r="G180" s="119"/>
    </row>
    <row r="181" spans="2:7" x14ac:dyDescent="0.25">
      <c r="B181" s="118"/>
      <c r="C181" s="241"/>
      <c r="D181" s="231"/>
      <c r="E181" s="241"/>
      <c r="G181" s="119"/>
    </row>
    <row r="182" spans="2:7" x14ac:dyDescent="0.25">
      <c r="B182" s="118"/>
      <c r="C182" s="241"/>
      <c r="D182" s="231"/>
      <c r="E182" s="241"/>
      <c r="G182" s="119"/>
    </row>
    <row r="183" spans="2:7" x14ac:dyDescent="0.25">
      <c r="B183" s="118"/>
      <c r="C183" s="241"/>
      <c r="D183" s="231"/>
      <c r="E183" s="241"/>
      <c r="G183" s="119"/>
    </row>
    <row r="184" spans="2:7" x14ac:dyDescent="0.25">
      <c r="B184" s="118"/>
      <c r="C184" s="241"/>
      <c r="D184" s="231"/>
      <c r="E184" s="241"/>
      <c r="G184" s="119"/>
    </row>
    <row r="185" spans="2:7" x14ac:dyDescent="0.25">
      <c r="B185" s="118"/>
      <c r="C185" s="241"/>
      <c r="D185" s="231"/>
      <c r="E185" s="241"/>
      <c r="G185" s="119"/>
    </row>
    <row r="186" spans="2:7" x14ac:dyDescent="0.25">
      <c r="B186" s="118"/>
      <c r="C186" s="241"/>
      <c r="D186" s="231"/>
      <c r="E186" s="241"/>
      <c r="G186" s="119"/>
    </row>
    <row r="187" spans="2:7" x14ac:dyDescent="0.25">
      <c r="B187" s="118"/>
      <c r="C187" s="241"/>
      <c r="D187" s="231"/>
      <c r="E187" s="241"/>
      <c r="G187" s="119"/>
    </row>
    <row r="188" spans="2:7" x14ac:dyDescent="0.25">
      <c r="B188" s="118"/>
      <c r="C188" s="241"/>
      <c r="D188" s="231"/>
      <c r="E188" s="241"/>
      <c r="G188" s="119"/>
    </row>
    <row r="189" spans="2:7" x14ac:dyDescent="0.25">
      <c r="B189" s="118"/>
      <c r="C189" s="241"/>
      <c r="D189" s="231"/>
      <c r="E189" s="241"/>
      <c r="G189" s="119"/>
    </row>
    <row r="190" spans="2:7" x14ac:dyDescent="0.25">
      <c r="B190" s="118"/>
      <c r="C190" s="241"/>
      <c r="D190" s="231"/>
      <c r="E190" s="241"/>
      <c r="G190" s="119"/>
    </row>
    <row r="191" spans="2:7" x14ac:dyDescent="0.25">
      <c r="B191" s="118"/>
      <c r="C191" s="241"/>
      <c r="D191" s="231"/>
      <c r="E191" s="241"/>
      <c r="G191" s="119"/>
    </row>
    <row r="192" spans="2:7" x14ac:dyDescent="0.25">
      <c r="B192" s="118"/>
      <c r="C192" s="241"/>
      <c r="D192" s="231"/>
      <c r="E192" s="241"/>
      <c r="G192" s="119"/>
    </row>
    <row r="193" spans="2:7" x14ac:dyDescent="0.25">
      <c r="B193" s="118"/>
      <c r="C193" s="241"/>
      <c r="D193" s="231"/>
      <c r="E193" s="241"/>
      <c r="G193" s="119"/>
    </row>
    <row r="194" spans="2:7" x14ac:dyDescent="0.25">
      <c r="B194" s="118"/>
      <c r="C194" s="241"/>
      <c r="D194" s="231"/>
      <c r="E194" s="241"/>
      <c r="G194" s="119"/>
    </row>
    <row r="195" spans="2:7" x14ac:dyDescent="0.25">
      <c r="B195" s="118"/>
      <c r="C195" s="241"/>
      <c r="D195" s="231"/>
      <c r="E195" s="241"/>
      <c r="G195" s="119"/>
    </row>
    <row r="196" spans="2:7" x14ac:dyDescent="0.25">
      <c r="B196" s="118"/>
      <c r="C196" s="241"/>
      <c r="D196" s="231"/>
      <c r="E196" s="241"/>
      <c r="G196" s="119"/>
    </row>
    <row r="197" spans="2:7" x14ac:dyDescent="0.25">
      <c r="B197" s="118"/>
      <c r="C197" s="241"/>
      <c r="D197" s="231"/>
      <c r="E197" s="241"/>
      <c r="G197" s="119"/>
    </row>
    <row r="198" spans="2:7" x14ac:dyDescent="0.25">
      <c r="B198" s="118"/>
      <c r="C198" s="241"/>
      <c r="D198" s="231"/>
      <c r="E198" s="241"/>
      <c r="G198" s="119"/>
    </row>
    <row r="199" spans="2:7" x14ac:dyDescent="0.25">
      <c r="B199" s="118"/>
      <c r="C199" s="241"/>
      <c r="D199" s="231"/>
      <c r="E199" s="241"/>
      <c r="G199" s="119"/>
    </row>
    <row r="200" spans="2:7" x14ac:dyDescent="0.25">
      <c r="B200" s="118"/>
      <c r="C200" s="241"/>
      <c r="D200" s="231"/>
      <c r="E200" s="241"/>
      <c r="G200" s="119"/>
    </row>
    <row r="201" spans="2:7" x14ac:dyDescent="0.25">
      <c r="B201" s="118"/>
      <c r="C201" s="241"/>
      <c r="D201" s="231"/>
      <c r="E201" s="241"/>
      <c r="G201" s="119"/>
    </row>
    <row r="202" spans="2:7" x14ac:dyDescent="0.25">
      <c r="B202" s="118"/>
      <c r="C202" s="241"/>
      <c r="D202" s="231"/>
      <c r="E202" s="241"/>
      <c r="G202" s="119"/>
    </row>
    <row r="203" spans="2:7" x14ac:dyDescent="0.25">
      <c r="B203" s="118"/>
      <c r="C203" s="241"/>
      <c r="D203" s="231"/>
      <c r="E203" s="241"/>
      <c r="G203" s="119"/>
    </row>
    <row r="204" spans="2:7" x14ac:dyDescent="0.25">
      <c r="B204" s="118"/>
      <c r="C204" s="241"/>
      <c r="D204" s="231"/>
      <c r="E204" s="241"/>
      <c r="G204" s="119"/>
    </row>
    <row r="205" spans="2:7" x14ac:dyDescent="0.25">
      <c r="B205" s="118"/>
      <c r="C205" s="241"/>
      <c r="D205" s="231"/>
      <c r="E205" s="241"/>
      <c r="G205" s="119"/>
    </row>
    <row r="206" spans="2:7" x14ac:dyDescent="0.25">
      <c r="B206" s="118"/>
      <c r="C206" s="241"/>
      <c r="D206" s="231"/>
      <c r="E206" s="241"/>
      <c r="G206" s="119"/>
    </row>
    <row r="207" spans="2:7" x14ac:dyDescent="0.25">
      <c r="B207" s="118"/>
      <c r="C207" s="241"/>
      <c r="D207" s="231"/>
      <c r="E207" s="241"/>
      <c r="G207" s="119"/>
    </row>
    <row r="208" spans="2:7" x14ac:dyDescent="0.25">
      <c r="B208" s="118"/>
      <c r="C208" s="241"/>
      <c r="D208" s="231"/>
      <c r="E208" s="241"/>
      <c r="G208" s="119"/>
    </row>
    <row r="209" spans="2:7" x14ac:dyDescent="0.25">
      <c r="B209" s="118"/>
      <c r="C209" s="241"/>
      <c r="D209" s="231"/>
      <c r="E209" s="241"/>
      <c r="G209" s="119"/>
    </row>
    <row r="210" spans="2:7" x14ac:dyDescent="0.25">
      <c r="B210" s="118"/>
      <c r="C210" s="241"/>
      <c r="D210" s="231"/>
      <c r="E210" s="241"/>
      <c r="G210" s="119"/>
    </row>
    <row r="211" spans="2:7" x14ac:dyDescent="0.25">
      <c r="B211" s="118"/>
      <c r="C211" s="241"/>
      <c r="D211" s="231"/>
      <c r="E211" s="241"/>
      <c r="G211" s="119"/>
    </row>
    <row r="212" spans="2:7" x14ac:dyDescent="0.25">
      <c r="B212" s="118"/>
      <c r="C212" s="241"/>
      <c r="D212" s="231"/>
      <c r="E212" s="241"/>
      <c r="G212" s="119"/>
    </row>
    <row r="213" spans="2:7" x14ac:dyDescent="0.25">
      <c r="B213" s="118"/>
      <c r="C213" s="241"/>
      <c r="D213" s="231"/>
      <c r="E213" s="241"/>
      <c r="G213" s="119"/>
    </row>
    <row r="214" spans="2:7" x14ac:dyDescent="0.25">
      <c r="B214" s="118"/>
      <c r="C214" s="241"/>
      <c r="D214" s="231"/>
      <c r="E214" s="241"/>
      <c r="G214" s="119"/>
    </row>
    <row r="215" spans="2:7" x14ac:dyDescent="0.25">
      <c r="B215" s="118"/>
      <c r="C215" s="241"/>
      <c r="D215" s="231"/>
      <c r="E215" s="241"/>
      <c r="G215" s="119"/>
    </row>
    <row r="216" spans="2:7" x14ac:dyDescent="0.25">
      <c r="B216" s="118"/>
      <c r="C216" s="241"/>
      <c r="D216" s="231"/>
      <c r="E216" s="241"/>
      <c r="G216" s="119"/>
    </row>
    <row r="217" spans="2:7" x14ac:dyDescent="0.25">
      <c r="B217" s="118"/>
      <c r="C217" s="241"/>
      <c r="D217" s="231"/>
      <c r="E217" s="241"/>
      <c r="G217" s="119"/>
    </row>
    <row r="218" spans="2:7" x14ac:dyDescent="0.25">
      <c r="B218" s="118"/>
      <c r="C218" s="241"/>
      <c r="D218" s="231"/>
      <c r="E218" s="241"/>
      <c r="G218" s="119"/>
    </row>
    <row r="219" spans="2:7" x14ac:dyDescent="0.25">
      <c r="B219" s="118"/>
      <c r="C219" s="241"/>
      <c r="D219" s="231"/>
      <c r="E219" s="241"/>
      <c r="G219" s="119"/>
    </row>
    <row r="220" spans="2:7" x14ac:dyDescent="0.25">
      <c r="B220" s="118"/>
      <c r="C220" s="241"/>
      <c r="D220" s="231"/>
      <c r="E220" s="241"/>
      <c r="G220" s="119"/>
    </row>
    <row r="221" spans="2:7" x14ac:dyDescent="0.25">
      <c r="B221" s="118"/>
      <c r="C221" s="241"/>
      <c r="D221" s="231"/>
      <c r="E221" s="241"/>
      <c r="G221" s="119"/>
    </row>
    <row r="222" spans="2:7" x14ac:dyDescent="0.25">
      <c r="B222" s="118"/>
      <c r="C222" s="241"/>
      <c r="D222" s="231"/>
      <c r="E222" s="241"/>
      <c r="G222" s="119"/>
    </row>
    <row r="223" spans="2:7" x14ac:dyDescent="0.25">
      <c r="B223" s="118"/>
      <c r="C223" s="241"/>
      <c r="D223" s="231"/>
      <c r="E223" s="241"/>
      <c r="G223" s="119"/>
    </row>
    <row r="224" spans="2:7" x14ac:dyDescent="0.25">
      <c r="B224" s="118"/>
      <c r="C224" s="241"/>
      <c r="D224" s="231"/>
      <c r="E224" s="241"/>
      <c r="G224" s="119"/>
    </row>
    <row r="225" spans="2:7" x14ac:dyDescent="0.25">
      <c r="B225" s="118"/>
      <c r="C225" s="241"/>
      <c r="D225" s="231"/>
      <c r="E225" s="241"/>
      <c r="G225" s="119"/>
    </row>
    <row r="226" spans="2:7" x14ac:dyDescent="0.25">
      <c r="B226" s="118"/>
      <c r="C226" s="241"/>
      <c r="D226" s="231"/>
      <c r="E226" s="241"/>
      <c r="G226" s="119"/>
    </row>
    <row r="227" spans="2:7" x14ac:dyDescent="0.25">
      <c r="B227" s="118"/>
      <c r="C227" s="241"/>
      <c r="D227" s="231"/>
      <c r="E227" s="241"/>
      <c r="G227" s="119"/>
    </row>
    <row r="228" spans="2:7" x14ac:dyDescent="0.25">
      <c r="B228" s="118"/>
      <c r="C228" s="241"/>
      <c r="D228" s="231"/>
      <c r="E228" s="241"/>
      <c r="G228" s="119"/>
    </row>
    <row r="229" spans="2:7" x14ac:dyDescent="0.25">
      <c r="B229" s="118"/>
      <c r="C229" s="241"/>
      <c r="D229" s="231"/>
      <c r="E229" s="241"/>
      <c r="G229" s="119"/>
    </row>
    <row r="230" spans="2:7" x14ac:dyDescent="0.25">
      <c r="B230" s="118"/>
      <c r="C230" s="241"/>
      <c r="D230" s="231"/>
      <c r="E230" s="241"/>
      <c r="G230" s="119"/>
    </row>
    <row r="231" spans="2:7" x14ac:dyDescent="0.25">
      <c r="B231" s="118"/>
      <c r="C231" s="241"/>
      <c r="D231" s="231"/>
      <c r="E231" s="241"/>
      <c r="G231" s="119"/>
    </row>
    <row r="232" spans="2:7" x14ac:dyDescent="0.25">
      <c r="B232" s="118"/>
      <c r="C232" s="241"/>
      <c r="D232" s="231"/>
      <c r="E232" s="241"/>
      <c r="G232" s="119"/>
    </row>
    <row r="233" spans="2:7" x14ac:dyDescent="0.25">
      <c r="B233" s="118"/>
      <c r="C233" s="241"/>
      <c r="D233" s="231"/>
      <c r="E233" s="241"/>
      <c r="G233" s="119"/>
    </row>
    <row r="234" spans="2:7" x14ac:dyDescent="0.25">
      <c r="B234" s="118"/>
      <c r="C234" s="241"/>
      <c r="D234" s="231"/>
      <c r="E234" s="241"/>
      <c r="G234" s="119"/>
    </row>
    <row r="235" spans="2:7" x14ac:dyDescent="0.25">
      <c r="B235" s="118"/>
      <c r="C235" s="241"/>
      <c r="D235" s="231"/>
      <c r="E235" s="241"/>
      <c r="G235" s="119"/>
    </row>
    <row r="236" spans="2:7" x14ac:dyDescent="0.25">
      <c r="B236" s="118"/>
      <c r="C236" s="241"/>
      <c r="D236" s="231"/>
      <c r="E236" s="241"/>
      <c r="G236" s="119"/>
    </row>
    <row r="237" spans="2:7" x14ac:dyDescent="0.25">
      <c r="B237" s="118"/>
      <c r="C237" s="241"/>
      <c r="D237" s="231"/>
      <c r="E237" s="241"/>
      <c r="G237" s="119"/>
    </row>
    <row r="238" spans="2:7" x14ac:dyDescent="0.25">
      <c r="B238" s="118"/>
      <c r="C238" s="241"/>
      <c r="D238" s="231"/>
      <c r="E238" s="241"/>
      <c r="G238" s="119"/>
    </row>
    <row r="239" spans="2:7" x14ac:dyDescent="0.25">
      <c r="B239" s="118"/>
      <c r="C239" s="241"/>
      <c r="D239" s="231"/>
      <c r="E239" s="241"/>
      <c r="G239" s="119"/>
    </row>
    <row r="240" spans="2:7" x14ac:dyDescent="0.25">
      <c r="B240" s="118"/>
      <c r="C240" s="241"/>
      <c r="D240" s="231"/>
      <c r="E240" s="241"/>
      <c r="G240" s="119"/>
    </row>
    <row r="241" spans="2:7" x14ac:dyDescent="0.25">
      <c r="B241" s="118"/>
      <c r="C241" s="241"/>
      <c r="D241" s="231"/>
      <c r="E241" s="241"/>
      <c r="G241" s="119"/>
    </row>
    <row r="242" spans="2:7" x14ac:dyDescent="0.25">
      <c r="B242" s="118"/>
      <c r="C242" s="241"/>
      <c r="D242" s="231"/>
      <c r="E242" s="241"/>
      <c r="G242" s="119"/>
    </row>
    <row r="243" spans="2:7" x14ac:dyDescent="0.25">
      <c r="B243" s="118"/>
      <c r="C243" s="241"/>
      <c r="D243" s="231"/>
      <c r="E243" s="241"/>
      <c r="G243" s="119"/>
    </row>
    <row r="244" spans="2:7" x14ac:dyDescent="0.25">
      <c r="B244" s="118"/>
      <c r="C244" s="241"/>
      <c r="D244" s="231"/>
      <c r="E244" s="241"/>
      <c r="G244" s="119"/>
    </row>
    <row r="245" spans="2:7" x14ac:dyDescent="0.25">
      <c r="B245" s="118"/>
      <c r="C245" s="241"/>
      <c r="D245" s="231"/>
      <c r="E245" s="241"/>
      <c r="G245" s="119"/>
    </row>
    <row r="246" spans="2:7" x14ac:dyDescent="0.25">
      <c r="B246" s="118"/>
      <c r="C246" s="241"/>
      <c r="D246" s="231"/>
      <c r="E246" s="241"/>
      <c r="G246" s="119"/>
    </row>
    <row r="247" spans="2:7" x14ac:dyDescent="0.25">
      <c r="B247" s="118"/>
      <c r="C247" s="241"/>
      <c r="D247" s="231"/>
      <c r="E247" s="241"/>
      <c r="G247" s="119"/>
    </row>
    <row r="248" spans="2:7" x14ac:dyDescent="0.25">
      <c r="B248" s="118"/>
      <c r="C248" s="241"/>
      <c r="D248" s="231"/>
      <c r="E248" s="241"/>
      <c r="G248" s="119"/>
    </row>
    <row r="249" spans="2:7" x14ac:dyDescent="0.25">
      <c r="B249" s="118"/>
      <c r="C249" s="241"/>
      <c r="D249" s="231"/>
      <c r="E249" s="241"/>
      <c r="G249" s="119"/>
    </row>
    <row r="250" spans="2:7" x14ac:dyDescent="0.25">
      <c r="B250" s="118"/>
      <c r="C250" s="241"/>
      <c r="D250" s="231"/>
      <c r="E250" s="241"/>
      <c r="G250" s="119"/>
    </row>
    <row r="251" spans="2:7" x14ac:dyDescent="0.25">
      <c r="B251" s="118"/>
      <c r="C251" s="241"/>
      <c r="D251" s="231"/>
      <c r="E251" s="241"/>
      <c r="G251" s="119"/>
    </row>
    <row r="252" spans="2:7" x14ac:dyDescent="0.25">
      <c r="B252" s="118"/>
      <c r="C252" s="241"/>
      <c r="D252" s="231"/>
      <c r="E252" s="241"/>
      <c r="G252" s="119"/>
    </row>
    <row r="253" spans="2:7" x14ac:dyDescent="0.25">
      <c r="B253" s="118"/>
      <c r="C253" s="241"/>
      <c r="D253" s="231"/>
      <c r="E253" s="241"/>
      <c r="G253" s="119"/>
    </row>
    <row r="254" spans="2:7" x14ac:dyDescent="0.25">
      <c r="B254" s="118"/>
      <c r="C254" s="241"/>
      <c r="D254" s="231"/>
      <c r="E254" s="241"/>
      <c r="G254" s="119"/>
    </row>
    <row r="255" spans="2:7" x14ac:dyDescent="0.25">
      <c r="B255" s="118"/>
      <c r="C255" s="241"/>
      <c r="D255" s="231"/>
      <c r="E255" s="241"/>
      <c r="G255" s="119"/>
    </row>
    <row r="256" spans="2:7" x14ac:dyDescent="0.25">
      <c r="B256" s="118"/>
      <c r="C256" s="241"/>
      <c r="D256" s="231"/>
      <c r="E256" s="241"/>
      <c r="G256" s="119"/>
    </row>
    <row r="257" spans="2:7" x14ac:dyDescent="0.25">
      <c r="B257" s="118"/>
      <c r="C257" s="241"/>
      <c r="D257" s="231"/>
      <c r="E257" s="241"/>
      <c r="G257" s="119"/>
    </row>
    <row r="258" spans="2:7" x14ac:dyDescent="0.25">
      <c r="B258" s="118"/>
      <c r="C258" s="241"/>
      <c r="D258" s="231"/>
      <c r="E258" s="241"/>
      <c r="G258" s="119"/>
    </row>
    <row r="259" spans="2:7" x14ac:dyDescent="0.25">
      <c r="B259" s="118"/>
      <c r="C259" s="241"/>
      <c r="D259" s="231"/>
      <c r="E259" s="241"/>
      <c r="G259" s="119"/>
    </row>
    <row r="260" spans="2:7" x14ac:dyDescent="0.25">
      <c r="B260" s="118"/>
      <c r="C260" s="241"/>
      <c r="D260" s="231"/>
      <c r="E260" s="241"/>
      <c r="G260" s="119"/>
    </row>
    <row r="261" spans="2:7" x14ac:dyDescent="0.25">
      <c r="B261" s="118"/>
      <c r="C261" s="241"/>
      <c r="D261" s="231"/>
      <c r="E261" s="241"/>
      <c r="G261" s="119"/>
    </row>
    <row r="262" spans="2:7" x14ac:dyDescent="0.25">
      <c r="B262" s="118"/>
      <c r="C262" s="241"/>
      <c r="D262" s="231"/>
      <c r="E262" s="241"/>
      <c r="G262" s="119"/>
    </row>
    <row r="263" spans="2:7" x14ac:dyDescent="0.25">
      <c r="B263" s="118"/>
      <c r="C263" s="241"/>
      <c r="D263" s="231"/>
      <c r="E263" s="241"/>
      <c r="G263" s="119"/>
    </row>
    <row r="264" spans="2:7" x14ac:dyDescent="0.25">
      <c r="B264" s="118"/>
      <c r="C264" s="241"/>
      <c r="D264" s="231"/>
      <c r="E264" s="241"/>
      <c r="G264" s="119"/>
    </row>
    <row r="265" spans="2:7" x14ac:dyDescent="0.25">
      <c r="B265" s="118"/>
      <c r="C265" s="241"/>
      <c r="D265" s="231"/>
      <c r="E265" s="241"/>
      <c r="G265" s="119"/>
    </row>
    <row r="266" spans="2:7" x14ac:dyDescent="0.25">
      <c r="B266" s="118"/>
      <c r="C266" s="241"/>
      <c r="D266" s="231"/>
      <c r="E266" s="241"/>
      <c r="G266" s="119"/>
    </row>
    <row r="267" spans="2:7" x14ac:dyDescent="0.25">
      <c r="B267" s="118"/>
      <c r="C267" s="241"/>
      <c r="D267" s="231"/>
      <c r="E267" s="241"/>
      <c r="G267" s="119"/>
    </row>
    <row r="268" spans="2:7" x14ac:dyDescent="0.25">
      <c r="B268" s="118"/>
      <c r="C268" s="241"/>
      <c r="D268" s="231"/>
      <c r="E268" s="241"/>
      <c r="G268" s="119"/>
    </row>
    <row r="269" spans="2:7" x14ac:dyDescent="0.25">
      <c r="B269" s="118"/>
      <c r="C269" s="241"/>
      <c r="D269" s="231"/>
      <c r="E269" s="241"/>
      <c r="G269" s="119"/>
    </row>
    <row r="270" spans="2:7" x14ac:dyDescent="0.25">
      <c r="B270" s="118"/>
      <c r="C270" s="241"/>
      <c r="D270" s="231"/>
      <c r="E270" s="241"/>
      <c r="G270" s="119"/>
    </row>
    <row r="271" spans="2:7" x14ac:dyDescent="0.25">
      <c r="B271" s="118"/>
      <c r="C271" s="241"/>
      <c r="D271" s="231"/>
      <c r="E271" s="241"/>
      <c r="G271" s="119"/>
    </row>
    <row r="272" spans="2:7" x14ac:dyDescent="0.25">
      <c r="B272" s="118"/>
      <c r="C272" s="241"/>
      <c r="D272" s="231"/>
      <c r="E272" s="241"/>
      <c r="G272" s="119"/>
    </row>
    <row r="273" spans="2:7" x14ac:dyDescent="0.25">
      <c r="B273" s="118"/>
      <c r="C273" s="241"/>
      <c r="D273" s="231"/>
      <c r="E273" s="241"/>
      <c r="G273" s="119"/>
    </row>
    <row r="274" spans="2:7" x14ac:dyDescent="0.25">
      <c r="B274" s="118"/>
      <c r="C274" s="241"/>
      <c r="D274" s="231"/>
      <c r="E274" s="241"/>
      <c r="G274" s="119"/>
    </row>
    <row r="275" spans="2:7" x14ac:dyDescent="0.25">
      <c r="B275" s="118"/>
      <c r="C275" s="241"/>
      <c r="D275" s="231"/>
      <c r="E275" s="241"/>
      <c r="G275" s="119"/>
    </row>
    <row r="276" spans="2:7" x14ac:dyDescent="0.25">
      <c r="B276" s="118"/>
      <c r="C276" s="241"/>
      <c r="D276" s="231"/>
      <c r="E276" s="241"/>
      <c r="G276" s="119"/>
    </row>
    <row r="277" spans="2:7" x14ac:dyDescent="0.25">
      <c r="B277" s="118"/>
      <c r="C277" s="241"/>
      <c r="D277" s="231"/>
      <c r="E277" s="241"/>
      <c r="G277" s="119"/>
    </row>
    <row r="278" spans="2:7" x14ac:dyDescent="0.25">
      <c r="B278" s="118"/>
      <c r="C278" s="241"/>
      <c r="D278" s="231"/>
      <c r="E278" s="241"/>
      <c r="G278" s="119"/>
    </row>
    <row r="279" spans="2:7" x14ac:dyDescent="0.25">
      <c r="B279" s="118"/>
      <c r="C279" s="241"/>
      <c r="D279" s="231"/>
      <c r="E279" s="241"/>
      <c r="G279" s="119"/>
    </row>
    <row r="280" spans="2:7" x14ac:dyDescent="0.25">
      <c r="B280" s="118"/>
      <c r="C280" s="241"/>
      <c r="D280" s="231"/>
      <c r="E280" s="241"/>
      <c r="G280" s="119"/>
    </row>
    <row r="281" spans="2:7" x14ac:dyDescent="0.25">
      <c r="B281" s="118"/>
      <c r="C281" s="241"/>
      <c r="D281" s="231"/>
      <c r="E281" s="241"/>
      <c r="G281" s="119"/>
    </row>
    <row r="282" spans="2:7" x14ac:dyDescent="0.25">
      <c r="B282" s="118"/>
      <c r="C282" s="241"/>
      <c r="D282" s="231"/>
      <c r="E282" s="241"/>
      <c r="G282" s="119"/>
    </row>
    <row r="283" spans="2:7" x14ac:dyDescent="0.25">
      <c r="B283" s="118"/>
      <c r="C283" s="241"/>
      <c r="D283" s="231"/>
      <c r="E283" s="241"/>
      <c r="G283" s="119"/>
    </row>
    <row r="284" spans="2:7" x14ac:dyDescent="0.25">
      <c r="B284" s="118"/>
      <c r="C284" s="241"/>
      <c r="D284" s="231"/>
      <c r="E284" s="241"/>
      <c r="G284" s="119"/>
    </row>
    <row r="285" spans="2:7" x14ac:dyDescent="0.25">
      <c r="B285" s="118"/>
      <c r="C285" s="241"/>
      <c r="D285" s="231"/>
      <c r="E285" s="241"/>
      <c r="G285" s="119"/>
    </row>
    <row r="286" spans="2:7" x14ac:dyDescent="0.25">
      <c r="B286" s="118"/>
      <c r="C286" s="241"/>
      <c r="D286" s="231"/>
      <c r="E286" s="241"/>
      <c r="G286" s="119"/>
    </row>
    <row r="287" spans="2:7" x14ac:dyDescent="0.25">
      <c r="B287" s="118"/>
      <c r="C287" s="241"/>
      <c r="D287" s="231"/>
      <c r="E287" s="241"/>
      <c r="G287" s="119"/>
    </row>
    <row r="288" spans="2:7" x14ac:dyDescent="0.25">
      <c r="B288" s="118"/>
      <c r="C288" s="241"/>
      <c r="D288" s="231"/>
      <c r="E288" s="241"/>
      <c r="G288" s="119"/>
    </row>
    <row r="289" spans="2:7" x14ac:dyDescent="0.25">
      <c r="B289" s="118"/>
      <c r="C289" s="241"/>
      <c r="D289" s="231"/>
      <c r="E289" s="241"/>
      <c r="G289" s="119"/>
    </row>
    <row r="290" spans="2:7" x14ac:dyDescent="0.25">
      <c r="B290" s="118"/>
      <c r="C290" s="241"/>
      <c r="D290" s="231"/>
      <c r="E290" s="241"/>
      <c r="G290" s="119"/>
    </row>
    <row r="291" spans="2:7" x14ac:dyDescent="0.25">
      <c r="B291" s="118"/>
      <c r="C291" s="241"/>
      <c r="D291" s="231"/>
      <c r="E291" s="241"/>
      <c r="G291" s="119"/>
    </row>
    <row r="292" spans="2:7" x14ac:dyDescent="0.25">
      <c r="B292" s="118"/>
      <c r="C292" s="241"/>
      <c r="D292" s="231"/>
      <c r="E292" s="241"/>
      <c r="G292" s="119"/>
    </row>
    <row r="293" spans="2:7" x14ac:dyDescent="0.25">
      <c r="B293" s="118"/>
      <c r="C293" s="241"/>
      <c r="D293" s="231"/>
      <c r="E293" s="241"/>
      <c r="G293" s="119"/>
    </row>
    <row r="294" spans="2:7" x14ac:dyDescent="0.25">
      <c r="B294" s="118"/>
      <c r="C294" s="241"/>
      <c r="D294" s="231"/>
      <c r="E294" s="241"/>
      <c r="G294" s="119"/>
    </row>
    <row r="295" spans="2:7" x14ac:dyDescent="0.25">
      <c r="B295" s="118"/>
      <c r="C295" s="241"/>
      <c r="D295" s="231"/>
      <c r="E295" s="241"/>
      <c r="G295" s="119"/>
    </row>
    <row r="296" spans="2:7" x14ac:dyDescent="0.25">
      <c r="B296" s="118"/>
      <c r="C296" s="241"/>
      <c r="D296" s="231"/>
      <c r="E296" s="241"/>
      <c r="G296" s="119"/>
    </row>
    <row r="297" spans="2:7" x14ac:dyDescent="0.25">
      <c r="B297" s="118"/>
      <c r="C297" s="241"/>
      <c r="D297" s="231"/>
      <c r="E297" s="241"/>
      <c r="G297" s="119"/>
    </row>
    <row r="298" spans="2:7" x14ac:dyDescent="0.25">
      <c r="B298" s="118"/>
      <c r="C298" s="241"/>
      <c r="D298" s="231"/>
      <c r="E298" s="241"/>
      <c r="G298" s="119"/>
    </row>
    <row r="299" spans="2:7" x14ac:dyDescent="0.25">
      <c r="B299" s="118"/>
      <c r="C299" s="241"/>
      <c r="D299" s="231"/>
      <c r="E299" s="241"/>
      <c r="G299" s="119"/>
    </row>
    <row r="300" spans="2:7" x14ac:dyDescent="0.25">
      <c r="B300" s="118"/>
      <c r="C300" s="241"/>
      <c r="D300" s="231"/>
      <c r="E300" s="241"/>
      <c r="G300" s="119"/>
    </row>
    <row r="301" spans="2:7" x14ac:dyDescent="0.25">
      <c r="B301" s="118"/>
      <c r="C301" s="241"/>
      <c r="D301" s="231"/>
      <c r="E301" s="241"/>
      <c r="G301" s="119"/>
    </row>
    <row r="302" spans="2:7" x14ac:dyDescent="0.25">
      <c r="B302" s="118"/>
      <c r="C302" s="241"/>
      <c r="D302" s="231"/>
      <c r="E302" s="241"/>
      <c r="G302" s="119"/>
    </row>
    <row r="303" spans="2:7" x14ac:dyDescent="0.25">
      <c r="B303" s="118"/>
      <c r="C303" s="241"/>
      <c r="D303" s="231"/>
      <c r="E303" s="241"/>
      <c r="G303" s="119"/>
    </row>
    <row r="304" spans="2:7" x14ac:dyDescent="0.25">
      <c r="B304" s="118"/>
      <c r="C304" s="241"/>
      <c r="D304" s="231"/>
      <c r="E304" s="241"/>
      <c r="G304" s="119"/>
    </row>
    <row r="305" spans="2:7" x14ac:dyDescent="0.25">
      <c r="B305" s="118"/>
      <c r="C305" s="241"/>
      <c r="D305" s="231"/>
      <c r="E305" s="241"/>
      <c r="G305" s="119"/>
    </row>
    <row r="306" spans="2:7" x14ac:dyDescent="0.25">
      <c r="B306" s="118"/>
      <c r="C306" s="241"/>
      <c r="D306" s="231"/>
      <c r="E306" s="241"/>
      <c r="G306" s="119"/>
    </row>
    <row r="307" spans="2:7" x14ac:dyDescent="0.25">
      <c r="B307" s="118"/>
      <c r="C307" s="241"/>
      <c r="D307" s="231"/>
      <c r="E307" s="241"/>
      <c r="G307" s="119"/>
    </row>
    <row r="308" spans="2:7" x14ac:dyDescent="0.25">
      <c r="B308" s="118"/>
      <c r="C308" s="241"/>
      <c r="D308" s="231"/>
      <c r="E308" s="241"/>
      <c r="G308" s="119"/>
    </row>
    <row r="309" spans="2:7" x14ac:dyDescent="0.25">
      <c r="B309" s="118"/>
      <c r="C309" s="241"/>
      <c r="D309" s="231"/>
      <c r="E309" s="241"/>
      <c r="G309" s="119"/>
    </row>
    <row r="310" spans="2:7" x14ac:dyDescent="0.25">
      <c r="B310" s="118"/>
      <c r="C310" s="241"/>
      <c r="D310" s="231"/>
      <c r="E310" s="241"/>
      <c r="G310" s="119"/>
    </row>
    <row r="311" spans="2:7" x14ac:dyDescent="0.25">
      <c r="B311" s="118"/>
      <c r="C311" s="241"/>
      <c r="D311" s="231"/>
      <c r="E311" s="241"/>
      <c r="G311" s="119"/>
    </row>
    <row r="312" spans="2:7" x14ac:dyDescent="0.25">
      <c r="B312" s="118"/>
      <c r="C312" s="241"/>
      <c r="D312" s="231"/>
      <c r="E312" s="241"/>
      <c r="G312" s="119"/>
    </row>
    <row r="313" spans="2:7" x14ac:dyDescent="0.25">
      <c r="B313" s="118"/>
      <c r="C313" s="241"/>
      <c r="D313" s="231"/>
      <c r="E313" s="241"/>
      <c r="G313" s="119"/>
    </row>
    <row r="314" spans="2:7" x14ac:dyDescent="0.25">
      <c r="B314" s="118"/>
      <c r="C314" s="241"/>
      <c r="D314" s="231"/>
      <c r="E314" s="241"/>
      <c r="G314" s="119"/>
    </row>
    <row r="315" spans="2:7" x14ac:dyDescent="0.25">
      <c r="B315" s="118"/>
      <c r="C315" s="241"/>
      <c r="D315" s="231"/>
      <c r="E315" s="241"/>
      <c r="G315" s="119"/>
    </row>
    <row r="316" spans="2:7" x14ac:dyDescent="0.25">
      <c r="B316" s="118"/>
      <c r="C316" s="241"/>
      <c r="D316" s="231"/>
      <c r="E316" s="241"/>
      <c r="G316" s="119"/>
    </row>
    <row r="317" spans="2:7" x14ac:dyDescent="0.25">
      <c r="B317" s="118"/>
      <c r="C317" s="241"/>
      <c r="D317" s="231"/>
      <c r="E317" s="241"/>
      <c r="G317" s="119"/>
    </row>
    <row r="318" spans="2:7" x14ac:dyDescent="0.25">
      <c r="B318" s="118"/>
      <c r="C318" s="241"/>
      <c r="D318" s="231"/>
      <c r="E318" s="241"/>
      <c r="G318" s="119"/>
    </row>
    <row r="319" spans="2:7" x14ac:dyDescent="0.25">
      <c r="B319" s="118"/>
      <c r="C319" s="241"/>
      <c r="D319" s="231"/>
      <c r="E319" s="241"/>
      <c r="G319" s="119"/>
    </row>
    <row r="320" spans="2:7" x14ac:dyDescent="0.25">
      <c r="B320" s="118"/>
      <c r="C320" s="241"/>
      <c r="D320" s="231"/>
      <c r="E320" s="241"/>
      <c r="G320" s="119"/>
    </row>
    <row r="321" spans="2:7" x14ac:dyDescent="0.25">
      <c r="B321" s="118"/>
      <c r="C321" s="241"/>
      <c r="D321" s="231"/>
      <c r="E321" s="241"/>
      <c r="G321" s="119"/>
    </row>
    <row r="322" spans="2:7" x14ac:dyDescent="0.25">
      <c r="B322" s="118"/>
      <c r="C322" s="241"/>
      <c r="D322" s="231"/>
      <c r="E322" s="241"/>
      <c r="G322" s="119"/>
    </row>
    <row r="323" spans="2:7" x14ac:dyDescent="0.25">
      <c r="B323" s="118"/>
      <c r="C323" s="241"/>
      <c r="D323" s="231"/>
      <c r="E323" s="241"/>
      <c r="G323" s="119"/>
    </row>
    <row r="324" spans="2:7" x14ac:dyDescent="0.25">
      <c r="B324" s="118"/>
      <c r="C324" s="241"/>
      <c r="D324" s="231"/>
      <c r="E324" s="241"/>
      <c r="G324" s="119"/>
    </row>
    <row r="325" spans="2:7" x14ac:dyDescent="0.25">
      <c r="B325" s="118"/>
      <c r="C325" s="241"/>
      <c r="D325" s="231"/>
      <c r="E325" s="241"/>
      <c r="G325" s="119"/>
    </row>
    <row r="326" spans="2:7" x14ac:dyDescent="0.25">
      <c r="B326" s="118"/>
      <c r="C326" s="241"/>
      <c r="D326" s="231"/>
      <c r="E326" s="241"/>
      <c r="G326" s="119"/>
    </row>
    <row r="327" spans="2:7" x14ac:dyDescent="0.25">
      <c r="B327" s="118"/>
      <c r="C327" s="241"/>
      <c r="D327" s="231"/>
      <c r="E327" s="241"/>
      <c r="G327" s="119"/>
    </row>
    <row r="328" spans="2:7" x14ac:dyDescent="0.25">
      <c r="B328" s="118"/>
      <c r="C328" s="241"/>
      <c r="D328" s="231"/>
      <c r="E328" s="241"/>
      <c r="G328" s="119"/>
    </row>
    <row r="329" spans="2:7" x14ac:dyDescent="0.25">
      <c r="B329" s="118"/>
      <c r="C329" s="241"/>
      <c r="D329" s="231"/>
      <c r="E329" s="241"/>
      <c r="G329" s="119"/>
    </row>
    <row r="330" spans="2:7" x14ac:dyDescent="0.25">
      <c r="B330" s="118"/>
      <c r="C330" s="241"/>
      <c r="D330" s="231"/>
      <c r="E330" s="241"/>
      <c r="G330" s="119"/>
    </row>
    <row r="331" spans="2:7" x14ac:dyDescent="0.25">
      <c r="B331" s="118"/>
      <c r="C331" s="241"/>
      <c r="D331" s="231"/>
      <c r="E331" s="241"/>
      <c r="G331" s="119"/>
    </row>
    <row r="332" spans="2:7" x14ac:dyDescent="0.25">
      <c r="B332" s="118"/>
      <c r="C332" s="241"/>
      <c r="D332" s="231"/>
      <c r="E332" s="241"/>
      <c r="G332" s="119"/>
    </row>
    <row r="333" spans="2:7" x14ac:dyDescent="0.25">
      <c r="B333" s="118"/>
      <c r="C333" s="241"/>
      <c r="D333" s="231"/>
      <c r="E333" s="241"/>
      <c r="G333" s="119"/>
    </row>
    <row r="334" spans="2:7" x14ac:dyDescent="0.25">
      <c r="B334" s="118"/>
      <c r="C334" s="241"/>
      <c r="D334" s="231"/>
      <c r="E334" s="241"/>
      <c r="G334" s="119"/>
    </row>
    <row r="335" spans="2:7" x14ac:dyDescent="0.25">
      <c r="B335" s="118"/>
      <c r="C335" s="241"/>
      <c r="D335" s="231"/>
      <c r="E335" s="241"/>
      <c r="G335" s="119"/>
    </row>
    <row r="336" spans="2:7" x14ac:dyDescent="0.25">
      <c r="B336" s="118"/>
      <c r="C336" s="241"/>
      <c r="D336" s="231"/>
      <c r="E336" s="241"/>
      <c r="G336" s="119"/>
    </row>
    <row r="337" spans="2:7" x14ac:dyDescent="0.25">
      <c r="B337" s="118"/>
      <c r="C337" s="241"/>
      <c r="D337" s="231"/>
      <c r="E337" s="241"/>
      <c r="G337" s="119"/>
    </row>
    <row r="338" spans="2:7" x14ac:dyDescent="0.25">
      <c r="B338" s="118"/>
      <c r="C338" s="241"/>
      <c r="D338" s="231"/>
      <c r="E338" s="241"/>
      <c r="G338" s="119"/>
    </row>
    <row r="339" spans="2:7" x14ac:dyDescent="0.25">
      <c r="B339" s="118"/>
      <c r="C339" s="241"/>
      <c r="D339" s="231"/>
      <c r="E339" s="241"/>
      <c r="G339" s="119"/>
    </row>
    <row r="340" spans="2:7" x14ac:dyDescent="0.25">
      <c r="B340" s="118"/>
      <c r="C340" s="241"/>
      <c r="D340" s="231"/>
      <c r="E340" s="241"/>
      <c r="G340" s="119"/>
    </row>
    <row r="341" spans="2:7" x14ac:dyDescent="0.25">
      <c r="B341" s="118"/>
      <c r="C341" s="241"/>
      <c r="D341" s="231"/>
      <c r="E341" s="241"/>
      <c r="G341" s="119"/>
    </row>
    <row r="342" spans="2:7" x14ac:dyDescent="0.25">
      <c r="B342" s="118"/>
      <c r="C342" s="241"/>
      <c r="D342" s="231"/>
      <c r="E342" s="241"/>
      <c r="G342" s="119"/>
    </row>
    <row r="343" spans="2:7" x14ac:dyDescent="0.25">
      <c r="B343" s="118"/>
      <c r="C343" s="241"/>
      <c r="D343" s="231"/>
      <c r="E343" s="241"/>
      <c r="G343" s="119"/>
    </row>
    <row r="344" spans="2:7" x14ac:dyDescent="0.25">
      <c r="B344" s="118"/>
      <c r="C344" s="241"/>
      <c r="D344" s="231"/>
      <c r="E344" s="241"/>
      <c r="G344" s="119"/>
    </row>
    <row r="345" spans="2:7" x14ac:dyDescent="0.25">
      <c r="B345" s="118"/>
      <c r="C345" s="241"/>
      <c r="D345" s="231"/>
      <c r="E345" s="241"/>
      <c r="G345" s="119"/>
    </row>
    <row r="346" spans="2:7" x14ac:dyDescent="0.25">
      <c r="B346" s="118"/>
      <c r="C346" s="241"/>
      <c r="D346" s="231"/>
      <c r="E346" s="241"/>
      <c r="G346" s="119"/>
    </row>
    <row r="347" spans="2:7" x14ac:dyDescent="0.25">
      <c r="B347" s="118"/>
      <c r="C347" s="241"/>
      <c r="D347" s="231"/>
      <c r="E347" s="241"/>
      <c r="G347" s="119"/>
    </row>
    <row r="348" spans="2:7" x14ac:dyDescent="0.25">
      <c r="B348" s="118"/>
      <c r="C348" s="241"/>
      <c r="D348" s="231"/>
      <c r="E348" s="241"/>
      <c r="G348" s="119"/>
    </row>
    <row r="349" spans="2:7" x14ac:dyDescent="0.25">
      <c r="B349" s="118"/>
      <c r="C349" s="241"/>
      <c r="D349" s="231"/>
      <c r="E349" s="241"/>
      <c r="G349" s="119"/>
    </row>
    <row r="350" spans="2:7" x14ac:dyDescent="0.25">
      <c r="B350" s="118"/>
      <c r="C350" s="241"/>
      <c r="D350" s="231"/>
      <c r="E350" s="241"/>
      <c r="G350" s="119"/>
    </row>
    <row r="351" spans="2:7" x14ac:dyDescent="0.25">
      <c r="B351" s="118"/>
      <c r="C351" s="241"/>
      <c r="D351" s="231"/>
      <c r="E351" s="241"/>
      <c r="G351" s="119"/>
    </row>
    <row r="352" spans="2:7" x14ac:dyDescent="0.25">
      <c r="B352" s="118"/>
      <c r="C352" s="241"/>
      <c r="D352" s="231"/>
      <c r="E352" s="241"/>
      <c r="G352" s="119"/>
    </row>
    <row r="353" spans="2:7" x14ac:dyDescent="0.25">
      <c r="B353" s="118"/>
      <c r="C353" s="241"/>
      <c r="D353" s="231"/>
      <c r="E353" s="241"/>
      <c r="G353" s="119"/>
    </row>
    <row r="354" spans="2:7" x14ac:dyDescent="0.25">
      <c r="B354" s="118"/>
      <c r="C354" s="241"/>
      <c r="D354" s="231"/>
      <c r="E354" s="241"/>
      <c r="G354" s="119"/>
    </row>
    <row r="355" spans="2:7" x14ac:dyDescent="0.25">
      <c r="B355" s="118"/>
      <c r="C355" s="241"/>
      <c r="D355" s="231"/>
      <c r="E355" s="241"/>
      <c r="G355" s="119"/>
    </row>
    <row r="356" spans="2:7" x14ac:dyDescent="0.25">
      <c r="B356" s="118"/>
      <c r="C356" s="241"/>
      <c r="D356" s="231"/>
      <c r="E356" s="241"/>
      <c r="G356" s="119"/>
    </row>
    <row r="357" spans="2:7" x14ac:dyDescent="0.25">
      <c r="B357" s="118"/>
      <c r="C357" s="241"/>
      <c r="D357" s="231"/>
      <c r="E357" s="241"/>
      <c r="G357" s="119"/>
    </row>
    <row r="358" spans="2:7" x14ac:dyDescent="0.25">
      <c r="B358" s="118"/>
      <c r="C358" s="241"/>
      <c r="D358" s="231"/>
      <c r="E358" s="241"/>
      <c r="G358" s="119"/>
    </row>
    <row r="359" spans="2:7" x14ac:dyDescent="0.25">
      <c r="B359" s="118"/>
      <c r="C359" s="241"/>
      <c r="D359" s="231"/>
      <c r="E359" s="241"/>
      <c r="G359" s="119"/>
    </row>
    <row r="360" spans="2:7" x14ac:dyDescent="0.25">
      <c r="B360" s="118"/>
      <c r="C360" s="241"/>
      <c r="D360" s="231"/>
      <c r="E360" s="241"/>
      <c r="G360" s="119"/>
    </row>
    <row r="361" spans="2:7" x14ac:dyDescent="0.25">
      <c r="B361" s="118"/>
      <c r="C361" s="241"/>
      <c r="D361" s="231"/>
      <c r="E361" s="241"/>
      <c r="G361" s="119"/>
    </row>
    <row r="362" spans="2:7" x14ac:dyDescent="0.25">
      <c r="B362" s="118"/>
      <c r="C362" s="241"/>
      <c r="D362" s="231"/>
      <c r="E362" s="241"/>
      <c r="G362" s="119"/>
    </row>
    <row r="363" spans="2:7" x14ac:dyDescent="0.25">
      <c r="B363" s="118"/>
      <c r="C363" s="241"/>
      <c r="D363" s="231"/>
      <c r="E363" s="241"/>
      <c r="G363" s="119"/>
    </row>
    <row r="364" spans="2:7" x14ac:dyDescent="0.25">
      <c r="B364" s="118"/>
      <c r="C364" s="241"/>
      <c r="D364" s="231"/>
      <c r="E364" s="241"/>
      <c r="G364" s="119"/>
    </row>
    <row r="365" spans="2:7" x14ac:dyDescent="0.25">
      <c r="B365" s="118"/>
      <c r="C365" s="241"/>
      <c r="D365" s="231"/>
      <c r="E365" s="241"/>
      <c r="G365" s="119"/>
    </row>
    <row r="366" spans="2:7" x14ac:dyDescent="0.25">
      <c r="B366" s="118"/>
      <c r="C366" s="241"/>
      <c r="D366" s="231"/>
      <c r="E366" s="241"/>
      <c r="G366" s="119"/>
    </row>
    <row r="367" spans="2:7" x14ac:dyDescent="0.25">
      <c r="B367" s="118"/>
      <c r="C367" s="241"/>
      <c r="D367" s="231"/>
      <c r="E367" s="241"/>
      <c r="G367" s="119"/>
    </row>
    <row r="368" spans="2:7" x14ac:dyDescent="0.25">
      <c r="B368" s="118"/>
      <c r="C368" s="241"/>
      <c r="D368" s="231"/>
      <c r="E368" s="241"/>
      <c r="G368" s="119"/>
    </row>
    <row r="369" spans="2:7" x14ac:dyDescent="0.25">
      <c r="B369" s="118"/>
      <c r="C369" s="241"/>
      <c r="D369" s="231"/>
      <c r="E369" s="241"/>
      <c r="G369" s="119"/>
    </row>
    <row r="370" spans="2:7" x14ac:dyDescent="0.25">
      <c r="B370" s="118"/>
      <c r="C370" s="241"/>
      <c r="D370" s="231"/>
      <c r="E370" s="241"/>
      <c r="G370" s="119"/>
    </row>
    <row r="371" spans="2:7" x14ac:dyDescent="0.25">
      <c r="B371" s="118"/>
      <c r="C371" s="241"/>
      <c r="D371" s="231"/>
      <c r="E371" s="241"/>
      <c r="G371" s="119"/>
    </row>
    <row r="372" spans="2:7" x14ac:dyDescent="0.25">
      <c r="B372" s="118"/>
      <c r="C372" s="241"/>
      <c r="D372" s="231"/>
      <c r="E372" s="241"/>
      <c r="G372" s="119"/>
    </row>
    <row r="373" spans="2:7" x14ac:dyDescent="0.25">
      <c r="B373" s="118"/>
      <c r="C373" s="241"/>
      <c r="D373" s="231"/>
      <c r="E373" s="241"/>
      <c r="G373" s="119"/>
    </row>
    <row r="374" spans="2:7" x14ac:dyDescent="0.25">
      <c r="B374" s="118"/>
      <c r="C374" s="241"/>
      <c r="D374" s="231"/>
      <c r="E374" s="241"/>
      <c r="G374" s="119"/>
    </row>
    <row r="375" spans="2:7" x14ac:dyDescent="0.25">
      <c r="B375" s="118"/>
      <c r="C375" s="241"/>
      <c r="D375" s="231"/>
      <c r="E375" s="241"/>
      <c r="G375" s="119"/>
    </row>
    <row r="376" spans="2:7" x14ac:dyDescent="0.25">
      <c r="B376" s="118"/>
      <c r="C376" s="241"/>
      <c r="D376" s="231"/>
      <c r="E376" s="241"/>
      <c r="G376" s="119"/>
    </row>
    <row r="377" spans="2:7" x14ac:dyDescent="0.25">
      <c r="B377" s="118"/>
      <c r="C377" s="241"/>
      <c r="D377" s="231"/>
      <c r="E377" s="241"/>
      <c r="G377" s="119"/>
    </row>
    <row r="378" spans="2:7" x14ac:dyDescent="0.25">
      <c r="B378" s="118"/>
      <c r="C378" s="241"/>
      <c r="D378" s="231"/>
      <c r="E378" s="241"/>
      <c r="G378" s="119"/>
    </row>
    <row r="379" spans="2:7" x14ac:dyDescent="0.25">
      <c r="B379" s="118"/>
      <c r="C379" s="241"/>
      <c r="D379" s="231"/>
      <c r="E379" s="241"/>
      <c r="G379" s="119"/>
    </row>
    <row r="380" spans="2:7" x14ac:dyDescent="0.25">
      <c r="B380" s="118"/>
      <c r="C380" s="241"/>
      <c r="D380" s="231"/>
      <c r="E380" s="241"/>
      <c r="G380" s="119"/>
    </row>
    <row r="381" spans="2:7" x14ac:dyDescent="0.25">
      <c r="B381" s="118"/>
      <c r="C381" s="241"/>
      <c r="D381" s="231"/>
      <c r="E381" s="241"/>
      <c r="G381" s="119"/>
    </row>
    <row r="382" spans="2:7" x14ac:dyDescent="0.25">
      <c r="B382" s="118"/>
      <c r="C382" s="241"/>
      <c r="D382" s="231"/>
      <c r="E382" s="241"/>
      <c r="G382" s="119"/>
    </row>
    <row r="383" spans="2:7" x14ac:dyDescent="0.25">
      <c r="B383" s="118"/>
      <c r="C383" s="241"/>
      <c r="D383" s="231"/>
      <c r="E383" s="241"/>
      <c r="G383" s="119"/>
    </row>
    <row r="384" spans="2:7" x14ac:dyDescent="0.25">
      <c r="B384" s="118"/>
      <c r="C384" s="241"/>
      <c r="D384" s="231"/>
      <c r="E384" s="241"/>
      <c r="G384" s="119"/>
    </row>
    <row r="385" spans="2:7" x14ac:dyDescent="0.25">
      <c r="B385" s="118"/>
      <c r="C385" s="241"/>
      <c r="D385" s="231"/>
      <c r="E385" s="241"/>
      <c r="G385" s="119"/>
    </row>
    <row r="386" spans="2:7" x14ac:dyDescent="0.25">
      <c r="B386" s="118"/>
      <c r="C386" s="241"/>
      <c r="D386" s="231"/>
      <c r="E386" s="241"/>
      <c r="G386" s="119"/>
    </row>
    <row r="387" spans="2:7" x14ac:dyDescent="0.25">
      <c r="B387" s="118"/>
      <c r="C387" s="241"/>
      <c r="D387" s="231"/>
      <c r="E387" s="241"/>
      <c r="G387" s="119"/>
    </row>
    <row r="388" spans="2:7" x14ac:dyDescent="0.25">
      <c r="B388" s="118"/>
      <c r="C388" s="241"/>
      <c r="D388" s="231"/>
      <c r="E388" s="241"/>
      <c r="G388" s="119"/>
    </row>
    <row r="389" spans="2:7" x14ac:dyDescent="0.25">
      <c r="B389" s="118"/>
      <c r="C389" s="241"/>
      <c r="D389" s="231"/>
      <c r="E389" s="241"/>
      <c r="G389" s="119"/>
    </row>
    <row r="390" spans="2:7" x14ac:dyDescent="0.25">
      <c r="B390" s="118"/>
      <c r="C390" s="241"/>
      <c r="D390" s="231"/>
      <c r="E390" s="241"/>
      <c r="G390" s="119"/>
    </row>
    <row r="391" spans="2:7" x14ac:dyDescent="0.25">
      <c r="B391" s="118"/>
      <c r="C391" s="241"/>
      <c r="D391" s="231"/>
      <c r="E391" s="241"/>
      <c r="G391" s="119"/>
    </row>
    <row r="392" spans="2:7" x14ac:dyDescent="0.25">
      <c r="B392" s="118"/>
      <c r="C392" s="241"/>
      <c r="D392" s="231"/>
      <c r="E392" s="241"/>
      <c r="G392" s="119"/>
    </row>
    <row r="393" spans="2:7" x14ac:dyDescent="0.25">
      <c r="B393" s="118"/>
      <c r="C393" s="241"/>
      <c r="D393" s="231"/>
      <c r="E393" s="241"/>
      <c r="G393" s="119"/>
    </row>
    <row r="394" spans="2:7" x14ac:dyDescent="0.25">
      <c r="B394" s="118"/>
      <c r="C394" s="241"/>
      <c r="D394" s="231"/>
      <c r="E394" s="241"/>
      <c r="G394" s="119"/>
    </row>
    <row r="395" spans="2:7" x14ac:dyDescent="0.25">
      <c r="B395" s="118"/>
      <c r="C395" s="241"/>
      <c r="D395" s="231"/>
      <c r="E395" s="241"/>
      <c r="G395" s="119"/>
    </row>
    <row r="396" spans="2:7" x14ac:dyDescent="0.25">
      <c r="B396" s="118"/>
      <c r="C396" s="241"/>
      <c r="D396" s="231"/>
      <c r="E396" s="241"/>
      <c r="G396" s="119"/>
    </row>
    <row r="397" spans="2:7" x14ac:dyDescent="0.25">
      <c r="B397" s="118"/>
      <c r="C397" s="241"/>
      <c r="D397" s="231"/>
      <c r="E397" s="241"/>
      <c r="G397" s="119"/>
    </row>
    <row r="398" spans="2:7" x14ac:dyDescent="0.25">
      <c r="B398" s="118"/>
      <c r="C398" s="241"/>
      <c r="D398" s="231"/>
      <c r="E398" s="241"/>
      <c r="G398" s="119"/>
    </row>
    <row r="399" spans="2:7" x14ac:dyDescent="0.25">
      <c r="B399" s="118"/>
      <c r="C399" s="241"/>
      <c r="D399" s="231"/>
      <c r="E399" s="241"/>
      <c r="G399" s="119"/>
    </row>
    <row r="400" spans="2:7" x14ac:dyDescent="0.25">
      <c r="B400" s="118"/>
      <c r="C400" s="241"/>
      <c r="D400" s="231"/>
      <c r="E400" s="241"/>
      <c r="G400" s="119"/>
    </row>
    <row r="401" spans="2:7" x14ac:dyDescent="0.25">
      <c r="B401" s="118"/>
      <c r="C401" s="241"/>
      <c r="D401" s="231"/>
      <c r="E401" s="241"/>
      <c r="G401" s="119"/>
    </row>
    <row r="402" spans="2:7" x14ac:dyDescent="0.25">
      <c r="B402" s="118"/>
      <c r="C402" s="241"/>
      <c r="D402" s="231"/>
      <c r="E402" s="241"/>
      <c r="G402" s="119"/>
    </row>
    <row r="403" spans="2:7" x14ac:dyDescent="0.25">
      <c r="B403" s="118"/>
      <c r="C403" s="241"/>
      <c r="D403" s="231"/>
      <c r="E403" s="241"/>
      <c r="G403" s="119"/>
    </row>
    <row r="404" spans="2:7" x14ac:dyDescent="0.25">
      <c r="B404" s="118"/>
      <c r="C404" s="241"/>
      <c r="D404" s="231"/>
      <c r="E404" s="241"/>
      <c r="G404" s="119"/>
    </row>
    <row r="405" spans="2:7" x14ac:dyDescent="0.25">
      <c r="B405" s="118"/>
      <c r="C405" s="241"/>
      <c r="D405" s="231"/>
      <c r="E405" s="241"/>
      <c r="G405" s="119"/>
    </row>
    <row r="406" spans="2:7" x14ac:dyDescent="0.25">
      <c r="B406" s="118"/>
      <c r="C406" s="241"/>
      <c r="D406" s="231"/>
      <c r="E406" s="241"/>
      <c r="G406" s="119"/>
    </row>
    <row r="407" spans="2:7" x14ac:dyDescent="0.25">
      <c r="B407" s="118"/>
      <c r="C407" s="241"/>
      <c r="D407" s="231"/>
      <c r="E407" s="241"/>
      <c r="G407" s="119"/>
    </row>
    <row r="408" spans="2:7" x14ac:dyDescent="0.25">
      <c r="B408" s="118"/>
      <c r="C408" s="241"/>
      <c r="D408" s="231"/>
      <c r="E408" s="241"/>
      <c r="G408" s="119"/>
    </row>
    <row r="409" spans="2:7" x14ac:dyDescent="0.25">
      <c r="B409" s="118"/>
      <c r="C409" s="241"/>
      <c r="D409" s="231"/>
      <c r="E409" s="241"/>
      <c r="G409" s="119"/>
    </row>
    <row r="410" spans="2:7" x14ac:dyDescent="0.25">
      <c r="B410" s="118"/>
      <c r="C410" s="241"/>
      <c r="D410" s="231"/>
      <c r="E410" s="241"/>
      <c r="G410" s="119"/>
    </row>
    <row r="411" spans="2:7" x14ac:dyDescent="0.25">
      <c r="B411" s="118"/>
      <c r="C411" s="241"/>
      <c r="D411" s="231"/>
      <c r="E411" s="241"/>
      <c r="G411" s="119"/>
    </row>
    <row r="412" spans="2:7" x14ac:dyDescent="0.25">
      <c r="B412" s="118"/>
      <c r="C412" s="241"/>
      <c r="D412" s="231"/>
      <c r="E412" s="241"/>
      <c r="G412" s="119"/>
    </row>
    <row r="413" spans="2:7" x14ac:dyDescent="0.25">
      <c r="B413" s="118"/>
      <c r="C413" s="241"/>
      <c r="D413" s="231"/>
      <c r="E413" s="241"/>
      <c r="G413" s="119"/>
    </row>
    <row r="414" spans="2:7" x14ac:dyDescent="0.25">
      <c r="B414" s="118"/>
      <c r="C414" s="241"/>
      <c r="D414" s="231"/>
      <c r="E414" s="241"/>
      <c r="G414" s="119"/>
    </row>
    <row r="415" spans="2:7" x14ac:dyDescent="0.25">
      <c r="B415" s="118"/>
      <c r="C415" s="241"/>
      <c r="D415" s="231"/>
      <c r="E415" s="241"/>
      <c r="G415" s="119"/>
    </row>
    <row r="416" spans="2:7" x14ac:dyDescent="0.25">
      <c r="B416" s="118"/>
      <c r="C416" s="241"/>
      <c r="D416" s="231"/>
      <c r="E416" s="241"/>
      <c r="G416" s="119"/>
    </row>
    <row r="417" spans="2:7" x14ac:dyDescent="0.25">
      <c r="B417" s="118"/>
      <c r="C417" s="241"/>
      <c r="D417" s="231"/>
      <c r="E417" s="241"/>
      <c r="G417" s="119"/>
    </row>
    <row r="418" spans="2:7" x14ac:dyDescent="0.25">
      <c r="B418" s="118"/>
      <c r="C418" s="241"/>
      <c r="D418" s="231"/>
      <c r="E418" s="241"/>
      <c r="G418" s="119"/>
    </row>
    <row r="419" spans="2:7" x14ac:dyDescent="0.25">
      <c r="B419" s="118"/>
      <c r="C419" s="241"/>
      <c r="D419" s="231"/>
      <c r="E419" s="241"/>
      <c r="G419" s="119"/>
    </row>
    <row r="420" spans="2:7" x14ac:dyDescent="0.25">
      <c r="B420" s="118"/>
      <c r="C420" s="241"/>
      <c r="D420" s="231"/>
      <c r="E420" s="241"/>
      <c r="G420" s="119"/>
    </row>
    <row r="421" spans="2:7" x14ac:dyDescent="0.25">
      <c r="B421" s="118"/>
      <c r="C421" s="241"/>
      <c r="D421" s="231"/>
      <c r="E421" s="241"/>
      <c r="G421" s="119"/>
    </row>
    <row r="422" spans="2:7" x14ac:dyDescent="0.25">
      <c r="B422" s="118"/>
      <c r="C422" s="241"/>
      <c r="D422" s="231"/>
      <c r="E422" s="241"/>
      <c r="G422" s="119"/>
    </row>
    <row r="423" spans="2:7" x14ac:dyDescent="0.25">
      <c r="B423" s="118"/>
      <c r="C423" s="241"/>
      <c r="D423" s="231"/>
      <c r="E423" s="241"/>
      <c r="G423" s="119"/>
    </row>
    <row r="424" spans="2:7" x14ac:dyDescent="0.25">
      <c r="B424" s="118"/>
      <c r="C424" s="241"/>
      <c r="D424" s="231"/>
      <c r="E424" s="241"/>
      <c r="G424" s="119"/>
    </row>
    <row r="425" spans="2:7" x14ac:dyDescent="0.25">
      <c r="B425" s="118"/>
      <c r="C425" s="241"/>
      <c r="D425" s="231"/>
      <c r="E425" s="241"/>
      <c r="G425" s="119"/>
    </row>
    <row r="426" spans="2:7" x14ac:dyDescent="0.25">
      <c r="B426" s="118"/>
      <c r="C426" s="241"/>
      <c r="D426" s="231"/>
      <c r="E426" s="241"/>
      <c r="G426" s="119"/>
    </row>
    <row r="427" spans="2:7" x14ac:dyDescent="0.25">
      <c r="B427" s="118"/>
      <c r="C427" s="241"/>
      <c r="D427" s="231"/>
      <c r="E427" s="241"/>
      <c r="G427" s="119"/>
    </row>
    <row r="428" spans="2:7" x14ac:dyDescent="0.25">
      <c r="B428" s="118"/>
      <c r="C428" s="241"/>
      <c r="D428" s="231"/>
      <c r="E428" s="241"/>
      <c r="G428" s="119"/>
    </row>
    <row r="429" spans="2:7" x14ac:dyDescent="0.25">
      <c r="B429" s="118"/>
      <c r="C429" s="241"/>
      <c r="D429" s="231"/>
      <c r="E429" s="241"/>
      <c r="G429" s="119"/>
    </row>
    <row r="430" spans="2:7" x14ac:dyDescent="0.25">
      <c r="B430" s="118"/>
      <c r="C430" s="241"/>
      <c r="D430" s="231"/>
      <c r="E430" s="241"/>
      <c r="G430" s="119"/>
    </row>
    <row r="431" spans="2:7" x14ac:dyDescent="0.25">
      <c r="B431" s="118"/>
      <c r="C431" s="241"/>
      <c r="D431" s="231"/>
      <c r="E431" s="241"/>
      <c r="G431" s="119"/>
    </row>
    <row r="432" spans="2:7" x14ac:dyDescent="0.25">
      <c r="B432" s="118"/>
      <c r="C432" s="241"/>
      <c r="D432" s="231"/>
      <c r="E432" s="241"/>
      <c r="G432" s="119"/>
    </row>
    <row r="433" spans="2:7" x14ac:dyDescent="0.25">
      <c r="B433" s="118"/>
      <c r="C433" s="241"/>
      <c r="D433" s="231"/>
      <c r="E433" s="241"/>
      <c r="G433" s="119"/>
    </row>
    <row r="434" spans="2:7" x14ac:dyDescent="0.25">
      <c r="B434" s="118"/>
      <c r="C434" s="241"/>
      <c r="D434" s="231"/>
      <c r="E434" s="241"/>
      <c r="G434" s="119"/>
    </row>
    <row r="435" spans="2:7" x14ac:dyDescent="0.25">
      <c r="B435" s="118"/>
      <c r="C435" s="241"/>
      <c r="D435" s="231"/>
      <c r="E435" s="241"/>
      <c r="G435" s="119"/>
    </row>
    <row r="436" spans="2:7" x14ac:dyDescent="0.25">
      <c r="B436" s="118"/>
      <c r="C436" s="241"/>
      <c r="D436" s="231"/>
      <c r="E436" s="241"/>
      <c r="G436" s="119"/>
    </row>
    <row r="437" spans="2:7" x14ac:dyDescent="0.25">
      <c r="B437" s="118"/>
      <c r="C437" s="241"/>
      <c r="D437" s="231"/>
      <c r="E437" s="241"/>
      <c r="G437" s="119"/>
    </row>
    <row r="438" spans="2:7" x14ac:dyDescent="0.25">
      <c r="B438" s="118"/>
      <c r="C438" s="241"/>
      <c r="D438" s="231"/>
      <c r="E438" s="241"/>
      <c r="G438" s="119"/>
    </row>
    <row r="439" spans="2:7" x14ac:dyDescent="0.25">
      <c r="B439" s="118"/>
      <c r="C439" s="241"/>
      <c r="D439" s="231"/>
      <c r="E439" s="241"/>
      <c r="G439" s="119"/>
    </row>
    <row r="440" spans="2:7" x14ac:dyDescent="0.25">
      <c r="B440" s="118"/>
      <c r="C440" s="241"/>
      <c r="D440" s="231"/>
      <c r="E440" s="241"/>
      <c r="G440" s="119"/>
    </row>
    <row r="441" spans="2:7" x14ac:dyDescent="0.25">
      <c r="B441" s="118"/>
      <c r="C441" s="241"/>
      <c r="D441" s="231"/>
      <c r="E441" s="241"/>
      <c r="G441" s="119"/>
    </row>
    <row r="442" spans="2:7" x14ac:dyDescent="0.25">
      <c r="B442" s="118"/>
      <c r="C442" s="241"/>
      <c r="D442" s="231"/>
      <c r="E442" s="241"/>
      <c r="G442" s="119"/>
    </row>
    <row r="443" spans="2:7" x14ac:dyDescent="0.25">
      <c r="B443" s="118"/>
      <c r="C443" s="241"/>
      <c r="D443" s="231"/>
      <c r="E443" s="241"/>
      <c r="G443" s="119"/>
    </row>
    <row r="444" spans="2:7" x14ac:dyDescent="0.25">
      <c r="B444" s="118"/>
      <c r="C444" s="241"/>
      <c r="D444" s="231"/>
      <c r="E444" s="241"/>
      <c r="G444" s="119"/>
    </row>
    <row r="445" spans="2:7" x14ac:dyDescent="0.25">
      <c r="B445" s="118"/>
      <c r="C445" s="241"/>
      <c r="D445" s="231"/>
      <c r="E445" s="241"/>
      <c r="G445" s="119"/>
    </row>
    <row r="446" spans="2:7" x14ac:dyDescent="0.25">
      <c r="B446" s="118"/>
      <c r="C446" s="241"/>
      <c r="D446" s="231"/>
      <c r="E446" s="241"/>
      <c r="G446" s="119"/>
    </row>
    <row r="447" spans="2:7" x14ac:dyDescent="0.25">
      <c r="B447" s="118"/>
      <c r="C447" s="241"/>
      <c r="D447" s="231"/>
      <c r="E447" s="241"/>
      <c r="G447" s="119"/>
    </row>
    <row r="448" spans="2:7" x14ac:dyDescent="0.25">
      <c r="B448" s="118"/>
      <c r="C448" s="241"/>
      <c r="D448" s="231"/>
      <c r="E448" s="241"/>
      <c r="G448" s="119"/>
    </row>
    <row r="449" spans="2:7" x14ac:dyDescent="0.25">
      <c r="B449" s="118"/>
      <c r="C449" s="241"/>
      <c r="D449" s="231"/>
      <c r="E449" s="241"/>
      <c r="G449" s="119"/>
    </row>
    <row r="450" spans="2:7" x14ac:dyDescent="0.25">
      <c r="B450" s="118"/>
      <c r="C450" s="241"/>
      <c r="D450" s="231"/>
      <c r="E450" s="241"/>
      <c r="G450" s="119"/>
    </row>
    <row r="451" spans="2:7" x14ac:dyDescent="0.25">
      <c r="B451" s="118"/>
      <c r="C451" s="241"/>
      <c r="D451" s="231"/>
      <c r="E451" s="241"/>
      <c r="G451" s="119"/>
    </row>
    <row r="452" spans="2:7" x14ac:dyDescent="0.25">
      <c r="B452" s="118"/>
      <c r="C452" s="241"/>
      <c r="D452" s="231"/>
      <c r="E452" s="241"/>
      <c r="G452" s="119"/>
    </row>
    <row r="453" spans="2:7" x14ac:dyDescent="0.25">
      <c r="B453" s="118"/>
      <c r="C453" s="241"/>
      <c r="D453" s="231"/>
      <c r="E453" s="241"/>
      <c r="G453" s="119"/>
    </row>
    <row r="454" spans="2:7" x14ac:dyDescent="0.25">
      <c r="B454" s="118"/>
      <c r="C454" s="241"/>
      <c r="D454" s="231"/>
      <c r="E454" s="241"/>
      <c r="G454" s="119"/>
    </row>
    <row r="455" spans="2:7" x14ac:dyDescent="0.25">
      <c r="B455" s="118"/>
      <c r="C455" s="241"/>
      <c r="D455" s="231"/>
      <c r="E455" s="241"/>
      <c r="G455" s="119"/>
    </row>
    <row r="456" spans="2:7" x14ac:dyDescent="0.25">
      <c r="B456" s="118"/>
      <c r="C456" s="241"/>
      <c r="D456" s="231"/>
      <c r="E456" s="241"/>
      <c r="G456" s="119"/>
    </row>
    <row r="457" spans="2:7" x14ac:dyDescent="0.25">
      <c r="B457" s="118"/>
      <c r="C457" s="241"/>
      <c r="D457" s="231"/>
      <c r="E457" s="241"/>
      <c r="G457" s="119"/>
    </row>
    <row r="458" spans="2:7" x14ac:dyDescent="0.25">
      <c r="B458" s="118"/>
      <c r="C458" s="241"/>
      <c r="D458" s="231"/>
      <c r="E458" s="241"/>
      <c r="G458" s="119"/>
    </row>
    <row r="459" spans="2:7" x14ac:dyDescent="0.25">
      <c r="B459" s="118"/>
      <c r="C459" s="241"/>
      <c r="D459" s="231"/>
      <c r="E459" s="241"/>
      <c r="G459" s="119"/>
    </row>
    <row r="460" spans="2:7" x14ac:dyDescent="0.25">
      <c r="B460" s="118"/>
      <c r="C460" s="241"/>
      <c r="D460" s="231"/>
      <c r="E460" s="241"/>
      <c r="G460" s="119"/>
    </row>
    <row r="461" spans="2:7" x14ac:dyDescent="0.25">
      <c r="B461" s="118"/>
      <c r="C461" s="241"/>
      <c r="D461" s="231"/>
      <c r="E461" s="241"/>
      <c r="G461" s="119"/>
    </row>
    <row r="462" spans="2:7" x14ac:dyDescent="0.25">
      <c r="B462" s="118"/>
      <c r="C462" s="241"/>
      <c r="D462" s="231"/>
      <c r="E462" s="241"/>
      <c r="G462" s="119"/>
    </row>
    <row r="463" spans="2:7" x14ac:dyDescent="0.25">
      <c r="B463" s="118"/>
      <c r="C463" s="241"/>
      <c r="D463" s="231"/>
      <c r="E463" s="241"/>
      <c r="G463" s="119"/>
    </row>
    <row r="464" spans="2:7" x14ac:dyDescent="0.25">
      <c r="B464" s="118"/>
      <c r="C464" s="241"/>
      <c r="D464" s="231"/>
      <c r="E464" s="241"/>
      <c r="G464" s="119"/>
    </row>
    <row r="465" spans="2:7" x14ac:dyDescent="0.25">
      <c r="B465" s="118"/>
      <c r="C465" s="241"/>
      <c r="D465" s="231"/>
      <c r="E465" s="241"/>
      <c r="G465" s="119"/>
    </row>
    <row r="466" spans="2:7" x14ac:dyDescent="0.25">
      <c r="B466" s="118"/>
      <c r="C466" s="241"/>
      <c r="D466" s="231"/>
      <c r="E466" s="241"/>
      <c r="G466" s="119"/>
    </row>
    <row r="467" spans="2:7" x14ac:dyDescent="0.25">
      <c r="B467" s="118"/>
      <c r="C467" s="241"/>
      <c r="D467" s="231"/>
      <c r="E467" s="241"/>
      <c r="G467" s="119"/>
    </row>
    <row r="468" spans="2:7" x14ac:dyDescent="0.25">
      <c r="B468" s="118"/>
      <c r="C468" s="241"/>
      <c r="D468" s="231"/>
      <c r="E468" s="241"/>
      <c r="G468" s="119"/>
    </row>
    <row r="469" spans="2:7" x14ac:dyDescent="0.25">
      <c r="B469" s="118"/>
      <c r="C469" s="241"/>
      <c r="D469" s="231"/>
      <c r="E469" s="241"/>
      <c r="G469" s="119"/>
    </row>
    <row r="470" spans="2:7" x14ac:dyDescent="0.25">
      <c r="B470" s="118"/>
      <c r="C470" s="241"/>
      <c r="D470" s="231"/>
      <c r="E470" s="241"/>
      <c r="G470" s="119"/>
    </row>
    <row r="471" spans="2:7" x14ac:dyDescent="0.25">
      <c r="B471" s="118"/>
      <c r="C471" s="241"/>
      <c r="D471" s="231"/>
      <c r="E471" s="241"/>
      <c r="G471" s="119"/>
    </row>
    <row r="472" spans="2:7" x14ac:dyDescent="0.25">
      <c r="B472" s="118"/>
      <c r="C472" s="241"/>
      <c r="D472" s="231"/>
      <c r="E472" s="241"/>
      <c r="G472" s="119"/>
    </row>
    <row r="473" spans="2:7" x14ac:dyDescent="0.25">
      <c r="B473" s="118"/>
      <c r="C473" s="241"/>
      <c r="D473" s="231"/>
      <c r="E473" s="241"/>
      <c r="G473" s="119"/>
    </row>
    <row r="474" spans="2:7" x14ac:dyDescent="0.25">
      <c r="B474" s="118"/>
      <c r="C474" s="241"/>
      <c r="D474" s="231"/>
      <c r="E474" s="241"/>
      <c r="G474" s="119"/>
    </row>
    <row r="475" spans="2:7" x14ac:dyDescent="0.25">
      <c r="B475" s="118"/>
      <c r="C475" s="241"/>
      <c r="D475" s="231"/>
      <c r="E475" s="241"/>
      <c r="G475" s="119"/>
    </row>
    <row r="476" spans="2:7" x14ac:dyDescent="0.25">
      <c r="B476" s="118"/>
      <c r="C476" s="241"/>
      <c r="D476" s="231"/>
      <c r="E476" s="241"/>
      <c r="G476" s="119"/>
    </row>
    <row r="477" spans="2:7" x14ac:dyDescent="0.25">
      <c r="B477" s="118"/>
      <c r="C477" s="241"/>
      <c r="D477" s="231"/>
      <c r="E477" s="241"/>
      <c r="G477" s="119"/>
    </row>
    <row r="478" spans="2:7" x14ac:dyDescent="0.25">
      <c r="B478" s="118"/>
      <c r="C478" s="241"/>
      <c r="D478" s="231"/>
      <c r="E478" s="241"/>
      <c r="G478" s="119"/>
    </row>
    <row r="479" spans="2:7" x14ac:dyDescent="0.25">
      <c r="B479" s="118"/>
      <c r="C479" s="241"/>
      <c r="D479" s="231"/>
      <c r="E479" s="241"/>
      <c r="G479" s="119"/>
    </row>
    <row r="480" spans="2:7" x14ac:dyDescent="0.25">
      <c r="B480" s="118"/>
      <c r="C480" s="241"/>
      <c r="D480" s="231"/>
      <c r="E480" s="241"/>
      <c r="G480" s="119"/>
    </row>
    <row r="481" spans="2:7" x14ac:dyDescent="0.25">
      <c r="B481" s="118"/>
      <c r="C481" s="241"/>
      <c r="D481" s="231"/>
      <c r="E481" s="241"/>
      <c r="G481" s="119"/>
    </row>
    <row r="482" spans="2:7" x14ac:dyDescent="0.25">
      <c r="B482" s="118"/>
      <c r="C482" s="241"/>
      <c r="D482" s="231"/>
      <c r="E482" s="241"/>
      <c r="G482" s="119"/>
    </row>
    <row r="483" spans="2:7" x14ac:dyDescent="0.25">
      <c r="B483" s="118"/>
      <c r="C483" s="241"/>
      <c r="D483" s="231"/>
      <c r="E483" s="241"/>
      <c r="G483" s="119"/>
    </row>
    <row r="484" spans="2:7" x14ac:dyDescent="0.25">
      <c r="B484" s="118"/>
      <c r="C484" s="241"/>
      <c r="D484" s="231"/>
      <c r="E484" s="241"/>
      <c r="G484" s="119"/>
    </row>
    <row r="485" spans="2:7" x14ac:dyDescent="0.25">
      <c r="B485" s="118"/>
      <c r="C485" s="241"/>
      <c r="D485" s="231"/>
      <c r="E485" s="241"/>
      <c r="G485" s="119"/>
    </row>
    <row r="486" spans="2:7" x14ac:dyDescent="0.25">
      <c r="B486" s="118"/>
      <c r="C486" s="241"/>
      <c r="D486" s="231"/>
      <c r="E486" s="241"/>
      <c r="G486" s="119"/>
    </row>
    <row r="487" spans="2:7" x14ac:dyDescent="0.25">
      <c r="B487" s="118"/>
      <c r="C487" s="241"/>
      <c r="D487" s="231"/>
      <c r="E487" s="241"/>
      <c r="G487" s="119"/>
    </row>
    <row r="488" spans="2:7" x14ac:dyDescent="0.25">
      <c r="B488" s="118"/>
      <c r="C488" s="241"/>
      <c r="D488" s="231"/>
      <c r="E488" s="241"/>
      <c r="G488" s="119"/>
    </row>
    <row r="489" spans="2:7" x14ac:dyDescent="0.25">
      <c r="B489" s="118"/>
      <c r="C489" s="241"/>
      <c r="D489" s="231"/>
      <c r="E489" s="241"/>
      <c r="G489" s="119"/>
    </row>
    <row r="490" spans="2:7" x14ac:dyDescent="0.25">
      <c r="B490" s="118"/>
      <c r="C490" s="241"/>
      <c r="D490" s="231"/>
      <c r="E490" s="241"/>
      <c r="G490" s="119"/>
    </row>
    <row r="491" spans="2:7" x14ac:dyDescent="0.25">
      <c r="B491" s="118"/>
      <c r="C491" s="241"/>
      <c r="D491" s="231"/>
      <c r="E491" s="241"/>
      <c r="G491" s="119"/>
    </row>
    <row r="492" spans="2:7" x14ac:dyDescent="0.25">
      <c r="B492" s="118"/>
      <c r="C492" s="241"/>
      <c r="D492" s="231"/>
      <c r="E492" s="241"/>
      <c r="G492" s="119"/>
    </row>
    <row r="493" spans="2:7" x14ac:dyDescent="0.25">
      <c r="B493" s="118"/>
      <c r="C493" s="241"/>
      <c r="D493" s="231"/>
      <c r="E493" s="241"/>
      <c r="G493" s="119"/>
    </row>
    <row r="494" spans="2:7" x14ac:dyDescent="0.25">
      <c r="B494" s="118"/>
      <c r="C494" s="241"/>
      <c r="D494" s="231"/>
      <c r="E494" s="241"/>
      <c r="G494" s="119"/>
    </row>
    <row r="495" spans="2:7" x14ac:dyDescent="0.25">
      <c r="B495" s="118"/>
      <c r="C495" s="241"/>
      <c r="D495" s="231"/>
      <c r="E495" s="241"/>
      <c r="G495" s="119"/>
    </row>
    <row r="496" spans="2:7" x14ac:dyDescent="0.25">
      <c r="B496" s="118"/>
      <c r="C496" s="241"/>
      <c r="D496" s="231"/>
      <c r="E496" s="241"/>
      <c r="G496" s="119"/>
    </row>
    <row r="497" spans="2:7" x14ac:dyDescent="0.25">
      <c r="B497" s="118"/>
      <c r="C497" s="241"/>
      <c r="D497" s="231"/>
      <c r="E497" s="241"/>
      <c r="G497" s="119"/>
    </row>
    <row r="498" spans="2:7" x14ac:dyDescent="0.25">
      <c r="B498" s="118"/>
      <c r="C498" s="241"/>
      <c r="D498" s="231"/>
      <c r="E498" s="241"/>
      <c r="G498" s="119"/>
    </row>
    <row r="499" spans="2:7" x14ac:dyDescent="0.25">
      <c r="B499" s="118"/>
      <c r="C499" s="241"/>
      <c r="D499" s="231"/>
      <c r="E499" s="241"/>
      <c r="G499" s="119"/>
    </row>
    <row r="500" spans="2:7" x14ac:dyDescent="0.25">
      <c r="B500" s="118"/>
      <c r="C500" s="241"/>
      <c r="D500" s="231"/>
      <c r="E500" s="241"/>
      <c r="G500" s="119"/>
    </row>
    <row r="501" spans="2:7" x14ac:dyDescent="0.25">
      <c r="B501" s="118"/>
      <c r="C501" s="241"/>
      <c r="D501" s="231"/>
      <c r="E501" s="241"/>
      <c r="G501" s="119"/>
    </row>
    <row r="502" spans="2:7" x14ac:dyDescent="0.25">
      <c r="B502" s="118"/>
      <c r="C502" s="241"/>
      <c r="D502" s="231"/>
      <c r="E502" s="241"/>
      <c r="G502" s="119"/>
    </row>
    <row r="503" spans="2:7" x14ac:dyDescent="0.25">
      <c r="B503" s="118"/>
      <c r="C503" s="241"/>
      <c r="D503" s="231"/>
      <c r="E503" s="241"/>
      <c r="G503" s="119"/>
    </row>
    <row r="504" spans="2:7" x14ac:dyDescent="0.25">
      <c r="B504" s="118"/>
      <c r="C504" s="241"/>
      <c r="D504" s="231"/>
      <c r="E504" s="241"/>
      <c r="G504" s="119"/>
    </row>
    <row r="505" spans="2:7" x14ac:dyDescent="0.25">
      <c r="B505" s="118"/>
      <c r="C505" s="241"/>
      <c r="D505" s="231"/>
      <c r="E505" s="241"/>
      <c r="G505" s="119"/>
    </row>
    <row r="506" spans="2:7" x14ac:dyDescent="0.25">
      <c r="B506" s="118"/>
      <c r="C506" s="241"/>
      <c r="D506" s="231"/>
      <c r="E506" s="241"/>
      <c r="G506" s="119"/>
    </row>
    <row r="507" spans="2:7" x14ac:dyDescent="0.25">
      <c r="B507" s="118"/>
      <c r="C507" s="241"/>
      <c r="D507" s="231"/>
      <c r="E507" s="241"/>
      <c r="G507" s="119"/>
    </row>
    <row r="508" spans="2:7" x14ac:dyDescent="0.25">
      <c r="B508" s="118"/>
      <c r="C508" s="241"/>
      <c r="D508" s="231"/>
      <c r="E508" s="241"/>
      <c r="G508" s="119"/>
    </row>
    <row r="509" spans="2:7" x14ac:dyDescent="0.25">
      <c r="B509" s="118"/>
      <c r="C509" s="241"/>
      <c r="D509" s="231"/>
      <c r="E509" s="241"/>
      <c r="G509" s="119"/>
    </row>
    <row r="510" spans="2:7" x14ac:dyDescent="0.25">
      <c r="B510" s="118"/>
      <c r="C510" s="241"/>
      <c r="D510" s="231"/>
      <c r="E510" s="241"/>
      <c r="G510" s="119"/>
    </row>
    <row r="511" spans="2:7" x14ac:dyDescent="0.25">
      <c r="B511" s="118"/>
      <c r="C511" s="241"/>
      <c r="D511" s="231"/>
      <c r="E511" s="241"/>
      <c r="G511" s="119"/>
    </row>
    <row r="512" spans="2:7" x14ac:dyDescent="0.25">
      <c r="B512" s="118"/>
      <c r="C512" s="241"/>
      <c r="D512" s="231"/>
      <c r="E512" s="241"/>
      <c r="G512" s="119"/>
    </row>
    <row r="513" spans="2:7" x14ac:dyDescent="0.25">
      <c r="B513" s="118"/>
      <c r="C513" s="241"/>
      <c r="D513" s="231"/>
      <c r="E513" s="241"/>
      <c r="G513" s="119"/>
    </row>
    <row r="514" spans="2:7" x14ac:dyDescent="0.25">
      <c r="B514" s="118"/>
      <c r="C514" s="241"/>
      <c r="D514" s="231"/>
      <c r="E514" s="241"/>
      <c r="G514" s="119"/>
    </row>
    <row r="515" spans="2:7" x14ac:dyDescent="0.25">
      <c r="B515" s="118"/>
      <c r="C515" s="241"/>
      <c r="D515" s="231"/>
      <c r="E515" s="241"/>
      <c r="G515" s="119"/>
    </row>
    <row r="516" spans="2:7" x14ac:dyDescent="0.25">
      <c r="B516" s="118"/>
      <c r="C516" s="241"/>
      <c r="D516" s="231"/>
      <c r="E516" s="241"/>
      <c r="G516" s="119"/>
    </row>
    <row r="517" spans="2:7" x14ac:dyDescent="0.25">
      <c r="B517" s="118"/>
      <c r="C517" s="241"/>
      <c r="D517" s="231"/>
      <c r="E517" s="241"/>
      <c r="G517" s="119"/>
    </row>
    <row r="518" spans="2:7" x14ac:dyDescent="0.25">
      <c r="B518" s="118"/>
      <c r="C518" s="241"/>
      <c r="D518" s="231"/>
      <c r="E518" s="241"/>
      <c r="G518" s="119"/>
    </row>
    <row r="519" spans="2:7" x14ac:dyDescent="0.25">
      <c r="B519" s="118"/>
      <c r="C519" s="241"/>
      <c r="D519" s="231"/>
      <c r="E519" s="241"/>
      <c r="G519" s="119"/>
    </row>
    <row r="520" spans="2:7" x14ac:dyDescent="0.25">
      <c r="B520" s="118"/>
      <c r="C520" s="241"/>
      <c r="D520" s="231"/>
      <c r="E520" s="241"/>
      <c r="G520" s="119"/>
    </row>
    <row r="521" spans="2:7" x14ac:dyDescent="0.25">
      <c r="B521" s="118"/>
      <c r="C521" s="241"/>
      <c r="D521" s="231"/>
      <c r="E521" s="241"/>
      <c r="G521" s="119"/>
    </row>
    <row r="522" spans="2:7" x14ac:dyDescent="0.25">
      <c r="B522" s="118"/>
      <c r="C522" s="241"/>
      <c r="D522" s="231"/>
      <c r="E522" s="241"/>
      <c r="G522" s="119"/>
    </row>
    <row r="523" spans="2:7" x14ac:dyDescent="0.25">
      <c r="B523" s="118"/>
      <c r="C523" s="241"/>
      <c r="D523" s="231"/>
      <c r="E523" s="241"/>
      <c r="G523" s="119"/>
    </row>
    <row r="524" spans="2:7" x14ac:dyDescent="0.25">
      <c r="B524" s="118"/>
      <c r="C524" s="241"/>
      <c r="D524" s="231"/>
      <c r="E524" s="241"/>
      <c r="G524" s="119"/>
    </row>
    <row r="525" spans="2:7" x14ac:dyDescent="0.25">
      <c r="B525" s="118"/>
      <c r="C525" s="241"/>
      <c r="D525" s="231"/>
      <c r="E525" s="241"/>
      <c r="G525" s="119"/>
    </row>
    <row r="526" spans="2:7" x14ac:dyDescent="0.25">
      <c r="B526" s="118"/>
      <c r="C526" s="241"/>
      <c r="D526" s="231"/>
      <c r="E526" s="241"/>
      <c r="G526" s="119"/>
    </row>
    <row r="527" spans="2:7" x14ac:dyDescent="0.25">
      <c r="B527" s="118"/>
      <c r="C527" s="241"/>
      <c r="D527" s="231"/>
      <c r="E527" s="241"/>
      <c r="G527" s="119"/>
    </row>
    <row r="528" spans="2:7" x14ac:dyDescent="0.25">
      <c r="B528" s="118"/>
      <c r="C528" s="241"/>
      <c r="D528" s="231"/>
      <c r="E528" s="241"/>
      <c r="G528" s="119"/>
    </row>
    <row r="529" spans="2:7" x14ac:dyDescent="0.25">
      <c r="B529" s="118"/>
      <c r="C529" s="241"/>
      <c r="D529" s="231"/>
      <c r="E529" s="241"/>
      <c r="G529" s="119"/>
    </row>
    <row r="530" spans="2:7" x14ac:dyDescent="0.25">
      <c r="B530" s="118"/>
      <c r="C530" s="241"/>
      <c r="D530" s="231"/>
      <c r="E530" s="241"/>
      <c r="G530" s="119"/>
    </row>
    <row r="531" spans="2:7" x14ac:dyDescent="0.25">
      <c r="B531" s="118"/>
      <c r="C531" s="241"/>
      <c r="D531" s="231"/>
      <c r="E531" s="241"/>
      <c r="G531" s="119"/>
    </row>
    <row r="532" spans="2:7" x14ac:dyDescent="0.25">
      <c r="B532" s="118"/>
      <c r="C532" s="241"/>
      <c r="D532" s="231"/>
      <c r="E532" s="241"/>
      <c r="G532" s="119"/>
    </row>
    <row r="533" spans="2:7" x14ac:dyDescent="0.25">
      <c r="B533" s="118"/>
      <c r="C533" s="241"/>
      <c r="D533" s="231"/>
      <c r="E533" s="241"/>
      <c r="G533" s="119"/>
    </row>
    <row r="534" spans="2:7" x14ac:dyDescent="0.25">
      <c r="B534" s="118"/>
      <c r="C534" s="241"/>
      <c r="D534" s="231"/>
      <c r="E534" s="241"/>
      <c r="G534" s="119"/>
    </row>
    <row r="535" spans="2:7" x14ac:dyDescent="0.25">
      <c r="B535" s="118"/>
      <c r="C535" s="241"/>
      <c r="D535" s="231"/>
      <c r="E535" s="241"/>
      <c r="G535" s="119"/>
    </row>
    <row r="536" spans="2:7" x14ac:dyDescent="0.25">
      <c r="B536" s="118"/>
      <c r="C536" s="241"/>
      <c r="D536" s="231"/>
      <c r="E536" s="241"/>
      <c r="G536" s="119"/>
    </row>
    <row r="537" spans="2:7" x14ac:dyDescent="0.25">
      <c r="B537" s="118"/>
      <c r="C537" s="241"/>
      <c r="D537" s="231"/>
      <c r="E537" s="241"/>
      <c r="G537" s="119"/>
    </row>
    <row r="538" spans="2:7" x14ac:dyDescent="0.25">
      <c r="B538" s="118"/>
      <c r="C538" s="241"/>
      <c r="D538" s="231"/>
      <c r="E538" s="241"/>
      <c r="G538" s="119"/>
    </row>
    <row r="539" spans="2:7" x14ac:dyDescent="0.25">
      <c r="B539" s="118"/>
      <c r="C539" s="241"/>
      <c r="D539" s="231"/>
      <c r="E539" s="241"/>
      <c r="G539" s="119"/>
    </row>
    <row r="540" spans="2:7" x14ac:dyDescent="0.25">
      <c r="B540" s="118"/>
      <c r="C540" s="241"/>
      <c r="D540" s="231"/>
      <c r="E540" s="241"/>
      <c r="G540" s="119"/>
    </row>
    <row r="541" spans="2:7" x14ac:dyDescent="0.25">
      <c r="B541" s="118"/>
      <c r="C541" s="241"/>
      <c r="D541" s="231"/>
      <c r="E541" s="241"/>
      <c r="G541" s="119"/>
    </row>
    <row r="542" spans="2:7" x14ac:dyDescent="0.25">
      <c r="B542" s="118"/>
      <c r="C542" s="241"/>
      <c r="D542" s="231"/>
      <c r="E542" s="241"/>
      <c r="G542" s="119"/>
    </row>
    <row r="543" spans="2:7" x14ac:dyDescent="0.25">
      <c r="B543" s="118"/>
      <c r="C543" s="241"/>
      <c r="D543" s="231"/>
      <c r="E543" s="241"/>
      <c r="G543" s="119"/>
    </row>
    <row r="544" spans="2:7" x14ac:dyDescent="0.25">
      <c r="B544" s="118"/>
      <c r="C544" s="241"/>
      <c r="D544" s="231"/>
      <c r="E544" s="241"/>
      <c r="G544" s="119"/>
    </row>
    <row r="545" spans="2:7" x14ac:dyDescent="0.25">
      <c r="B545" s="118"/>
      <c r="C545" s="241"/>
      <c r="D545" s="231"/>
      <c r="E545" s="241"/>
      <c r="G545" s="119"/>
    </row>
    <row r="546" spans="2:7" x14ac:dyDescent="0.25">
      <c r="B546" s="118"/>
      <c r="C546" s="241"/>
      <c r="D546" s="231"/>
      <c r="E546" s="241"/>
      <c r="G546" s="119"/>
    </row>
    <row r="547" spans="2:7" x14ac:dyDescent="0.25">
      <c r="B547" s="118"/>
      <c r="C547" s="241"/>
      <c r="D547" s="231"/>
      <c r="E547" s="241"/>
      <c r="G547" s="119"/>
    </row>
    <row r="548" spans="2:7" x14ac:dyDescent="0.25">
      <c r="B548" s="118"/>
      <c r="C548" s="241"/>
      <c r="D548" s="231"/>
      <c r="E548" s="241"/>
      <c r="G548" s="119"/>
    </row>
    <row r="549" spans="2:7" x14ac:dyDescent="0.25">
      <c r="B549" s="118"/>
      <c r="C549" s="241"/>
      <c r="D549" s="231"/>
      <c r="E549" s="241"/>
      <c r="G549" s="119"/>
    </row>
    <row r="550" spans="2:7" x14ac:dyDescent="0.25">
      <c r="B550" s="118"/>
      <c r="C550" s="241"/>
      <c r="D550" s="231"/>
      <c r="E550" s="241"/>
      <c r="G550" s="119"/>
    </row>
    <row r="551" spans="2:7" x14ac:dyDescent="0.25">
      <c r="B551" s="118"/>
      <c r="C551" s="241"/>
      <c r="D551" s="231"/>
      <c r="E551" s="241"/>
      <c r="G551" s="119"/>
    </row>
    <row r="552" spans="2:7" x14ac:dyDescent="0.25">
      <c r="B552" s="118"/>
      <c r="C552" s="241"/>
      <c r="D552" s="231"/>
      <c r="E552" s="241"/>
      <c r="G552" s="119"/>
    </row>
    <row r="553" spans="2:7" x14ac:dyDescent="0.25">
      <c r="B553" s="118"/>
      <c r="C553" s="241"/>
      <c r="D553" s="231"/>
      <c r="E553" s="241"/>
      <c r="G553" s="119"/>
    </row>
    <row r="554" spans="2:7" x14ac:dyDescent="0.25">
      <c r="B554" s="118"/>
      <c r="C554" s="241"/>
      <c r="D554" s="231"/>
      <c r="E554" s="241"/>
      <c r="G554" s="119"/>
    </row>
    <row r="555" spans="2:7" x14ac:dyDescent="0.25">
      <c r="B555" s="118"/>
      <c r="C555" s="241"/>
      <c r="D555" s="231"/>
      <c r="E555" s="241"/>
      <c r="G555" s="119"/>
    </row>
    <row r="556" spans="2:7" x14ac:dyDescent="0.25">
      <c r="B556" s="118"/>
      <c r="C556" s="241"/>
      <c r="D556" s="231"/>
      <c r="E556" s="241"/>
      <c r="G556" s="119"/>
    </row>
    <row r="557" spans="2:7" x14ac:dyDescent="0.25">
      <c r="B557" s="118"/>
      <c r="C557" s="241"/>
      <c r="D557" s="231"/>
      <c r="E557" s="241"/>
      <c r="G557" s="119"/>
    </row>
    <row r="558" spans="2:7" x14ac:dyDescent="0.25">
      <c r="B558" s="118"/>
      <c r="C558" s="241"/>
      <c r="D558" s="231"/>
      <c r="E558" s="241"/>
      <c r="G558" s="119"/>
    </row>
    <row r="559" spans="2:7" x14ac:dyDescent="0.25">
      <c r="B559" s="118"/>
      <c r="C559" s="241"/>
      <c r="D559" s="231"/>
      <c r="E559" s="241"/>
      <c r="G559" s="119"/>
    </row>
    <row r="560" spans="2:7" x14ac:dyDescent="0.25">
      <c r="B560" s="118"/>
      <c r="C560" s="241"/>
      <c r="D560" s="231"/>
      <c r="E560" s="241"/>
      <c r="G560" s="119"/>
    </row>
    <row r="561" spans="2:7" x14ac:dyDescent="0.25">
      <c r="B561" s="118"/>
      <c r="C561" s="241"/>
      <c r="D561" s="231"/>
      <c r="E561" s="241"/>
      <c r="G561" s="119"/>
    </row>
    <row r="562" spans="2:7" x14ac:dyDescent="0.25">
      <c r="B562" s="118"/>
      <c r="C562" s="241"/>
      <c r="D562" s="231"/>
      <c r="E562" s="241"/>
      <c r="G562" s="119"/>
    </row>
    <row r="563" spans="2:7" x14ac:dyDescent="0.25">
      <c r="B563" s="118"/>
      <c r="C563" s="241"/>
      <c r="D563" s="231"/>
      <c r="E563" s="241"/>
      <c r="G563" s="119"/>
    </row>
    <row r="564" spans="2:7" x14ac:dyDescent="0.25">
      <c r="B564" s="118"/>
      <c r="C564" s="241"/>
      <c r="D564" s="231"/>
      <c r="E564" s="241"/>
      <c r="G564" s="119"/>
    </row>
    <row r="565" spans="2:7" x14ac:dyDescent="0.25">
      <c r="B565" s="118"/>
      <c r="C565" s="241"/>
      <c r="D565" s="231"/>
      <c r="E565" s="241"/>
      <c r="G565" s="119"/>
    </row>
    <row r="566" spans="2:7" x14ac:dyDescent="0.25">
      <c r="B566" s="118"/>
      <c r="C566" s="241"/>
      <c r="D566" s="231"/>
      <c r="E566" s="241"/>
      <c r="G566" s="119"/>
    </row>
    <row r="567" spans="2:7" x14ac:dyDescent="0.25">
      <c r="B567" s="118"/>
      <c r="C567" s="241"/>
      <c r="D567" s="231"/>
      <c r="E567" s="241"/>
      <c r="G567" s="119"/>
    </row>
    <row r="568" spans="2:7" x14ac:dyDescent="0.25">
      <c r="B568" s="118"/>
      <c r="C568" s="241"/>
      <c r="D568" s="231"/>
      <c r="E568" s="241"/>
      <c r="G568" s="119"/>
    </row>
    <row r="569" spans="2:7" x14ac:dyDescent="0.25">
      <c r="B569" s="118"/>
      <c r="C569" s="241"/>
      <c r="D569" s="231"/>
      <c r="E569" s="241"/>
      <c r="G569" s="119"/>
    </row>
    <row r="570" spans="2:7" x14ac:dyDescent="0.25">
      <c r="B570" s="118"/>
      <c r="C570" s="241"/>
      <c r="D570" s="231"/>
      <c r="E570" s="241"/>
      <c r="G570" s="119"/>
    </row>
    <row r="571" spans="2:7" x14ac:dyDescent="0.25">
      <c r="B571" s="118"/>
      <c r="C571" s="241"/>
      <c r="D571" s="231"/>
      <c r="E571" s="241"/>
      <c r="G571" s="119"/>
    </row>
    <row r="572" spans="2:7" x14ac:dyDescent="0.25">
      <c r="B572" s="118"/>
      <c r="C572" s="241"/>
      <c r="D572" s="231"/>
      <c r="E572" s="241"/>
      <c r="G572" s="119"/>
    </row>
    <row r="573" spans="2:7" x14ac:dyDescent="0.25">
      <c r="B573" s="118"/>
      <c r="C573" s="241"/>
      <c r="D573" s="231"/>
      <c r="E573" s="241"/>
      <c r="G573" s="119"/>
    </row>
    <row r="574" spans="2:7" x14ac:dyDescent="0.25">
      <c r="B574" s="118"/>
      <c r="C574" s="241"/>
      <c r="D574" s="231"/>
      <c r="E574" s="241"/>
      <c r="G574" s="119"/>
    </row>
    <row r="575" spans="2:7" x14ac:dyDescent="0.25">
      <c r="B575" s="118"/>
      <c r="C575" s="241"/>
      <c r="D575" s="231"/>
      <c r="E575" s="241"/>
      <c r="G575" s="119"/>
    </row>
    <row r="576" spans="2:7" x14ac:dyDescent="0.25">
      <c r="B576" s="118"/>
      <c r="C576" s="241"/>
      <c r="D576" s="231"/>
      <c r="E576" s="241"/>
      <c r="G576" s="119"/>
    </row>
    <row r="577" spans="2:7" x14ac:dyDescent="0.25">
      <c r="B577" s="118"/>
      <c r="C577" s="241"/>
      <c r="D577" s="231"/>
      <c r="E577" s="241"/>
      <c r="G577" s="119"/>
    </row>
    <row r="578" spans="2:7" x14ac:dyDescent="0.25">
      <c r="B578" s="118"/>
      <c r="C578" s="241"/>
      <c r="D578" s="231"/>
      <c r="E578" s="241"/>
      <c r="G578" s="119"/>
    </row>
    <row r="579" spans="2:7" x14ac:dyDescent="0.25">
      <c r="B579" s="118"/>
      <c r="C579" s="241"/>
      <c r="D579" s="231"/>
      <c r="E579" s="241"/>
      <c r="G579" s="119"/>
    </row>
    <row r="580" spans="2:7" x14ac:dyDescent="0.25">
      <c r="B580" s="118"/>
      <c r="C580" s="241"/>
      <c r="D580" s="231"/>
      <c r="E580" s="241"/>
      <c r="G580" s="119"/>
    </row>
    <row r="581" spans="2:7" x14ac:dyDescent="0.25">
      <c r="B581" s="118"/>
      <c r="C581" s="241"/>
      <c r="D581" s="231"/>
      <c r="E581" s="241"/>
      <c r="G581" s="119"/>
    </row>
    <row r="582" spans="2:7" x14ac:dyDescent="0.25">
      <c r="B582" s="118"/>
      <c r="C582" s="241"/>
      <c r="D582" s="231"/>
      <c r="E582" s="241"/>
      <c r="G582" s="119"/>
    </row>
    <row r="583" spans="2:7" x14ac:dyDescent="0.25">
      <c r="B583" s="118"/>
      <c r="C583" s="241"/>
      <c r="D583" s="231"/>
      <c r="E583" s="241"/>
      <c r="G583" s="119"/>
    </row>
    <row r="584" spans="2:7" x14ac:dyDescent="0.25">
      <c r="B584" s="118"/>
      <c r="C584" s="241"/>
      <c r="D584" s="231"/>
      <c r="E584" s="241"/>
      <c r="G584" s="119"/>
    </row>
    <row r="585" spans="2:7" x14ac:dyDescent="0.25">
      <c r="B585" s="118"/>
      <c r="C585" s="241"/>
      <c r="D585" s="231"/>
      <c r="E585" s="241"/>
      <c r="G585" s="119"/>
    </row>
    <row r="586" spans="2:7" x14ac:dyDescent="0.25">
      <c r="B586" s="118"/>
      <c r="C586" s="241"/>
      <c r="D586" s="231"/>
      <c r="E586" s="241"/>
      <c r="G586" s="119"/>
    </row>
    <row r="587" spans="2:7" x14ac:dyDescent="0.25">
      <c r="B587" s="118"/>
      <c r="C587" s="241"/>
      <c r="D587" s="231"/>
      <c r="E587" s="241"/>
      <c r="G587" s="119"/>
    </row>
    <row r="588" spans="2:7" x14ac:dyDescent="0.25">
      <c r="B588" s="118"/>
      <c r="C588" s="241"/>
      <c r="D588" s="231"/>
      <c r="E588" s="241"/>
      <c r="G588" s="119"/>
    </row>
    <row r="589" spans="2:7" x14ac:dyDescent="0.25">
      <c r="B589" s="118"/>
      <c r="C589" s="241"/>
      <c r="D589" s="231"/>
      <c r="E589" s="241"/>
      <c r="G589" s="119"/>
    </row>
    <row r="590" spans="2:7" x14ac:dyDescent="0.25">
      <c r="B590" s="118"/>
      <c r="C590" s="241"/>
      <c r="D590" s="231"/>
      <c r="E590" s="241"/>
      <c r="G590" s="119"/>
    </row>
    <row r="591" spans="2:7" x14ac:dyDescent="0.25">
      <c r="B591" s="118"/>
      <c r="C591" s="241"/>
      <c r="D591" s="231"/>
      <c r="E591" s="241"/>
      <c r="G591" s="119"/>
    </row>
    <row r="592" spans="2:7" x14ac:dyDescent="0.25">
      <c r="B592" s="118"/>
      <c r="C592" s="241"/>
      <c r="D592" s="231"/>
      <c r="E592" s="241"/>
      <c r="G592" s="119"/>
    </row>
    <row r="593" spans="2:7" x14ac:dyDescent="0.25">
      <c r="B593" s="118"/>
      <c r="C593" s="241"/>
      <c r="D593" s="231"/>
      <c r="E593" s="241"/>
      <c r="G593" s="119"/>
    </row>
    <row r="594" spans="2:7" x14ac:dyDescent="0.25">
      <c r="B594" s="118"/>
      <c r="C594" s="241"/>
      <c r="D594" s="231"/>
      <c r="E594" s="241"/>
      <c r="G594" s="119"/>
    </row>
    <row r="595" spans="2:7" x14ac:dyDescent="0.25">
      <c r="B595" s="118"/>
      <c r="C595" s="241"/>
      <c r="D595" s="231"/>
      <c r="E595" s="241"/>
      <c r="G595" s="119"/>
    </row>
    <row r="596" spans="2:7" x14ac:dyDescent="0.25">
      <c r="B596" s="118"/>
      <c r="C596" s="241"/>
      <c r="D596" s="231"/>
      <c r="E596" s="241"/>
      <c r="G596" s="119"/>
    </row>
    <row r="597" spans="2:7" x14ac:dyDescent="0.25">
      <c r="B597" s="118"/>
      <c r="C597" s="241"/>
      <c r="D597" s="231"/>
      <c r="E597" s="241"/>
      <c r="G597" s="119"/>
    </row>
    <row r="598" spans="2:7" x14ac:dyDescent="0.25">
      <c r="B598" s="118"/>
      <c r="C598" s="241"/>
      <c r="D598" s="231"/>
      <c r="E598" s="241"/>
      <c r="G598" s="119"/>
    </row>
    <row r="599" spans="2:7" x14ac:dyDescent="0.25">
      <c r="B599" s="118"/>
      <c r="C599" s="241"/>
      <c r="D599" s="231"/>
      <c r="E599" s="241"/>
      <c r="G599" s="119"/>
    </row>
    <row r="600" spans="2:7" x14ac:dyDescent="0.25">
      <c r="B600" s="118"/>
      <c r="C600" s="241"/>
      <c r="D600" s="231"/>
      <c r="E600" s="241"/>
      <c r="G600" s="119"/>
    </row>
    <row r="601" spans="2:7" x14ac:dyDescent="0.25">
      <c r="B601" s="118"/>
      <c r="C601" s="241"/>
      <c r="D601" s="231"/>
      <c r="E601" s="241"/>
      <c r="G601" s="119"/>
    </row>
    <row r="602" spans="2:7" x14ac:dyDescent="0.25">
      <c r="B602" s="118"/>
      <c r="C602" s="241"/>
      <c r="D602" s="231"/>
      <c r="E602" s="241"/>
      <c r="G602" s="119"/>
    </row>
    <row r="603" spans="2:7" x14ac:dyDescent="0.25">
      <c r="B603" s="118"/>
      <c r="C603" s="241"/>
      <c r="D603" s="231"/>
      <c r="E603" s="241"/>
      <c r="G603" s="119"/>
    </row>
    <row r="604" spans="2:7" x14ac:dyDescent="0.25">
      <c r="B604" s="118"/>
      <c r="C604" s="241"/>
      <c r="D604" s="231"/>
      <c r="E604" s="241"/>
      <c r="G604" s="119"/>
    </row>
    <row r="605" spans="2:7" x14ac:dyDescent="0.25">
      <c r="B605" s="118"/>
      <c r="C605" s="241"/>
      <c r="D605" s="231"/>
      <c r="E605" s="241"/>
      <c r="G605" s="119"/>
    </row>
    <row r="606" spans="2:7" x14ac:dyDescent="0.25">
      <c r="B606" s="118"/>
      <c r="C606" s="241"/>
      <c r="D606" s="231"/>
      <c r="E606" s="241"/>
      <c r="G606" s="119"/>
    </row>
    <row r="607" spans="2:7" x14ac:dyDescent="0.25">
      <c r="B607" s="118"/>
      <c r="C607" s="241"/>
      <c r="D607" s="231"/>
      <c r="E607" s="241"/>
      <c r="G607" s="119"/>
    </row>
    <row r="608" spans="2:7" x14ac:dyDescent="0.25">
      <c r="B608" s="118"/>
      <c r="C608" s="241"/>
      <c r="D608" s="231"/>
      <c r="E608" s="241"/>
      <c r="G608" s="119"/>
    </row>
    <row r="609" spans="2:7" x14ac:dyDescent="0.25">
      <c r="B609" s="118"/>
      <c r="C609" s="241"/>
      <c r="D609" s="231"/>
      <c r="E609" s="241"/>
      <c r="G609" s="119"/>
    </row>
    <row r="610" spans="2:7" x14ac:dyDescent="0.25">
      <c r="B610" s="118"/>
      <c r="C610" s="241"/>
      <c r="D610" s="231"/>
      <c r="E610" s="241"/>
      <c r="G610" s="119"/>
    </row>
    <row r="611" spans="2:7" x14ac:dyDescent="0.25">
      <c r="B611" s="118"/>
      <c r="C611" s="241"/>
      <c r="D611" s="231"/>
      <c r="E611" s="241"/>
      <c r="G611" s="119"/>
    </row>
    <row r="612" spans="2:7" x14ac:dyDescent="0.25">
      <c r="B612" s="118"/>
      <c r="C612" s="241"/>
      <c r="D612" s="231"/>
      <c r="E612" s="241"/>
      <c r="G612" s="119"/>
    </row>
    <row r="613" spans="2:7" x14ac:dyDescent="0.25">
      <c r="B613" s="118"/>
      <c r="C613" s="241"/>
      <c r="D613" s="231"/>
      <c r="E613" s="241"/>
      <c r="G613" s="119"/>
    </row>
    <row r="614" spans="2:7" x14ac:dyDescent="0.25">
      <c r="B614" s="118"/>
      <c r="C614" s="241"/>
      <c r="D614" s="231"/>
      <c r="E614" s="241"/>
      <c r="G614" s="119"/>
    </row>
    <row r="615" spans="2:7" x14ac:dyDescent="0.25">
      <c r="B615" s="118"/>
      <c r="C615" s="241"/>
      <c r="D615" s="231"/>
      <c r="E615" s="241"/>
      <c r="G615" s="119"/>
    </row>
    <row r="616" spans="2:7" x14ac:dyDescent="0.25">
      <c r="B616" s="118"/>
      <c r="C616" s="241"/>
      <c r="D616" s="231"/>
      <c r="E616" s="241"/>
      <c r="G616" s="119"/>
    </row>
    <row r="617" spans="2:7" x14ac:dyDescent="0.25">
      <c r="B617" s="118"/>
      <c r="C617" s="241"/>
      <c r="D617" s="231"/>
      <c r="E617" s="241"/>
      <c r="G617" s="119"/>
    </row>
    <row r="618" spans="2:7" x14ac:dyDescent="0.25">
      <c r="B618" s="118"/>
      <c r="C618" s="241"/>
      <c r="D618" s="231"/>
      <c r="E618" s="241"/>
      <c r="G618" s="119"/>
    </row>
    <row r="619" spans="2:7" x14ac:dyDescent="0.25">
      <c r="B619" s="118"/>
      <c r="C619" s="241"/>
      <c r="D619" s="231"/>
      <c r="E619" s="241"/>
      <c r="G619" s="119"/>
    </row>
    <row r="620" spans="2:7" x14ac:dyDescent="0.25">
      <c r="B620" s="118"/>
      <c r="C620" s="241"/>
      <c r="D620" s="231"/>
      <c r="E620" s="241"/>
      <c r="G620" s="119"/>
    </row>
    <row r="621" spans="2:7" x14ac:dyDescent="0.25">
      <c r="B621" s="118"/>
      <c r="C621" s="241"/>
      <c r="D621" s="231"/>
      <c r="E621" s="241"/>
      <c r="G621" s="119"/>
    </row>
    <row r="622" spans="2:7" x14ac:dyDescent="0.25">
      <c r="B622" s="118"/>
      <c r="C622" s="241"/>
      <c r="D622" s="231"/>
      <c r="E622" s="241"/>
      <c r="G622" s="119"/>
    </row>
    <row r="623" spans="2:7" x14ac:dyDescent="0.25">
      <c r="B623" s="118"/>
      <c r="C623" s="241"/>
      <c r="D623" s="231"/>
      <c r="E623" s="241"/>
      <c r="G623" s="119"/>
    </row>
    <row r="624" spans="2:7" x14ac:dyDescent="0.25">
      <c r="B624" s="118"/>
      <c r="C624" s="241"/>
      <c r="D624" s="231"/>
      <c r="E624" s="241"/>
      <c r="G624" s="119"/>
    </row>
    <row r="625" spans="2:7" x14ac:dyDescent="0.25">
      <c r="B625" s="118"/>
      <c r="C625" s="241"/>
      <c r="D625" s="231"/>
      <c r="E625" s="241"/>
      <c r="G625" s="119"/>
    </row>
    <row r="626" spans="2:7" x14ac:dyDescent="0.25">
      <c r="B626" s="118"/>
      <c r="C626" s="241"/>
      <c r="D626" s="231"/>
      <c r="E626" s="241"/>
      <c r="G626" s="119"/>
    </row>
    <row r="627" spans="2:7" x14ac:dyDescent="0.25">
      <c r="B627" s="118"/>
      <c r="C627" s="241"/>
      <c r="D627" s="231"/>
      <c r="E627" s="241"/>
      <c r="G627" s="119"/>
    </row>
    <row r="628" spans="2:7" x14ac:dyDescent="0.25">
      <c r="B628" s="118"/>
      <c r="C628" s="241"/>
      <c r="D628" s="231"/>
      <c r="E628" s="241"/>
      <c r="G628" s="119"/>
    </row>
    <row r="629" spans="2:7" x14ac:dyDescent="0.25">
      <c r="B629" s="118"/>
      <c r="C629" s="241"/>
      <c r="D629" s="231"/>
      <c r="E629" s="241"/>
      <c r="G629" s="119"/>
    </row>
    <row r="630" spans="2:7" x14ac:dyDescent="0.25">
      <c r="B630" s="118"/>
      <c r="C630" s="241"/>
      <c r="D630" s="231"/>
      <c r="E630" s="241"/>
      <c r="G630" s="119"/>
    </row>
    <row r="631" spans="2:7" x14ac:dyDescent="0.25">
      <c r="B631" s="118"/>
      <c r="C631" s="241"/>
      <c r="D631" s="231"/>
      <c r="E631" s="241"/>
      <c r="G631" s="119"/>
    </row>
    <row r="632" spans="2:7" x14ac:dyDescent="0.25">
      <c r="B632" s="118"/>
      <c r="C632" s="241"/>
      <c r="D632" s="231"/>
      <c r="E632" s="241"/>
      <c r="G632" s="119"/>
    </row>
    <row r="633" spans="2:7" x14ac:dyDescent="0.25">
      <c r="B633" s="118"/>
      <c r="C633" s="241"/>
      <c r="D633" s="231"/>
      <c r="E633" s="241"/>
      <c r="G633" s="119"/>
    </row>
    <row r="634" spans="2:7" x14ac:dyDescent="0.25">
      <c r="B634" s="118"/>
      <c r="C634" s="241"/>
      <c r="D634" s="231"/>
      <c r="E634" s="241"/>
      <c r="G634" s="119"/>
    </row>
    <row r="635" spans="2:7" x14ac:dyDescent="0.25">
      <c r="B635" s="118"/>
      <c r="C635" s="241"/>
      <c r="D635" s="231"/>
      <c r="E635" s="241"/>
      <c r="G635" s="119"/>
    </row>
    <row r="636" spans="2:7" x14ac:dyDescent="0.25">
      <c r="B636" s="118"/>
      <c r="C636" s="241"/>
      <c r="D636" s="231"/>
      <c r="E636" s="241"/>
      <c r="G636" s="119"/>
    </row>
    <row r="637" spans="2:7" x14ac:dyDescent="0.25">
      <c r="B637" s="118"/>
      <c r="C637" s="241"/>
      <c r="D637" s="231"/>
      <c r="E637" s="241"/>
      <c r="G637" s="119"/>
    </row>
    <row r="638" spans="2:7" x14ac:dyDescent="0.25">
      <c r="B638" s="118"/>
      <c r="C638" s="241"/>
      <c r="D638" s="231"/>
      <c r="E638" s="241"/>
      <c r="G638" s="119"/>
    </row>
    <row r="639" spans="2:7" x14ac:dyDescent="0.25">
      <c r="B639" s="118"/>
      <c r="C639" s="241"/>
      <c r="D639" s="231"/>
      <c r="E639" s="241"/>
      <c r="G639" s="119"/>
    </row>
    <row r="640" spans="2:7" x14ac:dyDescent="0.25">
      <c r="B640" s="118"/>
      <c r="C640" s="241"/>
      <c r="D640" s="231"/>
      <c r="E640" s="241"/>
      <c r="G640" s="119"/>
    </row>
    <row r="641" spans="2:7" x14ac:dyDescent="0.25">
      <c r="B641" s="118"/>
      <c r="C641" s="241"/>
      <c r="D641" s="231"/>
      <c r="E641" s="241"/>
      <c r="G641" s="119"/>
    </row>
    <row r="642" spans="2:7" x14ac:dyDescent="0.25">
      <c r="B642" s="118"/>
      <c r="C642" s="241"/>
      <c r="D642" s="231"/>
      <c r="E642" s="241"/>
      <c r="G642" s="119"/>
    </row>
    <row r="643" spans="2:7" x14ac:dyDescent="0.25">
      <c r="B643" s="118"/>
      <c r="C643" s="241"/>
      <c r="D643" s="231"/>
      <c r="E643" s="241"/>
      <c r="G643" s="119"/>
    </row>
    <row r="644" spans="2:7" x14ac:dyDescent="0.25">
      <c r="B644" s="118"/>
      <c r="C644" s="241"/>
      <c r="D644" s="231"/>
      <c r="E644" s="241"/>
      <c r="G644" s="119"/>
    </row>
    <row r="645" spans="2:7" x14ac:dyDescent="0.25">
      <c r="B645" s="118"/>
      <c r="C645" s="241"/>
      <c r="D645" s="231"/>
      <c r="E645" s="241"/>
      <c r="G645" s="119"/>
    </row>
    <row r="646" spans="2:7" x14ac:dyDescent="0.25">
      <c r="B646" s="118"/>
      <c r="C646" s="241"/>
      <c r="D646" s="231"/>
      <c r="E646" s="241"/>
      <c r="G646" s="119"/>
    </row>
    <row r="647" spans="2:7" x14ac:dyDescent="0.25">
      <c r="B647" s="118"/>
      <c r="C647" s="241"/>
      <c r="D647" s="231"/>
      <c r="E647" s="241"/>
      <c r="G647" s="119"/>
    </row>
    <row r="648" spans="2:7" x14ac:dyDescent="0.25">
      <c r="B648" s="118"/>
      <c r="C648" s="241"/>
      <c r="D648" s="231"/>
      <c r="E648" s="241"/>
      <c r="G648" s="119"/>
    </row>
    <row r="649" spans="2:7" x14ac:dyDescent="0.25">
      <c r="B649" s="118"/>
      <c r="C649" s="241"/>
      <c r="D649" s="231"/>
      <c r="E649" s="241"/>
      <c r="G649" s="119"/>
    </row>
    <row r="650" spans="2:7" x14ac:dyDescent="0.25">
      <c r="B650" s="118"/>
      <c r="C650" s="241"/>
      <c r="D650" s="231"/>
      <c r="E650" s="241"/>
      <c r="G650" s="119"/>
    </row>
    <row r="651" spans="2:7" x14ac:dyDescent="0.25">
      <c r="B651" s="118"/>
      <c r="C651" s="241"/>
      <c r="D651" s="231"/>
      <c r="E651" s="241"/>
      <c r="G651" s="119"/>
    </row>
    <row r="652" spans="2:7" x14ac:dyDescent="0.25">
      <c r="B652" s="118"/>
      <c r="C652" s="241"/>
      <c r="D652" s="231"/>
      <c r="E652" s="241"/>
      <c r="G652" s="119"/>
    </row>
    <row r="653" spans="2:7" x14ac:dyDescent="0.25">
      <c r="B653" s="118"/>
      <c r="C653" s="241"/>
      <c r="D653" s="231"/>
      <c r="E653" s="241"/>
      <c r="G653" s="119"/>
    </row>
    <row r="654" spans="2:7" x14ac:dyDescent="0.25">
      <c r="B654" s="118"/>
      <c r="C654" s="241"/>
      <c r="D654" s="231"/>
      <c r="E654" s="241"/>
      <c r="G654" s="119"/>
    </row>
    <row r="655" spans="2:7" x14ac:dyDescent="0.25">
      <c r="B655" s="118"/>
      <c r="C655" s="241"/>
      <c r="D655" s="231"/>
      <c r="E655" s="241"/>
      <c r="G655" s="119"/>
    </row>
    <row r="656" spans="2:7" x14ac:dyDescent="0.25">
      <c r="B656" s="118"/>
      <c r="C656" s="241"/>
      <c r="D656" s="231"/>
      <c r="E656" s="241"/>
      <c r="G656" s="119"/>
    </row>
    <row r="657" spans="2:7" x14ac:dyDescent="0.25">
      <c r="B657" s="118"/>
      <c r="C657" s="241"/>
      <c r="D657" s="231"/>
      <c r="E657" s="241"/>
      <c r="G657" s="119"/>
    </row>
    <row r="658" spans="2:7" x14ac:dyDescent="0.25">
      <c r="B658" s="118"/>
      <c r="C658" s="241"/>
      <c r="D658" s="231"/>
      <c r="E658" s="241"/>
      <c r="G658" s="119"/>
    </row>
    <row r="659" spans="2:7" x14ac:dyDescent="0.25">
      <c r="B659" s="118"/>
      <c r="C659" s="241"/>
      <c r="D659" s="231"/>
      <c r="E659" s="241"/>
      <c r="G659" s="119"/>
    </row>
    <row r="660" spans="2:7" x14ac:dyDescent="0.25">
      <c r="B660" s="118"/>
      <c r="C660" s="241"/>
      <c r="D660" s="231"/>
      <c r="E660" s="241"/>
      <c r="G660" s="119"/>
    </row>
    <row r="661" spans="2:7" x14ac:dyDescent="0.25">
      <c r="B661" s="118"/>
      <c r="C661" s="241"/>
      <c r="D661" s="231"/>
      <c r="E661" s="241"/>
      <c r="G661" s="119"/>
    </row>
    <row r="662" spans="2:7" x14ac:dyDescent="0.25">
      <c r="B662" s="118"/>
      <c r="C662" s="241"/>
      <c r="D662" s="231"/>
      <c r="E662" s="241"/>
      <c r="G662" s="119"/>
    </row>
    <row r="663" spans="2:7" x14ac:dyDescent="0.25">
      <c r="B663" s="118"/>
      <c r="C663" s="241"/>
      <c r="D663" s="231"/>
      <c r="E663" s="241"/>
      <c r="G663" s="119"/>
    </row>
    <row r="664" spans="2:7" x14ac:dyDescent="0.25">
      <c r="B664" s="118"/>
      <c r="C664" s="241"/>
      <c r="D664" s="231"/>
      <c r="E664" s="241"/>
      <c r="G664" s="119"/>
    </row>
    <row r="665" spans="2:7" x14ac:dyDescent="0.25">
      <c r="B665" s="118"/>
      <c r="C665" s="241"/>
      <c r="D665" s="231"/>
      <c r="E665" s="241"/>
      <c r="G665" s="119"/>
    </row>
    <row r="666" spans="2:7" x14ac:dyDescent="0.25">
      <c r="B666" s="118"/>
      <c r="C666" s="241"/>
      <c r="D666" s="231"/>
      <c r="E666" s="241"/>
      <c r="G666" s="119"/>
    </row>
    <row r="667" spans="2:7" x14ac:dyDescent="0.25">
      <c r="B667" s="118"/>
      <c r="C667" s="241"/>
      <c r="D667" s="231"/>
      <c r="E667" s="241"/>
      <c r="G667" s="119"/>
    </row>
    <row r="668" spans="2:7" x14ac:dyDescent="0.25">
      <c r="B668" s="118"/>
      <c r="C668" s="241"/>
      <c r="D668" s="231"/>
      <c r="E668" s="241"/>
      <c r="G668" s="119"/>
    </row>
    <row r="669" spans="2:7" x14ac:dyDescent="0.25">
      <c r="B669" s="118"/>
      <c r="C669" s="241"/>
      <c r="D669" s="231"/>
      <c r="E669" s="241"/>
      <c r="G669" s="119"/>
    </row>
    <row r="670" spans="2:7" x14ac:dyDescent="0.25">
      <c r="B670" s="118"/>
      <c r="C670" s="241"/>
      <c r="D670" s="231"/>
      <c r="E670" s="241"/>
      <c r="G670" s="119"/>
    </row>
    <row r="671" spans="2:7" x14ac:dyDescent="0.25">
      <c r="B671" s="118"/>
      <c r="C671" s="241"/>
      <c r="D671" s="231"/>
      <c r="E671" s="241"/>
      <c r="G671" s="119"/>
    </row>
    <row r="672" spans="2:7" x14ac:dyDescent="0.25">
      <c r="B672" s="118"/>
      <c r="C672" s="241"/>
      <c r="D672" s="231"/>
      <c r="E672" s="241"/>
      <c r="G672" s="119"/>
    </row>
    <row r="673" spans="2:7" x14ac:dyDescent="0.25">
      <c r="B673" s="118"/>
      <c r="C673" s="241"/>
      <c r="D673" s="231"/>
      <c r="E673" s="241"/>
      <c r="G673" s="119"/>
    </row>
    <row r="674" spans="2:7" x14ac:dyDescent="0.25">
      <c r="B674" s="118"/>
      <c r="C674" s="241"/>
      <c r="D674" s="231"/>
      <c r="E674" s="241"/>
      <c r="G674" s="119"/>
    </row>
    <row r="675" spans="2:7" x14ac:dyDescent="0.25">
      <c r="B675" s="118"/>
      <c r="C675" s="241"/>
      <c r="D675" s="231"/>
      <c r="E675" s="241"/>
      <c r="G675" s="119"/>
    </row>
    <row r="676" spans="2:7" x14ac:dyDescent="0.25">
      <c r="B676" s="118"/>
      <c r="C676" s="241"/>
      <c r="D676" s="231"/>
      <c r="E676" s="241"/>
      <c r="G676" s="119"/>
    </row>
    <row r="677" spans="2:7" x14ac:dyDescent="0.25">
      <c r="B677" s="118"/>
      <c r="C677" s="241"/>
      <c r="D677" s="231"/>
      <c r="E677" s="241"/>
      <c r="G677" s="119"/>
    </row>
    <row r="678" spans="2:7" x14ac:dyDescent="0.25">
      <c r="B678" s="118"/>
      <c r="C678" s="241"/>
      <c r="D678" s="231"/>
      <c r="E678" s="241"/>
      <c r="G678" s="119"/>
    </row>
    <row r="679" spans="2:7" x14ac:dyDescent="0.25">
      <c r="B679" s="118"/>
      <c r="C679" s="241"/>
      <c r="D679" s="231"/>
      <c r="E679" s="241"/>
      <c r="G679" s="119"/>
    </row>
    <row r="680" spans="2:7" x14ac:dyDescent="0.25">
      <c r="B680" s="118"/>
      <c r="C680" s="241"/>
      <c r="D680" s="231"/>
      <c r="E680" s="241"/>
      <c r="G680" s="119"/>
    </row>
    <row r="681" spans="2:7" x14ac:dyDescent="0.25">
      <c r="B681" s="118"/>
      <c r="C681" s="241"/>
      <c r="D681" s="231"/>
      <c r="E681" s="241"/>
      <c r="G681" s="119"/>
    </row>
    <row r="682" spans="2:7" x14ac:dyDescent="0.25">
      <c r="B682" s="118"/>
      <c r="C682" s="241"/>
      <c r="D682" s="231"/>
      <c r="E682" s="241"/>
      <c r="G682" s="119"/>
    </row>
    <row r="683" spans="2:7" x14ac:dyDescent="0.25">
      <c r="B683" s="118"/>
      <c r="C683" s="241"/>
      <c r="D683" s="231"/>
      <c r="E683" s="241"/>
      <c r="G683" s="119"/>
    </row>
    <row r="684" spans="2:7" x14ac:dyDescent="0.25">
      <c r="B684" s="118"/>
      <c r="C684" s="241"/>
      <c r="D684" s="231"/>
      <c r="E684" s="241"/>
      <c r="G684" s="119"/>
    </row>
    <row r="685" spans="2:7" x14ac:dyDescent="0.25">
      <c r="B685" s="118"/>
      <c r="C685" s="241"/>
      <c r="D685" s="231"/>
      <c r="E685" s="241"/>
      <c r="G685" s="119"/>
    </row>
    <row r="686" spans="2:7" x14ac:dyDescent="0.25">
      <c r="B686" s="118"/>
      <c r="C686" s="241"/>
      <c r="D686" s="231"/>
      <c r="E686" s="241"/>
      <c r="G686" s="119"/>
    </row>
    <row r="687" spans="2:7" x14ac:dyDescent="0.25">
      <c r="B687" s="118"/>
      <c r="C687" s="241"/>
      <c r="D687" s="231"/>
      <c r="E687" s="241"/>
      <c r="G687" s="119"/>
    </row>
    <row r="688" spans="2:7" x14ac:dyDescent="0.25">
      <c r="B688" s="118"/>
      <c r="C688" s="241"/>
      <c r="D688" s="231"/>
      <c r="E688" s="241"/>
      <c r="G688" s="119"/>
    </row>
    <row r="689" spans="2:7" x14ac:dyDescent="0.25">
      <c r="B689" s="118"/>
      <c r="C689" s="241"/>
      <c r="D689" s="231"/>
      <c r="E689" s="241"/>
      <c r="G689" s="119"/>
    </row>
    <row r="690" spans="2:7" x14ac:dyDescent="0.25">
      <c r="B690" s="118"/>
      <c r="C690" s="241"/>
      <c r="D690" s="231"/>
      <c r="E690" s="241"/>
      <c r="G690" s="119"/>
    </row>
    <row r="691" spans="2:7" x14ac:dyDescent="0.25">
      <c r="B691" s="118"/>
      <c r="C691" s="241"/>
      <c r="D691" s="231"/>
      <c r="E691" s="241"/>
      <c r="G691" s="119"/>
    </row>
    <row r="692" spans="2:7" x14ac:dyDescent="0.25">
      <c r="B692" s="118"/>
      <c r="C692" s="241"/>
      <c r="D692" s="231"/>
      <c r="E692" s="241"/>
      <c r="G692" s="119"/>
    </row>
    <row r="693" spans="2:7" x14ac:dyDescent="0.25">
      <c r="B693" s="118"/>
      <c r="C693" s="241"/>
      <c r="D693" s="231"/>
      <c r="E693" s="241"/>
      <c r="G693" s="119"/>
    </row>
    <row r="694" spans="2:7" x14ac:dyDescent="0.25">
      <c r="B694" s="118"/>
      <c r="C694" s="241"/>
      <c r="D694" s="231"/>
      <c r="E694" s="241"/>
      <c r="G694" s="119"/>
    </row>
    <row r="695" spans="2:7" x14ac:dyDescent="0.25">
      <c r="B695" s="118"/>
      <c r="C695" s="241"/>
      <c r="D695" s="231"/>
      <c r="E695" s="241"/>
      <c r="G695" s="119"/>
    </row>
    <row r="696" spans="2:7" x14ac:dyDescent="0.25">
      <c r="B696" s="118"/>
      <c r="C696" s="241"/>
      <c r="D696" s="231"/>
      <c r="E696" s="241"/>
      <c r="G696" s="119"/>
    </row>
    <row r="697" spans="2:7" x14ac:dyDescent="0.25">
      <c r="B697" s="118"/>
      <c r="C697" s="241"/>
      <c r="D697" s="231"/>
      <c r="E697" s="241"/>
      <c r="G697" s="119"/>
    </row>
    <row r="698" spans="2:7" x14ac:dyDescent="0.25">
      <c r="B698" s="118"/>
      <c r="C698" s="241"/>
      <c r="D698" s="231"/>
      <c r="E698" s="241"/>
      <c r="G698" s="119"/>
    </row>
    <row r="699" spans="2:7" x14ac:dyDescent="0.25">
      <c r="B699" s="118"/>
      <c r="C699" s="241"/>
      <c r="D699" s="231"/>
      <c r="E699" s="241"/>
      <c r="G699" s="119"/>
    </row>
    <row r="700" spans="2:7" x14ac:dyDescent="0.25">
      <c r="B700" s="118"/>
      <c r="C700" s="241"/>
      <c r="D700" s="231"/>
      <c r="E700" s="241"/>
      <c r="G700" s="119"/>
    </row>
    <row r="701" spans="2:7" x14ac:dyDescent="0.25">
      <c r="B701" s="118"/>
      <c r="C701" s="241"/>
      <c r="D701" s="231"/>
      <c r="E701" s="241"/>
      <c r="G701" s="119"/>
    </row>
    <row r="702" spans="2:7" x14ac:dyDescent="0.25">
      <c r="B702" s="118"/>
      <c r="C702" s="241"/>
      <c r="D702" s="231"/>
      <c r="E702" s="241"/>
      <c r="G702" s="119"/>
    </row>
    <row r="703" spans="2:7" x14ac:dyDescent="0.25">
      <c r="B703" s="118"/>
      <c r="C703" s="241"/>
      <c r="D703" s="231"/>
      <c r="E703" s="241"/>
      <c r="G703" s="119"/>
    </row>
    <row r="704" spans="2:7" x14ac:dyDescent="0.25">
      <c r="B704" s="118"/>
      <c r="C704" s="241"/>
      <c r="D704" s="231"/>
      <c r="E704" s="241"/>
      <c r="G704" s="119"/>
    </row>
    <row r="705" spans="2:7" x14ac:dyDescent="0.25">
      <c r="B705" s="118"/>
      <c r="C705" s="241"/>
      <c r="D705" s="231"/>
      <c r="E705" s="241"/>
      <c r="G705" s="119"/>
    </row>
    <row r="706" spans="2:7" x14ac:dyDescent="0.25">
      <c r="B706" s="118"/>
      <c r="C706" s="241"/>
      <c r="D706" s="231"/>
      <c r="E706" s="241"/>
      <c r="G706" s="119"/>
    </row>
    <row r="707" spans="2:7" x14ac:dyDescent="0.25">
      <c r="B707" s="118"/>
      <c r="C707" s="241"/>
      <c r="D707" s="231"/>
      <c r="E707" s="241"/>
      <c r="G707" s="119"/>
    </row>
    <row r="708" spans="2:7" x14ac:dyDescent="0.25">
      <c r="B708" s="118"/>
      <c r="C708" s="241"/>
      <c r="D708" s="231"/>
      <c r="E708" s="241"/>
      <c r="G708" s="119"/>
    </row>
    <row r="709" spans="2:7" x14ac:dyDescent="0.25">
      <c r="B709" s="118"/>
      <c r="C709" s="241"/>
      <c r="D709" s="231"/>
      <c r="E709" s="241"/>
      <c r="G709" s="119"/>
    </row>
    <row r="710" spans="2:7" x14ac:dyDescent="0.25">
      <c r="B710" s="118"/>
      <c r="C710" s="241"/>
      <c r="D710" s="231"/>
      <c r="E710" s="241"/>
      <c r="G710" s="119"/>
    </row>
    <row r="711" spans="2:7" x14ac:dyDescent="0.25">
      <c r="B711" s="118"/>
      <c r="C711" s="241"/>
      <c r="D711" s="231"/>
      <c r="E711" s="241"/>
      <c r="G711" s="119"/>
    </row>
    <row r="712" spans="2:7" x14ac:dyDescent="0.25">
      <c r="B712" s="118"/>
      <c r="C712" s="241"/>
      <c r="D712" s="231"/>
      <c r="E712" s="241"/>
      <c r="G712" s="119"/>
    </row>
    <row r="713" spans="2:7" x14ac:dyDescent="0.25">
      <c r="B713" s="118"/>
      <c r="C713" s="241"/>
      <c r="D713" s="231"/>
      <c r="E713" s="241"/>
      <c r="G713" s="119"/>
    </row>
    <row r="714" spans="2:7" x14ac:dyDescent="0.25">
      <c r="B714" s="118"/>
      <c r="C714" s="241"/>
      <c r="D714" s="231"/>
      <c r="E714" s="241"/>
      <c r="G714" s="119"/>
    </row>
    <row r="715" spans="2:7" x14ac:dyDescent="0.25">
      <c r="B715" s="118"/>
      <c r="C715" s="241"/>
      <c r="D715" s="231"/>
      <c r="E715" s="241"/>
      <c r="G715" s="119"/>
    </row>
    <row r="716" spans="2:7" x14ac:dyDescent="0.25">
      <c r="B716" s="118"/>
      <c r="C716" s="241"/>
      <c r="D716" s="231"/>
      <c r="E716" s="241"/>
      <c r="G716" s="119"/>
    </row>
    <row r="717" spans="2:7" x14ac:dyDescent="0.25">
      <c r="B717" s="118"/>
      <c r="C717" s="241"/>
      <c r="D717" s="231"/>
      <c r="E717" s="241"/>
      <c r="G717" s="119"/>
    </row>
    <row r="718" spans="2:7" x14ac:dyDescent="0.25">
      <c r="B718" s="118"/>
      <c r="C718" s="241"/>
      <c r="D718" s="231"/>
      <c r="E718" s="241"/>
      <c r="G718" s="119"/>
    </row>
    <row r="719" spans="2:7" x14ac:dyDescent="0.25">
      <c r="B719" s="118"/>
      <c r="C719" s="241"/>
      <c r="D719" s="231"/>
      <c r="E719" s="241"/>
      <c r="G719" s="119"/>
    </row>
    <row r="720" spans="2:7" x14ac:dyDescent="0.25">
      <c r="B720" s="118"/>
      <c r="C720" s="241"/>
      <c r="D720" s="231"/>
      <c r="E720" s="241"/>
      <c r="G720" s="119"/>
    </row>
    <row r="721" spans="2:7" x14ac:dyDescent="0.25">
      <c r="B721" s="118"/>
      <c r="C721" s="241"/>
      <c r="D721" s="231"/>
      <c r="E721" s="241"/>
      <c r="G721" s="119"/>
    </row>
    <row r="722" spans="2:7" x14ac:dyDescent="0.25">
      <c r="B722" s="118"/>
      <c r="C722" s="241"/>
      <c r="D722" s="231"/>
      <c r="E722" s="241"/>
      <c r="G722" s="119"/>
    </row>
    <row r="723" spans="2:7" x14ac:dyDescent="0.25">
      <c r="B723" s="118"/>
      <c r="C723" s="241"/>
      <c r="D723" s="231"/>
      <c r="E723" s="241"/>
      <c r="G723" s="119"/>
    </row>
    <row r="724" spans="2:7" x14ac:dyDescent="0.25">
      <c r="B724" s="118"/>
      <c r="C724" s="241"/>
      <c r="D724" s="231"/>
      <c r="E724" s="241"/>
      <c r="G724" s="119"/>
    </row>
    <row r="725" spans="2:7" x14ac:dyDescent="0.25">
      <c r="B725" s="118"/>
      <c r="C725" s="241"/>
      <c r="D725" s="231"/>
      <c r="E725" s="241"/>
      <c r="G725" s="119"/>
    </row>
    <row r="726" spans="2:7" x14ac:dyDescent="0.25">
      <c r="B726" s="118"/>
      <c r="C726" s="241"/>
      <c r="D726" s="231"/>
      <c r="E726" s="241"/>
      <c r="G726" s="119"/>
    </row>
    <row r="727" spans="2:7" x14ac:dyDescent="0.25">
      <c r="B727" s="118"/>
      <c r="C727" s="241"/>
      <c r="D727" s="231"/>
      <c r="E727" s="241"/>
      <c r="G727" s="119"/>
    </row>
    <row r="728" spans="2:7" x14ac:dyDescent="0.25">
      <c r="B728" s="118"/>
      <c r="C728" s="241"/>
      <c r="D728" s="231"/>
      <c r="E728" s="241"/>
      <c r="G728" s="119"/>
    </row>
    <row r="729" spans="2:7" x14ac:dyDescent="0.25">
      <c r="B729" s="118"/>
      <c r="C729" s="241"/>
      <c r="D729" s="231"/>
      <c r="E729" s="241"/>
      <c r="G729" s="119"/>
    </row>
    <row r="730" spans="2:7" x14ac:dyDescent="0.25">
      <c r="B730" s="118"/>
      <c r="C730" s="241"/>
      <c r="D730" s="231"/>
      <c r="E730" s="241"/>
      <c r="G730" s="119"/>
    </row>
    <row r="731" spans="2:7" x14ac:dyDescent="0.25">
      <c r="B731" s="118"/>
      <c r="C731" s="241"/>
      <c r="D731" s="231"/>
      <c r="E731" s="241"/>
      <c r="G731" s="119"/>
    </row>
    <row r="732" spans="2:7" x14ac:dyDescent="0.25">
      <c r="B732" s="118"/>
      <c r="C732" s="241"/>
      <c r="D732" s="231"/>
      <c r="E732" s="241"/>
      <c r="G732" s="119"/>
    </row>
    <row r="733" spans="2:7" x14ac:dyDescent="0.25">
      <c r="B733" s="118"/>
      <c r="C733" s="241"/>
      <c r="D733" s="231"/>
      <c r="E733" s="241"/>
      <c r="G733" s="119"/>
    </row>
    <row r="734" spans="2:7" x14ac:dyDescent="0.25">
      <c r="B734" s="118"/>
      <c r="C734" s="241"/>
      <c r="D734" s="231"/>
      <c r="E734" s="241"/>
      <c r="G734" s="119"/>
    </row>
    <row r="735" spans="2:7" x14ac:dyDescent="0.25">
      <c r="B735" s="118"/>
      <c r="C735" s="241"/>
      <c r="D735" s="231"/>
      <c r="E735" s="241"/>
      <c r="G735" s="119"/>
    </row>
    <row r="736" spans="2:7" x14ac:dyDescent="0.25">
      <c r="B736" s="118"/>
      <c r="C736" s="241"/>
      <c r="D736" s="231"/>
      <c r="E736" s="241"/>
      <c r="G736" s="119"/>
    </row>
    <row r="737" spans="2:7" x14ac:dyDescent="0.25">
      <c r="B737" s="118"/>
      <c r="C737" s="241"/>
      <c r="D737" s="231"/>
      <c r="E737" s="241"/>
      <c r="G737" s="119"/>
    </row>
    <row r="738" spans="2:7" x14ac:dyDescent="0.25">
      <c r="B738" s="118"/>
      <c r="C738" s="241"/>
      <c r="D738" s="231"/>
      <c r="E738" s="241"/>
      <c r="G738" s="119"/>
    </row>
    <row r="739" spans="2:7" x14ac:dyDescent="0.25">
      <c r="B739" s="118"/>
      <c r="C739" s="241"/>
      <c r="D739" s="231"/>
      <c r="E739" s="241"/>
      <c r="G739" s="119"/>
    </row>
    <row r="740" spans="2:7" x14ac:dyDescent="0.25">
      <c r="B740" s="118"/>
      <c r="C740" s="241"/>
      <c r="D740" s="231"/>
      <c r="E740" s="241"/>
      <c r="G740" s="119"/>
    </row>
    <row r="741" spans="2:7" x14ac:dyDescent="0.25">
      <c r="B741" s="118"/>
      <c r="C741" s="241"/>
      <c r="D741" s="231"/>
      <c r="E741" s="241"/>
      <c r="G741" s="119"/>
    </row>
    <row r="742" spans="2:7" x14ac:dyDescent="0.25">
      <c r="B742" s="118"/>
      <c r="C742" s="241"/>
      <c r="D742" s="231"/>
      <c r="E742" s="241"/>
      <c r="G742" s="119"/>
    </row>
    <row r="743" spans="2:7" x14ac:dyDescent="0.25">
      <c r="B743" s="118"/>
      <c r="C743" s="241"/>
      <c r="D743" s="231"/>
      <c r="E743" s="241"/>
      <c r="G743" s="119"/>
    </row>
    <row r="744" spans="2:7" x14ac:dyDescent="0.25">
      <c r="B744" s="118"/>
      <c r="C744" s="241"/>
      <c r="D744" s="231"/>
      <c r="E744" s="241"/>
      <c r="G744" s="119"/>
    </row>
    <row r="745" spans="2:7" x14ac:dyDescent="0.25">
      <c r="B745" s="118"/>
      <c r="C745" s="241"/>
      <c r="D745" s="231"/>
      <c r="E745" s="241"/>
      <c r="G745" s="119"/>
    </row>
    <row r="746" spans="2:7" x14ac:dyDescent="0.25">
      <c r="B746" s="118"/>
      <c r="C746" s="241"/>
      <c r="D746" s="231"/>
      <c r="E746" s="241"/>
      <c r="G746" s="119"/>
    </row>
    <row r="747" spans="2:7" x14ac:dyDescent="0.25">
      <c r="B747" s="118"/>
      <c r="C747" s="241"/>
      <c r="D747" s="231"/>
      <c r="E747" s="241"/>
      <c r="G747" s="119"/>
    </row>
    <row r="748" spans="2:7" x14ac:dyDescent="0.25">
      <c r="B748" s="118"/>
      <c r="C748" s="241"/>
      <c r="D748" s="231"/>
      <c r="E748" s="241"/>
      <c r="G748" s="119"/>
    </row>
    <row r="749" spans="2:7" x14ac:dyDescent="0.25">
      <c r="B749" s="118"/>
      <c r="C749" s="241"/>
      <c r="D749" s="231"/>
      <c r="E749" s="241"/>
      <c r="G749" s="119"/>
    </row>
    <row r="750" spans="2:7" x14ac:dyDescent="0.25">
      <c r="B750" s="118"/>
      <c r="C750" s="241"/>
      <c r="D750" s="231"/>
      <c r="E750" s="241"/>
      <c r="G750" s="119"/>
    </row>
    <row r="751" spans="2:7" x14ac:dyDescent="0.25">
      <c r="B751" s="118"/>
      <c r="C751" s="241"/>
      <c r="D751" s="231"/>
      <c r="E751" s="241"/>
      <c r="G751" s="119"/>
    </row>
    <row r="752" spans="2:7" x14ac:dyDescent="0.25">
      <c r="B752" s="118"/>
      <c r="C752" s="241"/>
      <c r="D752" s="231"/>
      <c r="E752" s="241"/>
      <c r="G752" s="119"/>
    </row>
    <row r="753" spans="2:7" x14ac:dyDescent="0.25">
      <c r="B753" s="118"/>
      <c r="C753" s="241"/>
      <c r="D753" s="231"/>
      <c r="E753" s="241"/>
      <c r="G753" s="119"/>
    </row>
    <row r="754" spans="2:7" x14ac:dyDescent="0.25">
      <c r="B754" s="118"/>
      <c r="C754" s="241"/>
      <c r="D754" s="231"/>
      <c r="E754" s="241"/>
      <c r="G754" s="119"/>
    </row>
    <row r="755" spans="2:7" x14ac:dyDescent="0.25">
      <c r="B755" s="118"/>
      <c r="C755" s="241"/>
      <c r="D755" s="231"/>
      <c r="E755" s="241"/>
      <c r="G755" s="119"/>
    </row>
    <row r="756" spans="2:7" x14ac:dyDescent="0.25">
      <c r="B756" s="118"/>
      <c r="C756" s="241"/>
      <c r="D756" s="231"/>
      <c r="E756" s="241"/>
      <c r="G756" s="119"/>
    </row>
    <row r="757" spans="2:7" x14ac:dyDescent="0.25">
      <c r="B757" s="118"/>
      <c r="C757" s="241"/>
      <c r="D757" s="231"/>
      <c r="E757" s="241"/>
      <c r="G757" s="119"/>
    </row>
    <row r="758" spans="2:7" x14ac:dyDescent="0.25">
      <c r="B758" s="118"/>
      <c r="C758" s="241"/>
      <c r="D758" s="231"/>
      <c r="E758" s="241"/>
      <c r="G758" s="119"/>
    </row>
    <row r="759" spans="2:7" x14ac:dyDescent="0.25">
      <c r="B759" s="118"/>
      <c r="C759" s="241"/>
      <c r="D759" s="231"/>
      <c r="E759" s="241"/>
      <c r="G759" s="119"/>
    </row>
    <row r="760" spans="2:7" x14ac:dyDescent="0.25">
      <c r="B760" s="118"/>
      <c r="C760" s="241"/>
      <c r="D760" s="231"/>
      <c r="E760" s="241"/>
      <c r="G760" s="119"/>
    </row>
    <row r="761" spans="2:7" x14ac:dyDescent="0.25">
      <c r="B761" s="118"/>
      <c r="C761" s="241"/>
      <c r="D761" s="231"/>
      <c r="E761" s="241"/>
      <c r="G761" s="119"/>
    </row>
    <row r="762" spans="2:7" x14ac:dyDescent="0.25">
      <c r="B762" s="118"/>
      <c r="C762" s="241"/>
      <c r="D762" s="231"/>
      <c r="E762" s="241"/>
      <c r="G762" s="119"/>
    </row>
    <row r="763" spans="2:7" x14ac:dyDescent="0.25">
      <c r="B763" s="118"/>
      <c r="C763" s="241"/>
      <c r="D763" s="231"/>
      <c r="E763" s="241"/>
      <c r="G763" s="119"/>
    </row>
    <row r="764" spans="2:7" x14ac:dyDescent="0.25">
      <c r="B764" s="118"/>
      <c r="C764" s="241"/>
      <c r="D764" s="231"/>
      <c r="E764" s="241"/>
      <c r="G764" s="119"/>
    </row>
    <row r="765" spans="2:7" x14ac:dyDescent="0.25">
      <c r="B765" s="118"/>
      <c r="C765" s="241"/>
      <c r="D765" s="231"/>
      <c r="E765" s="241"/>
      <c r="G765" s="119"/>
    </row>
    <row r="766" spans="2:7" x14ac:dyDescent="0.25">
      <c r="B766" s="118"/>
      <c r="C766" s="241"/>
      <c r="D766" s="231"/>
      <c r="E766" s="241"/>
      <c r="G766" s="119"/>
    </row>
    <row r="767" spans="2:7" x14ac:dyDescent="0.25">
      <c r="B767" s="118"/>
      <c r="C767" s="241"/>
      <c r="D767" s="231"/>
      <c r="E767" s="241"/>
      <c r="G767" s="119"/>
    </row>
    <row r="768" spans="2:7" x14ac:dyDescent="0.25">
      <c r="B768" s="118"/>
      <c r="C768" s="241"/>
      <c r="D768" s="231"/>
      <c r="E768" s="241"/>
      <c r="G768" s="119"/>
    </row>
    <row r="769" spans="2:7" x14ac:dyDescent="0.25">
      <c r="B769" s="118"/>
      <c r="C769" s="241"/>
      <c r="D769" s="231"/>
      <c r="E769" s="241"/>
      <c r="G769" s="119"/>
    </row>
    <row r="770" spans="2:7" x14ac:dyDescent="0.25">
      <c r="B770" s="118"/>
      <c r="C770" s="241"/>
      <c r="D770" s="231"/>
      <c r="E770" s="241"/>
      <c r="G770" s="119"/>
    </row>
    <row r="771" spans="2:7" x14ac:dyDescent="0.25">
      <c r="B771" s="118"/>
      <c r="C771" s="241"/>
      <c r="D771" s="231"/>
      <c r="E771" s="241"/>
      <c r="G771" s="119"/>
    </row>
    <row r="772" spans="2:7" x14ac:dyDescent="0.25">
      <c r="B772" s="118"/>
      <c r="C772" s="241"/>
      <c r="D772" s="231"/>
      <c r="E772" s="241"/>
      <c r="G772" s="119"/>
    </row>
    <row r="773" spans="2:7" x14ac:dyDescent="0.25">
      <c r="B773" s="118"/>
      <c r="C773" s="241"/>
      <c r="D773" s="231"/>
      <c r="E773" s="241"/>
      <c r="G773" s="119"/>
    </row>
    <row r="774" spans="2:7" x14ac:dyDescent="0.25">
      <c r="B774" s="118"/>
      <c r="C774" s="241"/>
      <c r="D774" s="231"/>
      <c r="E774" s="241"/>
      <c r="G774" s="119"/>
    </row>
    <row r="775" spans="2:7" x14ac:dyDescent="0.25">
      <c r="B775" s="118"/>
      <c r="C775" s="241"/>
      <c r="D775" s="231"/>
      <c r="E775" s="241"/>
      <c r="G775" s="119"/>
    </row>
    <row r="776" spans="2:7" x14ac:dyDescent="0.25">
      <c r="B776" s="118"/>
      <c r="C776" s="241"/>
      <c r="D776" s="231"/>
      <c r="E776" s="241"/>
      <c r="G776" s="119"/>
    </row>
    <row r="777" spans="2:7" x14ac:dyDescent="0.25">
      <c r="B777" s="118"/>
      <c r="C777" s="241"/>
      <c r="D777" s="231"/>
      <c r="E777" s="241"/>
      <c r="G777" s="119"/>
    </row>
    <row r="778" spans="2:7" x14ac:dyDescent="0.25">
      <c r="B778" s="118"/>
      <c r="C778" s="241"/>
      <c r="D778" s="231"/>
      <c r="E778" s="241"/>
      <c r="G778" s="119"/>
    </row>
    <row r="779" spans="2:7" x14ac:dyDescent="0.25">
      <c r="B779" s="118"/>
      <c r="C779" s="241"/>
      <c r="D779" s="231"/>
      <c r="E779" s="241"/>
      <c r="G779" s="119"/>
    </row>
    <row r="780" spans="2:7" x14ac:dyDescent="0.25">
      <c r="B780" s="118"/>
      <c r="C780" s="241"/>
      <c r="D780" s="231"/>
      <c r="E780" s="241"/>
      <c r="G780" s="119"/>
    </row>
    <row r="781" spans="2:7" x14ac:dyDescent="0.25">
      <c r="B781" s="118"/>
      <c r="C781" s="241"/>
      <c r="D781" s="231"/>
      <c r="E781" s="241"/>
      <c r="G781" s="119"/>
    </row>
    <row r="782" spans="2:7" x14ac:dyDescent="0.25">
      <c r="B782" s="118"/>
      <c r="C782" s="241"/>
      <c r="D782" s="231"/>
      <c r="E782" s="241"/>
      <c r="G782" s="119"/>
    </row>
    <row r="783" spans="2:7" x14ac:dyDescent="0.25">
      <c r="B783" s="118"/>
      <c r="C783" s="241"/>
      <c r="D783" s="231"/>
      <c r="E783" s="241"/>
      <c r="G783" s="119"/>
    </row>
    <row r="784" spans="2:7" x14ac:dyDescent="0.25">
      <c r="B784" s="118"/>
      <c r="C784" s="241"/>
      <c r="D784" s="231"/>
      <c r="E784" s="241"/>
      <c r="G784" s="119"/>
    </row>
    <row r="785" spans="2:7" x14ac:dyDescent="0.25">
      <c r="B785" s="118"/>
      <c r="C785" s="241"/>
      <c r="D785" s="231"/>
      <c r="E785" s="241"/>
      <c r="G785" s="119"/>
    </row>
    <row r="786" spans="2:7" x14ac:dyDescent="0.25">
      <c r="B786" s="118"/>
      <c r="C786" s="241"/>
      <c r="D786" s="231"/>
      <c r="E786" s="241"/>
      <c r="G786" s="119"/>
    </row>
    <row r="787" spans="2:7" x14ac:dyDescent="0.25">
      <c r="B787" s="118"/>
      <c r="C787" s="241"/>
      <c r="D787" s="231"/>
      <c r="E787" s="241"/>
      <c r="G787" s="119"/>
    </row>
    <row r="788" spans="2:7" x14ac:dyDescent="0.25">
      <c r="B788" s="118"/>
      <c r="C788" s="241"/>
      <c r="D788" s="231"/>
      <c r="E788" s="241"/>
      <c r="G788" s="119"/>
    </row>
    <row r="789" spans="2:7" x14ac:dyDescent="0.25">
      <c r="B789" s="118"/>
      <c r="C789" s="241"/>
      <c r="D789" s="231"/>
      <c r="E789" s="241"/>
      <c r="G789" s="119"/>
    </row>
    <row r="790" spans="2:7" x14ac:dyDescent="0.25">
      <c r="B790" s="118"/>
      <c r="C790" s="241"/>
      <c r="D790" s="231"/>
      <c r="E790" s="241"/>
      <c r="G790" s="119"/>
    </row>
    <row r="791" spans="2:7" x14ac:dyDescent="0.25">
      <c r="B791" s="118"/>
      <c r="C791" s="241"/>
      <c r="D791" s="231"/>
      <c r="E791" s="241"/>
      <c r="G791" s="119"/>
    </row>
    <row r="792" spans="2:7" x14ac:dyDescent="0.25">
      <c r="B792" s="118"/>
      <c r="C792" s="241"/>
      <c r="D792" s="231"/>
      <c r="E792" s="241"/>
      <c r="G792" s="119"/>
    </row>
    <row r="793" spans="2:7" x14ac:dyDescent="0.25">
      <c r="B793" s="118"/>
      <c r="C793" s="241"/>
      <c r="D793" s="231"/>
      <c r="E793" s="241"/>
      <c r="G793" s="119"/>
    </row>
    <row r="794" spans="2:7" x14ac:dyDescent="0.25">
      <c r="B794" s="118"/>
      <c r="C794" s="241"/>
      <c r="D794" s="231"/>
      <c r="E794" s="241"/>
      <c r="G794" s="119"/>
    </row>
    <row r="795" spans="2:7" x14ac:dyDescent="0.25">
      <c r="B795" s="118"/>
      <c r="C795" s="241"/>
      <c r="D795" s="231"/>
      <c r="E795" s="241"/>
      <c r="G795" s="119"/>
    </row>
    <row r="796" spans="2:7" x14ac:dyDescent="0.25">
      <c r="B796" s="118"/>
      <c r="C796" s="241"/>
      <c r="D796" s="231"/>
      <c r="E796" s="241"/>
      <c r="G796" s="119"/>
    </row>
    <row r="797" spans="2:7" x14ac:dyDescent="0.25">
      <c r="B797" s="118"/>
      <c r="C797" s="241"/>
      <c r="D797" s="231"/>
      <c r="E797" s="241"/>
      <c r="G797" s="119"/>
    </row>
    <row r="798" spans="2:7" x14ac:dyDescent="0.25">
      <c r="B798" s="118"/>
      <c r="C798" s="241"/>
      <c r="D798" s="231"/>
      <c r="E798" s="241"/>
      <c r="G798" s="119"/>
    </row>
    <row r="799" spans="2:7" x14ac:dyDescent="0.25">
      <c r="B799" s="118"/>
      <c r="C799" s="241"/>
      <c r="D799" s="231"/>
      <c r="E799" s="241"/>
      <c r="G799" s="119"/>
    </row>
    <row r="800" spans="2:7" x14ac:dyDescent="0.25">
      <c r="B800" s="118"/>
      <c r="C800" s="241"/>
      <c r="D800" s="231"/>
      <c r="E800" s="241"/>
      <c r="G800" s="119"/>
    </row>
    <row r="801" spans="2:7" x14ac:dyDescent="0.25">
      <c r="B801" s="118"/>
      <c r="C801" s="241"/>
      <c r="D801" s="231"/>
      <c r="E801" s="241"/>
      <c r="G801" s="119"/>
    </row>
    <row r="802" spans="2:7" x14ac:dyDescent="0.25">
      <c r="B802" s="118"/>
      <c r="C802" s="241"/>
      <c r="D802" s="231"/>
      <c r="E802" s="241"/>
      <c r="G802" s="119"/>
    </row>
    <row r="803" spans="2:7" x14ac:dyDescent="0.25">
      <c r="B803" s="118"/>
      <c r="C803" s="241"/>
      <c r="D803" s="231"/>
      <c r="E803" s="241"/>
      <c r="G803" s="119"/>
    </row>
    <row r="804" spans="2:7" x14ac:dyDescent="0.25">
      <c r="B804" s="118"/>
      <c r="C804" s="241"/>
      <c r="D804" s="231"/>
      <c r="E804" s="241"/>
      <c r="G804" s="119"/>
    </row>
    <row r="805" spans="2:7" x14ac:dyDescent="0.25">
      <c r="B805" s="118"/>
      <c r="C805" s="241"/>
      <c r="D805" s="231"/>
      <c r="E805" s="241"/>
      <c r="G805" s="119"/>
    </row>
    <row r="806" spans="2:7" x14ac:dyDescent="0.25">
      <c r="B806" s="118"/>
      <c r="C806" s="241"/>
      <c r="D806" s="231"/>
      <c r="E806" s="241"/>
      <c r="G806" s="119"/>
    </row>
    <row r="807" spans="2:7" x14ac:dyDescent="0.25">
      <c r="B807" s="118"/>
      <c r="C807" s="241"/>
      <c r="D807" s="231"/>
      <c r="E807" s="241"/>
      <c r="G807" s="119"/>
    </row>
    <row r="808" spans="2:7" x14ac:dyDescent="0.25">
      <c r="B808" s="118"/>
      <c r="C808" s="241"/>
      <c r="D808" s="231"/>
      <c r="E808" s="241"/>
      <c r="G808" s="119"/>
    </row>
    <row r="809" spans="2:7" x14ac:dyDescent="0.25">
      <c r="B809" s="118"/>
      <c r="C809" s="241"/>
      <c r="D809" s="231"/>
      <c r="E809" s="241"/>
      <c r="G809" s="119"/>
    </row>
    <row r="810" spans="2:7" x14ac:dyDescent="0.25">
      <c r="B810" s="118"/>
      <c r="C810" s="241"/>
      <c r="D810" s="231"/>
      <c r="E810" s="241"/>
      <c r="G810" s="119"/>
    </row>
    <row r="811" spans="2:7" x14ac:dyDescent="0.25">
      <c r="B811" s="118"/>
      <c r="C811" s="241"/>
      <c r="D811" s="231"/>
      <c r="E811" s="241"/>
      <c r="G811" s="119"/>
    </row>
    <row r="812" spans="2:7" x14ac:dyDescent="0.25">
      <c r="B812" s="118"/>
      <c r="C812" s="241"/>
      <c r="D812" s="231"/>
      <c r="E812" s="241"/>
      <c r="G812" s="119"/>
    </row>
    <row r="813" spans="2:7" x14ac:dyDescent="0.25">
      <c r="B813" s="118"/>
      <c r="C813" s="241"/>
      <c r="D813" s="231"/>
      <c r="E813" s="241"/>
      <c r="G813" s="119"/>
    </row>
    <row r="814" spans="2:7" x14ac:dyDescent="0.25">
      <c r="B814" s="118"/>
      <c r="C814" s="241"/>
      <c r="D814" s="231"/>
      <c r="E814" s="241"/>
      <c r="G814" s="119"/>
    </row>
    <row r="815" spans="2:7" x14ac:dyDescent="0.25">
      <c r="B815" s="118"/>
      <c r="C815" s="241"/>
      <c r="D815" s="231"/>
      <c r="E815" s="241"/>
      <c r="G815" s="119"/>
    </row>
    <row r="816" spans="2:7" x14ac:dyDescent="0.25">
      <c r="B816" s="118"/>
      <c r="C816" s="241"/>
      <c r="D816" s="231"/>
      <c r="E816" s="241"/>
      <c r="G816" s="119"/>
    </row>
    <row r="817" spans="2:7" x14ac:dyDescent="0.25">
      <c r="B817" s="118"/>
      <c r="C817" s="241"/>
      <c r="D817" s="231"/>
      <c r="E817" s="241"/>
      <c r="G817" s="119"/>
    </row>
    <row r="818" spans="2:7" x14ac:dyDescent="0.25">
      <c r="B818" s="118"/>
      <c r="C818" s="241"/>
      <c r="D818" s="231"/>
      <c r="E818" s="241"/>
      <c r="G818" s="119"/>
    </row>
    <row r="819" spans="2:7" x14ac:dyDescent="0.25">
      <c r="B819" s="118"/>
      <c r="C819" s="241"/>
      <c r="D819" s="231"/>
      <c r="E819" s="241"/>
      <c r="G819" s="119"/>
    </row>
    <row r="820" spans="2:7" x14ac:dyDescent="0.25">
      <c r="B820" s="118"/>
      <c r="C820" s="241"/>
      <c r="D820" s="231"/>
      <c r="E820" s="241"/>
      <c r="G820" s="119"/>
    </row>
    <row r="821" spans="2:7" x14ac:dyDescent="0.25">
      <c r="B821" s="118"/>
      <c r="C821" s="241"/>
      <c r="D821" s="231"/>
      <c r="E821" s="241"/>
      <c r="G821" s="119"/>
    </row>
    <row r="822" spans="2:7" x14ac:dyDescent="0.25">
      <c r="B822" s="118"/>
      <c r="C822" s="241"/>
      <c r="D822" s="231"/>
      <c r="E822" s="241"/>
      <c r="G822" s="119"/>
    </row>
    <row r="823" spans="2:7" x14ac:dyDescent="0.25">
      <c r="B823" s="118"/>
      <c r="C823" s="241"/>
      <c r="D823" s="231"/>
      <c r="E823" s="241"/>
      <c r="G823" s="119"/>
    </row>
    <row r="824" spans="2:7" x14ac:dyDescent="0.25">
      <c r="B824" s="118"/>
      <c r="C824" s="241"/>
      <c r="D824" s="231"/>
      <c r="E824" s="241"/>
      <c r="G824" s="119"/>
    </row>
    <row r="825" spans="2:7" x14ac:dyDescent="0.25">
      <c r="B825" s="118"/>
      <c r="C825" s="241"/>
      <c r="D825" s="231"/>
      <c r="E825" s="241"/>
      <c r="G825" s="119"/>
    </row>
    <row r="826" spans="2:7" x14ac:dyDescent="0.25">
      <c r="B826" s="118"/>
      <c r="C826" s="241"/>
      <c r="D826" s="231"/>
      <c r="E826" s="241"/>
      <c r="G826" s="119"/>
    </row>
    <row r="827" spans="2:7" x14ac:dyDescent="0.25">
      <c r="B827" s="118"/>
      <c r="C827" s="241"/>
      <c r="D827" s="231"/>
      <c r="E827" s="241"/>
      <c r="G827" s="119"/>
    </row>
    <row r="828" spans="2:7" x14ac:dyDescent="0.25">
      <c r="B828" s="118"/>
      <c r="C828" s="241"/>
      <c r="D828" s="231"/>
      <c r="E828" s="241"/>
      <c r="G828" s="119"/>
    </row>
    <row r="829" spans="2:7" x14ac:dyDescent="0.25">
      <c r="B829" s="118"/>
      <c r="C829" s="241"/>
      <c r="D829" s="231"/>
      <c r="E829" s="241"/>
      <c r="G829" s="119"/>
    </row>
    <row r="830" spans="2:7" x14ac:dyDescent="0.25">
      <c r="B830" s="118"/>
      <c r="C830" s="241"/>
      <c r="D830" s="231"/>
      <c r="E830" s="241"/>
      <c r="G830" s="119"/>
    </row>
    <row r="831" spans="2:7" x14ac:dyDescent="0.25">
      <c r="B831" s="118"/>
      <c r="C831" s="241"/>
      <c r="D831" s="231"/>
      <c r="E831" s="241"/>
      <c r="G831" s="119"/>
    </row>
    <row r="832" spans="2:7" x14ac:dyDescent="0.25">
      <c r="B832" s="118"/>
      <c r="C832" s="241"/>
      <c r="D832" s="231"/>
      <c r="E832" s="241"/>
      <c r="G832" s="119"/>
    </row>
    <row r="833" spans="2:7" x14ac:dyDescent="0.25">
      <c r="B833" s="118"/>
      <c r="C833" s="241"/>
      <c r="D833" s="231"/>
      <c r="E833" s="241"/>
      <c r="G833" s="119"/>
    </row>
    <row r="834" spans="2:7" x14ac:dyDescent="0.25">
      <c r="B834" s="118"/>
      <c r="C834" s="241"/>
      <c r="D834" s="231"/>
      <c r="E834" s="241"/>
      <c r="G834" s="119"/>
    </row>
    <row r="835" spans="2:7" x14ac:dyDescent="0.25">
      <c r="B835" s="118"/>
      <c r="C835" s="241"/>
      <c r="D835" s="231"/>
      <c r="E835" s="241"/>
      <c r="G835" s="119"/>
    </row>
    <row r="836" spans="2:7" x14ac:dyDescent="0.25">
      <c r="B836" s="118"/>
      <c r="C836" s="241"/>
      <c r="D836" s="231"/>
      <c r="E836" s="241"/>
      <c r="G836" s="119"/>
    </row>
    <row r="837" spans="2:7" x14ac:dyDescent="0.25">
      <c r="B837" s="118"/>
      <c r="C837" s="241"/>
      <c r="D837" s="231"/>
      <c r="E837" s="241"/>
      <c r="G837" s="119"/>
    </row>
    <row r="838" spans="2:7" x14ac:dyDescent="0.25">
      <c r="B838" s="118"/>
      <c r="C838" s="241"/>
      <c r="D838" s="231"/>
      <c r="E838" s="241"/>
      <c r="G838" s="119"/>
    </row>
    <row r="839" spans="2:7" x14ac:dyDescent="0.25">
      <c r="B839" s="118"/>
      <c r="C839" s="241"/>
      <c r="D839" s="231"/>
      <c r="E839" s="241"/>
      <c r="G839" s="119"/>
    </row>
    <row r="840" spans="2:7" x14ac:dyDescent="0.25">
      <c r="B840" s="118"/>
      <c r="C840" s="241"/>
      <c r="D840" s="231"/>
      <c r="E840" s="241"/>
      <c r="G840" s="119"/>
    </row>
    <row r="841" spans="2:7" x14ac:dyDescent="0.25">
      <c r="B841" s="118"/>
      <c r="C841" s="241"/>
      <c r="D841" s="231"/>
      <c r="E841" s="241"/>
      <c r="G841" s="119"/>
    </row>
    <row r="842" spans="2:7" x14ac:dyDescent="0.25">
      <c r="B842" s="118"/>
      <c r="C842" s="241"/>
      <c r="D842" s="231"/>
      <c r="E842" s="241"/>
      <c r="G842" s="119"/>
    </row>
    <row r="843" spans="2:7" x14ac:dyDescent="0.25">
      <c r="B843" s="118"/>
      <c r="C843" s="241"/>
      <c r="D843" s="231"/>
      <c r="E843" s="241"/>
      <c r="G843" s="119"/>
    </row>
    <row r="844" spans="2:7" x14ac:dyDescent="0.25">
      <c r="B844" s="118"/>
      <c r="C844" s="241"/>
      <c r="D844" s="231"/>
      <c r="E844" s="241"/>
      <c r="G844" s="119"/>
    </row>
    <row r="845" spans="2:7" x14ac:dyDescent="0.25">
      <c r="B845" s="118"/>
      <c r="C845" s="241"/>
      <c r="D845" s="231"/>
      <c r="E845" s="241"/>
      <c r="G845" s="119"/>
    </row>
    <row r="846" spans="2:7" x14ac:dyDescent="0.25">
      <c r="B846" s="118"/>
      <c r="C846" s="241"/>
      <c r="D846" s="231"/>
      <c r="E846" s="241"/>
      <c r="G846" s="119"/>
    </row>
    <row r="847" spans="2:7" x14ac:dyDescent="0.25">
      <c r="B847" s="118"/>
      <c r="C847" s="241"/>
      <c r="D847" s="231"/>
      <c r="E847" s="241"/>
      <c r="G847" s="119"/>
    </row>
    <row r="848" spans="2:7" x14ac:dyDescent="0.25">
      <c r="B848" s="118"/>
      <c r="C848" s="241"/>
      <c r="D848" s="231"/>
      <c r="E848" s="241"/>
      <c r="G848" s="119"/>
    </row>
    <row r="849" spans="2:7" x14ac:dyDescent="0.25">
      <c r="B849" s="118"/>
      <c r="C849" s="241"/>
      <c r="D849" s="231"/>
      <c r="E849" s="241"/>
      <c r="G849" s="119"/>
    </row>
    <row r="850" spans="2:7" x14ac:dyDescent="0.25">
      <c r="B850" s="118"/>
      <c r="C850" s="241"/>
      <c r="D850" s="231"/>
      <c r="E850" s="241"/>
      <c r="G850" s="119"/>
    </row>
    <row r="851" spans="2:7" x14ac:dyDescent="0.25">
      <c r="B851" s="118"/>
      <c r="C851" s="241"/>
      <c r="D851" s="231"/>
      <c r="E851" s="241"/>
      <c r="G851" s="119"/>
    </row>
    <row r="852" spans="2:7" x14ac:dyDescent="0.25">
      <c r="B852" s="118"/>
      <c r="C852" s="241"/>
      <c r="D852" s="231"/>
      <c r="E852" s="241"/>
      <c r="G852" s="119"/>
    </row>
    <row r="853" spans="2:7" x14ac:dyDescent="0.25">
      <c r="B853" s="118"/>
      <c r="C853" s="241"/>
      <c r="D853" s="231"/>
      <c r="E853" s="241"/>
      <c r="G853" s="119"/>
    </row>
    <row r="854" spans="2:7" x14ac:dyDescent="0.25">
      <c r="B854" s="118"/>
      <c r="C854" s="241"/>
      <c r="D854" s="231"/>
      <c r="E854" s="241"/>
      <c r="G854" s="119"/>
    </row>
    <row r="855" spans="2:7" x14ac:dyDescent="0.25">
      <c r="B855" s="118"/>
      <c r="C855" s="241"/>
      <c r="D855" s="231"/>
      <c r="E855" s="241"/>
      <c r="G855" s="119"/>
    </row>
    <row r="856" spans="2:7" x14ac:dyDescent="0.25">
      <c r="B856" s="118"/>
      <c r="C856" s="241"/>
      <c r="D856" s="231"/>
      <c r="E856" s="241"/>
      <c r="G856" s="119"/>
    </row>
    <row r="857" spans="2:7" x14ac:dyDescent="0.25">
      <c r="B857" s="118"/>
      <c r="C857" s="241"/>
      <c r="D857" s="231"/>
      <c r="E857" s="241"/>
      <c r="G857" s="119"/>
    </row>
    <row r="858" spans="2:7" x14ac:dyDescent="0.25">
      <c r="B858" s="118"/>
      <c r="C858" s="241"/>
      <c r="D858" s="231"/>
      <c r="E858" s="241"/>
      <c r="G858" s="119"/>
    </row>
    <row r="859" spans="2:7" x14ac:dyDescent="0.25">
      <c r="B859" s="118"/>
      <c r="C859" s="241"/>
      <c r="D859" s="231"/>
      <c r="E859" s="241"/>
      <c r="G859" s="119"/>
    </row>
    <row r="860" spans="2:7" x14ac:dyDescent="0.25">
      <c r="B860" s="118"/>
      <c r="C860" s="241"/>
      <c r="D860" s="231"/>
      <c r="E860" s="241"/>
      <c r="G860" s="119"/>
    </row>
    <row r="861" spans="2:7" x14ac:dyDescent="0.25">
      <c r="B861" s="118"/>
      <c r="C861" s="241"/>
      <c r="D861" s="231"/>
      <c r="E861" s="241"/>
      <c r="G861" s="119"/>
    </row>
    <row r="862" spans="2:7" x14ac:dyDescent="0.25">
      <c r="B862" s="118"/>
      <c r="C862" s="241"/>
      <c r="D862" s="231"/>
      <c r="E862" s="241"/>
      <c r="G862" s="119"/>
    </row>
    <row r="863" spans="2:7" x14ac:dyDescent="0.25">
      <c r="B863" s="118"/>
      <c r="C863" s="241"/>
      <c r="D863" s="231"/>
      <c r="E863" s="241"/>
      <c r="G863" s="119"/>
    </row>
    <row r="864" spans="2:7" x14ac:dyDescent="0.25">
      <c r="B864" s="118"/>
      <c r="C864" s="241"/>
      <c r="D864" s="231"/>
      <c r="E864" s="241"/>
      <c r="G864" s="119"/>
    </row>
    <row r="865" spans="2:7" x14ac:dyDescent="0.25">
      <c r="B865" s="118"/>
      <c r="C865" s="241"/>
      <c r="D865" s="231"/>
      <c r="E865" s="241"/>
      <c r="G865" s="119"/>
    </row>
    <row r="866" spans="2:7" x14ac:dyDescent="0.25">
      <c r="B866" s="118"/>
      <c r="C866" s="241"/>
      <c r="D866" s="231"/>
      <c r="E866" s="241"/>
      <c r="G866" s="119"/>
    </row>
    <row r="867" spans="2:7" x14ac:dyDescent="0.25">
      <c r="B867" s="118"/>
      <c r="C867" s="241"/>
      <c r="D867" s="231"/>
      <c r="E867" s="241"/>
      <c r="G867" s="119"/>
    </row>
    <row r="868" spans="2:7" x14ac:dyDescent="0.25">
      <c r="B868" s="118"/>
      <c r="C868" s="241"/>
      <c r="D868" s="231"/>
      <c r="E868" s="241"/>
      <c r="G868" s="119"/>
    </row>
    <row r="869" spans="2:7" x14ac:dyDescent="0.25">
      <c r="B869" s="118"/>
      <c r="C869" s="241"/>
      <c r="D869" s="231"/>
      <c r="E869" s="241"/>
      <c r="G869" s="119"/>
    </row>
    <row r="870" spans="2:7" x14ac:dyDescent="0.25">
      <c r="B870" s="118"/>
      <c r="C870" s="241"/>
      <c r="D870" s="231"/>
      <c r="E870" s="241"/>
      <c r="G870" s="119"/>
    </row>
    <row r="871" spans="2:7" x14ac:dyDescent="0.25">
      <c r="B871" s="118"/>
      <c r="C871" s="241"/>
      <c r="D871" s="231"/>
      <c r="E871" s="241"/>
      <c r="G871" s="119"/>
    </row>
    <row r="872" spans="2:7" x14ac:dyDescent="0.25">
      <c r="B872" s="118"/>
      <c r="C872" s="241"/>
      <c r="D872" s="231"/>
      <c r="E872" s="241"/>
      <c r="G872" s="119"/>
    </row>
    <row r="873" spans="2:7" x14ac:dyDescent="0.25">
      <c r="B873" s="118"/>
      <c r="C873" s="241"/>
      <c r="D873" s="231"/>
      <c r="E873" s="241"/>
      <c r="G873" s="119"/>
    </row>
    <row r="874" spans="2:7" x14ac:dyDescent="0.25">
      <c r="B874" s="118"/>
      <c r="C874" s="241"/>
      <c r="D874" s="231"/>
      <c r="E874" s="241"/>
      <c r="G874" s="119"/>
    </row>
    <row r="875" spans="2:7" x14ac:dyDescent="0.25">
      <c r="B875" s="118"/>
      <c r="C875" s="241"/>
      <c r="D875" s="231"/>
      <c r="E875" s="241"/>
      <c r="G875" s="119"/>
    </row>
    <row r="876" spans="2:7" x14ac:dyDescent="0.25">
      <c r="B876" s="118"/>
      <c r="C876" s="241"/>
      <c r="D876" s="231"/>
      <c r="E876" s="241"/>
      <c r="G876" s="119"/>
    </row>
    <row r="877" spans="2:7" x14ac:dyDescent="0.25">
      <c r="B877" s="118"/>
      <c r="C877" s="241"/>
      <c r="D877" s="231"/>
      <c r="E877" s="241"/>
      <c r="G877" s="119"/>
    </row>
    <row r="878" spans="2:7" x14ac:dyDescent="0.25">
      <c r="B878" s="118"/>
      <c r="C878" s="241"/>
      <c r="D878" s="231"/>
      <c r="E878" s="241"/>
      <c r="G878" s="119"/>
    </row>
    <row r="879" spans="2:7" x14ac:dyDescent="0.25">
      <c r="B879" s="118"/>
      <c r="C879" s="241"/>
      <c r="D879" s="231"/>
      <c r="E879" s="241"/>
      <c r="G879" s="119"/>
    </row>
    <row r="880" spans="2:7" x14ac:dyDescent="0.25">
      <c r="B880" s="118"/>
      <c r="C880" s="241"/>
      <c r="D880" s="231"/>
      <c r="E880" s="241"/>
      <c r="G880" s="119"/>
    </row>
    <row r="881" spans="2:7" x14ac:dyDescent="0.25">
      <c r="B881" s="118"/>
      <c r="C881" s="241"/>
      <c r="D881" s="231"/>
      <c r="E881" s="241"/>
      <c r="G881" s="119"/>
    </row>
    <row r="882" spans="2:7" x14ac:dyDescent="0.25">
      <c r="B882" s="118"/>
      <c r="C882" s="241"/>
      <c r="D882" s="231"/>
      <c r="E882" s="241"/>
      <c r="G882" s="119"/>
    </row>
    <row r="883" spans="2:7" x14ac:dyDescent="0.25">
      <c r="B883" s="118"/>
      <c r="C883" s="241"/>
      <c r="D883" s="231"/>
      <c r="E883" s="241"/>
      <c r="G883" s="119"/>
    </row>
    <row r="884" spans="2:7" x14ac:dyDescent="0.25">
      <c r="B884" s="118"/>
      <c r="C884" s="241"/>
      <c r="D884" s="231"/>
      <c r="E884" s="241"/>
      <c r="G884" s="119"/>
    </row>
    <row r="885" spans="2:7" x14ac:dyDescent="0.25">
      <c r="B885" s="118"/>
      <c r="C885" s="241"/>
      <c r="D885" s="231"/>
      <c r="E885" s="241"/>
      <c r="G885" s="119"/>
    </row>
    <row r="886" spans="2:7" x14ac:dyDescent="0.25">
      <c r="B886" s="118"/>
      <c r="C886" s="241"/>
      <c r="D886" s="231"/>
      <c r="E886" s="241"/>
      <c r="G886" s="119"/>
    </row>
    <row r="887" spans="2:7" x14ac:dyDescent="0.25">
      <c r="B887" s="118"/>
      <c r="C887" s="241"/>
      <c r="D887" s="231"/>
      <c r="E887" s="241"/>
      <c r="G887" s="119"/>
    </row>
    <row r="888" spans="2:7" x14ac:dyDescent="0.25">
      <c r="B888" s="118"/>
      <c r="C888" s="241"/>
      <c r="D888" s="231"/>
      <c r="E888" s="241"/>
      <c r="G888" s="119"/>
    </row>
    <row r="889" spans="2:7" x14ac:dyDescent="0.25">
      <c r="B889" s="118"/>
      <c r="C889" s="241"/>
      <c r="D889" s="231"/>
      <c r="E889" s="241"/>
      <c r="G889" s="119"/>
    </row>
    <row r="890" spans="2:7" x14ac:dyDescent="0.25">
      <c r="B890" s="118"/>
      <c r="C890" s="241"/>
      <c r="D890" s="231"/>
      <c r="E890" s="241"/>
      <c r="G890" s="119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87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2.21875" customWidth="1"/>
    <col min="2" max="2" width="45.6640625" customWidth="1"/>
    <col min="4" max="4" width="16.6640625" customWidth="1"/>
  </cols>
  <sheetData>
    <row r="1" spans="1:42" x14ac:dyDescent="0.25">
      <c r="A1" s="457" t="s">
        <v>144</v>
      </c>
      <c r="B1" s="442"/>
      <c r="C1" s="66"/>
      <c r="D1" s="66"/>
      <c r="E1" s="66"/>
      <c r="F1" s="65"/>
      <c r="G1" s="66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</row>
    <row r="2" spans="1:42" x14ac:dyDescent="0.25">
      <c r="E2" s="241"/>
      <c r="G2" s="119"/>
      <c r="AE2" s="342"/>
      <c r="AF2" s="342"/>
      <c r="AG2" s="342"/>
      <c r="AH2" s="342"/>
      <c r="AI2" s="342"/>
      <c r="AJ2" s="342"/>
      <c r="AK2" s="342"/>
      <c r="AL2" s="342"/>
      <c r="AM2" s="342"/>
      <c r="AN2" s="342"/>
      <c r="AO2" s="342"/>
      <c r="AP2" s="342"/>
    </row>
    <row r="3" spans="1:42" x14ac:dyDescent="0.25">
      <c r="A3" s="110"/>
      <c r="B3" s="108" t="s">
        <v>287</v>
      </c>
      <c r="C3" s="110"/>
      <c r="D3" s="110"/>
      <c r="E3" s="423"/>
      <c r="F3" s="110"/>
      <c r="G3" s="424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425"/>
      <c r="AF3" s="425"/>
      <c r="AG3" s="425"/>
      <c r="AH3" s="425"/>
      <c r="AI3" s="425"/>
      <c r="AJ3" s="425"/>
      <c r="AK3" s="425"/>
      <c r="AL3" s="425"/>
      <c r="AM3" s="425"/>
      <c r="AN3" s="425"/>
      <c r="AO3" s="425"/>
      <c r="AP3" s="425"/>
    </row>
    <row r="4" spans="1:42" x14ac:dyDescent="0.25">
      <c r="E4" s="241"/>
      <c r="G4" s="119"/>
    </row>
    <row r="5" spans="1:42" x14ac:dyDescent="0.25">
      <c r="B5" s="412" t="s">
        <v>288</v>
      </c>
      <c r="C5" s="413" t="s">
        <v>128</v>
      </c>
      <c r="D5" s="414">
        <v>5.5E-2</v>
      </c>
      <c r="E5" s="241"/>
      <c r="G5" s="119"/>
    </row>
    <row r="6" spans="1:42" x14ac:dyDescent="0.25">
      <c r="B6" s="415" t="s">
        <v>282</v>
      </c>
      <c r="C6" s="416" t="s">
        <v>128</v>
      </c>
      <c r="D6" s="419">
        <f>DCF!D20</f>
        <v>0.49452522838725343</v>
      </c>
      <c r="E6" s="241"/>
      <c r="G6" s="119"/>
    </row>
    <row r="7" spans="1:42" x14ac:dyDescent="0.25">
      <c r="B7" s="415" t="s">
        <v>283</v>
      </c>
      <c r="C7" s="416" t="s">
        <v>167</v>
      </c>
      <c r="D7" s="417">
        <f>DCF!D21</f>
        <v>64738530.148937166</v>
      </c>
      <c r="E7" s="241"/>
      <c r="G7" s="119"/>
    </row>
    <row r="8" spans="1:42" x14ac:dyDescent="0.25">
      <c r="B8" s="418" t="s">
        <v>284</v>
      </c>
      <c r="C8" s="157" t="s">
        <v>128</v>
      </c>
      <c r="D8" s="419">
        <f>DCF!D22</f>
        <v>0.64597456828916433</v>
      </c>
      <c r="E8" s="241"/>
      <c r="G8" s="119"/>
    </row>
    <row r="9" spans="1:42" x14ac:dyDescent="0.25">
      <c r="B9" s="418" t="s">
        <v>285</v>
      </c>
      <c r="C9" s="157" t="s">
        <v>286</v>
      </c>
      <c r="D9" s="426">
        <f>DCF!D23</f>
        <v>11</v>
      </c>
      <c r="E9" s="241"/>
      <c r="G9" s="119"/>
    </row>
    <row r="10" spans="1:42" x14ac:dyDescent="0.25">
      <c r="B10" s="420" t="s">
        <v>289</v>
      </c>
      <c r="C10" s="421" t="s">
        <v>167</v>
      </c>
      <c r="D10" s="427">
        <f>'P&amp;L'!AK20</f>
        <v>5288811.2156619374</v>
      </c>
      <c r="E10" s="241"/>
      <c r="G10" s="119"/>
    </row>
    <row r="11" spans="1:42" x14ac:dyDescent="0.25">
      <c r="B11" s="118"/>
      <c r="C11" s="241"/>
      <c r="D11" s="231"/>
      <c r="E11" s="241"/>
      <c r="G11" s="119"/>
    </row>
    <row r="12" spans="1:42" x14ac:dyDescent="0.25">
      <c r="A12" s="428"/>
      <c r="B12" s="429" t="s">
        <v>290</v>
      </c>
      <c r="C12" s="423"/>
      <c r="D12" s="428"/>
      <c r="E12" s="423"/>
      <c r="F12" s="428"/>
      <c r="G12" s="423"/>
      <c r="H12" s="428"/>
      <c r="I12" s="428"/>
      <c r="J12" s="428"/>
      <c r="K12" s="428"/>
      <c r="L12" s="428"/>
      <c r="M12" s="428"/>
      <c r="N12" s="428"/>
      <c r="O12" s="428"/>
      <c r="P12" s="428"/>
      <c r="Q12" s="428"/>
      <c r="R12" s="428"/>
      <c r="S12" s="428"/>
      <c r="T12" s="428"/>
      <c r="U12" s="428"/>
      <c r="V12" s="428"/>
      <c r="W12" s="428"/>
      <c r="X12" s="428"/>
      <c r="Y12" s="428"/>
      <c r="Z12" s="428"/>
      <c r="AA12" s="428"/>
      <c r="AB12" s="428"/>
      <c r="AC12" s="428"/>
      <c r="AD12" s="428"/>
      <c r="AE12" s="428"/>
      <c r="AF12" s="428"/>
      <c r="AG12" s="428"/>
      <c r="AH12" s="428"/>
      <c r="AI12" s="428"/>
      <c r="AJ12" s="428"/>
      <c r="AK12" s="428"/>
      <c r="AL12" s="428"/>
      <c r="AM12" s="428"/>
      <c r="AN12" s="428"/>
      <c r="AO12" s="428"/>
      <c r="AP12" s="428"/>
    </row>
    <row r="13" spans="1:42" x14ac:dyDescent="0.25">
      <c r="B13" s="118"/>
      <c r="C13" s="241"/>
      <c r="D13" s="231"/>
      <c r="E13" s="241"/>
      <c r="G13" s="119"/>
    </row>
    <row r="14" spans="1:42" x14ac:dyDescent="0.25">
      <c r="B14" s="412" t="s">
        <v>291</v>
      </c>
      <c r="C14" s="413" t="s">
        <v>165</v>
      </c>
      <c r="D14" s="430">
        <f>SUM('Active Users'!C36:AG36)/31</f>
        <v>313052.898081541</v>
      </c>
      <c r="E14" s="241"/>
      <c r="G14" s="119"/>
    </row>
    <row r="15" spans="1:42" x14ac:dyDescent="0.25">
      <c r="B15" s="431" t="s">
        <v>292</v>
      </c>
      <c r="C15" s="432" t="s">
        <v>165</v>
      </c>
      <c r="D15" s="433">
        <f>'Active Users'!AG33</f>
        <v>9704639.840527771</v>
      </c>
      <c r="E15" s="241"/>
      <c r="G15" s="119"/>
    </row>
    <row r="16" spans="1:42" x14ac:dyDescent="0.25">
      <c r="B16" s="434"/>
      <c r="C16" s="208"/>
      <c r="D16" s="435"/>
      <c r="E16" s="241"/>
      <c r="G16" s="119"/>
    </row>
    <row r="17" spans="1:42" x14ac:dyDescent="0.25">
      <c r="B17" s="434"/>
      <c r="C17" s="208"/>
      <c r="D17" s="436"/>
      <c r="E17" s="241"/>
      <c r="G17" s="119"/>
    </row>
    <row r="18" spans="1:42" x14ac:dyDescent="0.25">
      <c r="B18" s="434"/>
      <c r="C18" s="208"/>
      <c r="D18" s="436"/>
      <c r="E18" s="241"/>
      <c r="G18" s="119"/>
    </row>
    <row r="19" spans="1:42" x14ac:dyDescent="0.25">
      <c r="B19" s="434"/>
      <c r="C19" s="208"/>
      <c r="D19" s="435"/>
      <c r="E19" s="241"/>
      <c r="G19" s="119"/>
    </row>
    <row r="20" spans="1:42" x14ac:dyDescent="0.25">
      <c r="A20" s="20"/>
      <c r="B20" s="437"/>
      <c r="C20" s="20"/>
      <c r="D20" s="20"/>
      <c r="E20" s="438"/>
      <c r="F20" s="20"/>
      <c r="G20" s="221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</row>
    <row r="21" spans="1:42" x14ac:dyDescent="0.25">
      <c r="B21" s="118"/>
      <c r="C21" s="241"/>
      <c r="D21" s="231"/>
      <c r="E21" s="241"/>
      <c r="G21" s="119"/>
    </row>
    <row r="30" spans="1:42" x14ac:dyDescent="0.25">
      <c r="B30" s="118"/>
      <c r="C30" s="241"/>
      <c r="D30" s="231"/>
      <c r="E30" s="241"/>
      <c r="G30" s="119"/>
    </row>
    <row r="31" spans="1:42" x14ac:dyDescent="0.25">
      <c r="B31" s="118"/>
      <c r="C31" s="241"/>
      <c r="D31" s="231"/>
      <c r="E31" s="241"/>
      <c r="G31" s="119"/>
    </row>
    <row r="32" spans="1:42" x14ac:dyDescent="0.25">
      <c r="B32" s="118"/>
      <c r="C32" s="241"/>
      <c r="D32" s="231"/>
      <c r="E32" s="241"/>
      <c r="G32" s="119"/>
    </row>
    <row r="33" spans="2:7" x14ac:dyDescent="0.25">
      <c r="B33" s="118"/>
      <c r="C33" s="241"/>
      <c r="D33" s="231"/>
      <c r="E33" s="241"/>
      <c r="G33" s="119"/>
    </row>
    <row r="34" spans="2:7" x14ac:dyDescent="0.25">
      <c r="B34" s="118"/>
      <c r="C34" s="241"/>
      <c r="D34" s="231"/>
      <c r="E34" s="241"/>
      <c r="G34" s="119"/>
    </row>
    <row r="35" spans="2:7" x14ac:dyDescent="0.25">
      <c r="B35" s="118"/>
      <c r="C35" s="241"/>
      <c r="D35" s="231"/>
      <c r="E35" s="241"/>
      <c r="G35" s="119"/>
    </row>
    <row r="36" spans="2:7" x14ac:dyDescent="0.25">
      <c r="B36" s="118"/>
      <c r="C36" s="241"/>
      <c r="D36" s="231"/>
      <c r="E36" s="241"/>
      <c r="G36" s="119"/>
    </row>
    <row r="37" spans="2:7" x14ac:dyDescent="0.25">
      <c r="B37" s="118"/>
      <c r="C37" s="241"/>
      <c r="D37" s="231"/>
      <c r="E37" s="241"/>
      <c r="G37" s="119"/>
    </row>
    <row r="38" spans="2:7" x14ac:dyDescent="0.25">
      <c r="B38" s="118"/>
      <c r="C38" s="241"/>
      <c r="D38" s="231"/>
      <c r="E38" s="241"/>
      <c r="G38" s="119"/>
    </row>
    <row r="39" spans="2:7" x14ac:dyDescent="0.25">
      <c r="B39" s="118"/>
      <c r="C39" s="241"/>
      <c r="D39" s="231"/>
      <c r="E39" s="241"/>
      <c r="G39" s="119"/>
    </row>
    <row r="40" spans="2:7" x14ac:dyDescent="0.25">
      <c r="B40" s="118"/>
      <c r="C40" s="241"/>
      <c r="D40" s="231"/>
      <c r="E40" s="241"/>
      <c r="G40" s="119"/>
    </row>
    <row r="41" spans="2:7" x14ac:dyDescent="0.25">
      <c r="B41" s="118"/>
      <c r="C41" s="241"/>
      <c r="D41" s="231"/>
      <c r="E41" s="241"/>
      <c r="G41" s="119"/>
    </row>
    <row r="42" spans="2:7" x14ac:dyDescent="0.25">
      <c r="B42" s="118"/>
      <c r="C42" s="241"/>
      <c r="D42" s="231"/>
      <c r="E42" s="241"/>
      <c r="G42" s="119"/>
    </row>
    <row r="43" spans="2:7" x14ac:dyDescent="0.25">
      <c r="B43" s="118"/>
      <c r="C43" s="241"/>
      <c r="D43" s="231"/>
      <c r="E43" s="241"/>
      <c r="G43" s="119"/>
    </row>
    <row r="44" spans="2:7" x14ac:dyDescent="0.25">
      <c r="B44" s="118"/>
      <c r="C44" s="241"/>
      <c r="D44" s="231"/>
      <c r="E44" s="241"/>
      <c r="G44" s="119"/>
    </row>
    <row r="45" spans="2:7" x14ac:dyDescent="0.25">
      <c r="B45" s="118"/>
      <c r="C45" s="241"/>
      <c r="D45" s="231"/>
      <c r="E45" s="241"/>
      <c r="G45" s="119"/>
    </row>
    <row r="46" spans="2:7" x14ac:dyDescent="0.25">
      <c r="B46" s="118"/>
      <c r="C46" s="241"/>
      <c r="D46" s="231"/>
      <c r="E46" s="241"/>
      <c r="G46" s="119"/>
    </row>
    <row r="47" spans="2:7" x14ac:dyDescent="0.25">
      <c r="B47" s="118"/>
      <c r="C47" s="241"/>
      <c r="D47" s="231"/>
      <c r="E47" s="241"/>
      <c r="G47" s="119"/>
    </row>
    <row r="48" spans="2:7" x14ac:dyDescent="0.25">
      <c r="B48" s="118"/>
      <c r="C48" s="241"/>
      <c r="D48" s="231"/>
      <c r="E48" s="241"/>
      <c r="G48" s="119"/>
    </row>
    <row r="49" spans="2:7" x14ac:dyDescent="0.25">
      <c r="B49" s="118"/>
      <c r="C49" s="241"/>
      <c r="D49" s="231"/>
      <c r="E49" s="241"/>
      <c r="G49" s="119"/>
    </row>
    <row r="50" spans="2:7" x14ac:dyDescent="0.25">
      <c r="B50" s="118"/>
      <c r="C50" s="241"/>
      <c r="D50" s="231"/>
      <c r="E50" s="241"/>
      <c r="G50" s="119"/>
    </row>
    <row r="51" spans="2:7" x14ac:dyDescent="0.25">
      <c r="B51" s="118"/>
      <c r="C51" s="241"/>
      <c r="D51" s="231"/>
      <c r="E51" s="241"/>
      <c r="G51" s="119"/>
    </row>
    <row r="52" spans="2:7" x14ac:dyDescent="0.25">
      <c r="B52" s="118"/>
      <c r="C52" s="241"/>
      <c r="D52" s="231"/>
      <c r="E52" s="241"/>
      <c r="G52" s="119"/>
    </row>
    <row r="53" spans="2:7" x14ac:dyDescent="0.25">
      <c r="B53" s="118"/>
      <c r="C53" s="241"/>
      <c r="D53" s="231"/>
      <c r="E53" s="241"/>
      <c r="G53" s="119"/>
    </row>
    <row r="54" spans="2:7" x14ac:dyDescent="0.25">
      <c r="B54" s="118"/>
      <c r="C54" s="241"/>
      <c r="D54" s="231"/>
      <c r="E54" s="241"/>
      <c r="G54" s="119"/>
    </row>
    <row r="55" spans="2:7" x14ac:dyDescent="0.25">
      <c r="B55" s="118"/>
      <c r="C55" s="241"/>
      <c r="D55" s="231"/>
      <c r="E55" s="241"/>
      <c r="G55" s="119"/>
    </row>
    <row r="56" spans="2:7" x14ac:dyDescent="0.25">
      <c r="B56" s="118"/>
      <c r="C56" s="241"/>
      <c r="D56" s="231"/>
      <c r="E56" s="241"/>
      <c r="G56" s="119"/>
    </row>
    <row r="57" spans="2:7" x14ac:dyDescent="0.25">
      <c r="B57" s="118"/>
      <c r="C57" s="241"/>
      <c r="D57" s="231"/>
      <c r="E57" s="241"/>
      <c r="G57" s="119"/>
    </row>
    <row r="58" spans="2:7" x14ac:dyDescent="0.25">
      <c r="B58" s="118"/>
      <c r="C58" s="241"/>
      <c r="D58" s="231"/>
      <c r="E58" s="241"/>
      <c r="G58" s="119"/>
    </row>
    <row r="59" spans="2:7" x14ac:dyDescent="0.25">
      <c r="B59" s="118"/>
      <c r="C59" s="241"/>
      <c r="D59" s="231"/>
      <c r="E59" s="241"/>
      <c r="G59" s="119"/>
    </row>
    <row r="60" spans="2:7" x14ac:dyDescent="0.25">
      <c r="B60" s="118"/>
      <c r="C60" s="241"/>
      <c r="D60" s="231"/>
      <c r="E60" s="241"/>
      <c r="G60" s="119"/>
    </row>
    <row r="61" spans="2:7" x14ac:dyDescent="0.25">
      <c r="B61" s="118"/>
      <c r="C61" s="241"/>
      <c r="D61" s="231"/>
      <c r="E61" s="241"/>
      <c r="G61" s="119"/>
    </row>
    <row r="62" spans="2:7" x14ac:dyDescent="0.25">
      <c r="B62" s="118"/>
      <c r="C62" s="241"/>
      <c r="D62" s="231"/>
      <c r="E62" s="241"/>
      <c r="G62" s="119"/>
    </row>
    <row r="63" spans="2:7" x14ac:dyDescent="0.25">
      <c r="B63" s="118"/>
      <c r="C63" s="241"/>
      <c r="D63" s="231"/>
      <c r="E63" s="241"/>
      <c r="G63" s="119"/>
    </row>
    <row r="64" spans="2:7" x14ac:dyDescent="0.25">
      <c r="B64" s="118"/>
      <c r="C64" s="241"/>
      <c r="D64" s="231"/>
      <c r="E64" s="241"/>
      <c r="G64" s="119"/>
    </row>
    <row r="65" spans="2:7" x14ac:dyDescent="0.25">
      <c r="B65" s="118"/>
      <c r="C65" s="241"/>
      <c r="D65" s="231"/>
      <c r="E65" s="241"/>
      <c r="G65" s="119"/>
    </row>
    <row r="66" spans="2:7" x14ac:dyDescent="0.25">
      <c r="B66" s="118"/>
      <c r="C66" s="241"/>
      <c r="D66" s="231"/>
      <c r="E66" s="241"/>
      <c r="G66" s="119"/>
    </row>
    <row r="67" spans="2:7" x14ac:dyDescent="0.25">
      <c r="B67" s="118"/>
      <c r="C67" s="241"/>
      <c r="D67" s="231"/>
      <c r="E67" s="241"/>
      <c r="G67" s="119"/>
    </row>
    <row r="68" spans="2:7" x14ac:dyDescent="0.25">
      <c r="B68" s="118"/>
      <c r="C68" s="241"/>
      <c r="D68" s="231"/>
      <c r="E68" s="241"/>
      <c r="G68" s="119"/>
    </row>
    <row r="69" spans="2:7" x14ac:dyDescent="0.25">
      <c r="B69" s="118"/>
      <c r="C69" s="241"/>
      <c r="D69" s="231"/>
      <c r="E69" s="241"/>
      <c r="G69" s="119"/>
    </row>
    <row r="70" spans="2:7" x14ac:dyDescent="0.25">
      <c r="B70" s="118"/>
      <c r="C70" s="241"/>
      <c r="D70" s="231"/>
      <c r="E70" s="241"/>
      <c r="G70" s="119"/>
    </row>
    <row r="71" spans="2:7" x14ac:dyDescent="0.25">
      <c r="B71" s="118"/>
      <c r="C71" s="241"/>
      <c r="D71" s="231"/>
      <c r="E71" s="241"/>
      <c r="G71" s="119"/>
    </row>
    <row r="72" spans="2:7" x14ac:dyDescent="0.25">
      <c r="B72" s="118"/>
      <c r="C72" s="241"/>
      <c r="D72" s="231"/>
      <c r="E72" s="241"/>
      <c r="G72" s="119"/>
    </row>
    <row r="73" spans="2:7" x14ac:dyDescent="0.25">
      <c r="B73" s="118"/>
      <c r="C73" s="241"/>
      <c r="D73" s="231"/>
      <c r="E73" s="241"/>
      <c r="G73" s="119"/>
    </row>
    <row r="74" spans="2:7" x14ac:dyDescent="0.25">
      <c r="B74" s="118"/>
      <c r="C74" s="241"/>
      <c r="D74" s="231"/>
      <c r="E74" s="241"/>
      <c r="G74" s="119"/>
    </row>
    <row r="75" spans="2:7" x14ac:dyDescent="0.25">
      <c r="B75" s="118"/>
      <c r="C75" s="241"/>
      <c r="D75" s="231"/>
      <c r="E75" s="241"/>
      <c r="G75" s="119"/>
    </row>
    <row r="76" spans="2:7" x14ac:dyDescent="0.25">
      <c r="B76" s="118"/>
      <c r="C76" s="241"/>
      <c r="D76" s="231"/>
      <c r="E76" s="241"/>
      <c r="G76" s="119"/>
    </row>
    <row r="77" spans="2:7" x14ac:dyDescent="0.25">
      <c r="B77" s="118"/>
      <c r="C77" s="241"/>
      <c r="D77" s="231"/>
      <c r="E77" s="241"/>
      <c r="G77" s="119"/>
    </row>
    <row r="78" spans="2:7" x14ac:dyDescent="0.25">
      <c r="B78" s="118"/>
      <c r="C78" s="241"/>
      <c r="D78" s="231"/>
      <c r="E78" s="241"/>
      <c r="G78" s="119"/>
    </row>
    <row r="79" spans="2:7" x14ac:dyDescent="0.25">
      <c r="B79" s="118"/>
      <c r="C79" s="241"/>
      <c r="D79" s="231"/>
      <c r="E79" s="241"/>
      <c r="G79" s="119"/>
    </row>
    <row r="80" spans="2:7" x14ac:dyDescent="0.25">
      <c r="B80" s="118"/>
      <c r="C80" s="241"/>
      <c r="D80" s="231"/>
      <c r="E80" s="241"/>
      <c r="G80" s="119"/>
    </row>
    <row r="81" spans="2:7" x14ac:dyDescent="0.25">
      <c r="B81" s="118"/>
      <c r="C81" s="241"/>
      <c r="D81" s="231"/>
      <c r="E81" s="241"/>
      <c r="G81" s="119"/>
    </row>
    <row r="82" spans="2:7" x14ac:dyDescent="0.25">
      <c r="B82" s="118"/>
      <c r="C82" s="241"/>
      <c r="D82" s="231"/>
      <c r="E82" s="241"/>
      <c r="G82" s="119"/>
    </row>
    <row r="83" spans="2:7" x14ac:dyDescent="0.25">
      <c r="B83" s="118"/>
      <c r="C83" s="241"/>
      <c r="D83" s="231"/>
      <c r="E83" s="241"/>
      <c r="G83" s="119"/>
    </row>
    <row r="84" spans="2:7" x14ac:dyDescent="0.25">
      <c r="B84" s="118"/>
      <c r="C84" s="241"/>
      <c r="D84" s="231"/>
      <c r="E84" s="241"/>
      <c r="G84" s="119"/>
    </row>
    <row r="85" spans="2:7" x14ac:dyDescent="0.25">
      <c r="B85" s="118"/>
      <c r="C85" s="241"/>
      <c r="D85" s="231"/>
      <c r="E85" s="241"/>
      <c r="G85" s="119"/>
    </row>
    <row r="86" spans="2:7" x14ac:dyDescent="0.25">
      <c r="B86" s="118"/>
      <c r="C86" s="241"/>
      <c r="D86" s="231"/>
      <c r="E86" s="241"/>
      <c r="G86" s="119"/>
    </row>
    <row r="87" spans="2:7" x14ac:dyDescent="0.25">
      <c r="B87" s="118"/>
      <c r="C87" s="241"/>
      <c r="D87" s="231"/>
      <c r="E87" s="241"/>
      <c r="G87" s="119"/>
    </row>
    <row r="88" spans="2:7" x14ac:dyDescent="0.25">
      <c r="B88" s="118"/>
      <c r="C88" s="241"/>
      <c r="D88" s="231"/>
      <c r="E88" s="241"/>
      <c r="G88" s="119"/>
    </row>
    <row r="89" spans="2:7" x14ac:dyDescent="0.25">
      <c r="B89" s="118"/>
      <c r="C89" s="241"/>
      <c r="D89" s="231"/>
      <c r="E89" s="241"/>
      <c r="G89" s="119"/>
    </row>
    <row r="90" spans="2:7" x14ac:dyDescent="0.25">
      <c r="B90" s="118"/>
      <c r="C90" s="241"/>
      <c r="D90" s="231"/>
      <c r="E90" s="241"/>
      <c r="G90" s="119"/>
    </row>
    <row r="91" spans="2:7" x14ac:dyDescent="0.25">
      <c r="B91" s="118"/>
      <c r="C91" s="241"/>
      <c r="D91" s="231"/>
      <c r="E91" s="241"/>
      <c r="G91" s="119"/>
    </row>
    <row r="92" spans="2:7" x14ac:dyDescent="0.25">
      <c r="B92" s="118"/>
      <c r="C92" s="241"/>
      <c r="D92" s="231"/>
      <c r="E92" s="241"/>
      <c r="G92" s="119"/>
    </row>
    <row r="93" spans="2:7" x14ac:dyDescent="0.25">
      <c r="B93" s="118"/>
      <c r="C93" s="241"/>
      <c r="D93" s="231"/>
      <c r="E93" s="241"/>
      <c r="G93" s="119"/>
    </row>
    <row r="94" spans="2:7" x14ac:dyDescent="0.25">
      <c r="B94" s="118"/>
      <c r="C94" s="241"/>
      <c r="D94" s="231"/>
      <c r="E94" s="241"/>
      <c r="G94" s="119"/>
    </row>
    <row r="95" spans="2:7" x14ac:dyDescent="0.25">
      <c r="B95" s="118"/>
      <c r="C95" s="241"/>
      <c r="D95" s="231"/>
      <c r="E95" s="241"/>
      <c r="G95" s="119"/>
    </row>
    <row r="96" spans="2:7" x14ac:dyDescent="0.25">
      <c r="B96" s="118"/>
      <c r="C96" s="241"/>
      <c r="D96" s="231"/>
      <c r="E96" s="241"/>
      <c r="G96" s="119"/>
    </row>
    <row r="97" spans="2:7" x14ac:dyDescent="0.25">
      <c r="B97" s="118"/>
      <c r="C97" s="241"/>
      <c r="D97" s="231"/>
      <c r="E97" s="241"/>
      <c r="G97" s="119"/>
    </row>
    <row r="98" spans="2:7" x14ac:dyDescent="0.25">
      <c r="B98" s="118"/>
      <c r="C98" s="241"/>
      <c r="D98" s="231"/>
      <c r="E98" s="241"/>
      <c r="G98" s="119"/>
    </row>
    <row r="99" spans="2:7" x14ac:dyDescent="0.25">
      <c r="B99" s="118"/>
      <c r="C99" s="241"/>
      <c r="D99" s="231"/>
      <c r="E99" s="241"/>
      <c r="G99" s="119"/>
    </row>
    <row r="100" spans="2:7" x14ac:dyDescent="0.25">
      <c r="B100" s="118"/>
      <c r="C100" s="241"/>
      <c r="D100" s="231"/>
      <c r="E100" s="241"/>
      <c r="G100" s="119"/>
    </row>
    <row r="101" spans="2:7" x14ac:dyDescent="0.25">
      <c r="B101" s="118"/>
      <c r="C101" s="241"/>
      <c r="D101" s="231"/>
      <c r="E101" s="241"/>
      <c r="G101" s="119"/>
    </row>
    <row r="102" spans="2:7" x14ac:dyDescent="0.25">
      <c r="B102" s="118"/>
      <c r="C102" s="241"/>
      <c r="D102" s="231"/>
      <c r="E102" s="241"/>
      <c r="G102" s="119"/>
    </row>
    <row r="103" spans="2:7" x14ac:dyDescent="0.25">
      <c r="B103" s="118"/>
      <c r="C103" s="241"/>
      <c r="D103" s="231"/>
      <c r="E103" s="241"/>
      <c r="G103" s="119"/>
    </row>
    <row r="104" spans="2:7" x14ac:dyDescent="0.25">
      <c r="B104" s="118"/>
      <c r="C104" s="241"/>
      <c r="D104" s="231"/>
      <c r="E104" s="241"/>
      <c r="G104" s="119"/>
    </row>
    <row r="105" spans="2:7" x14ac:dyDescent="0.25">
      <c r="B105" s="118"/>
      <c r="C105" s="241"/>
      <c r="D105" s="231"/>
      <c r="E105" s="241"/>
      <c r="G105" s="119"/>
    </row>
    <row r="106" spans="2:7" x14ac:dyDescent="0.25">
      <c r="B106" s="118"/>
      <c r="C106" s="241"/>
      <c r="D106" s="231"/>
      <c r="E106" s="241"/>
      <c r="G106" s="119"/>
    </row>
    <row r="107" spans="2:7" x14ac:dyDescent="0.25">
      <c r="B107" s="118"/>
      <c r="C107" s="241"/>
      <c r="D107" s="231"/>
      <c r="E107" s="241"/>
      <c r="G107" s="119"/>
    </row>
    <row r="108" spans="2:7" x14ac:dyDescent="0.25">
      <c r="B108" s="118"/>
      <c r="C108" s="241"/>
      <c r="D108" s="231"/>
      <c r="E108" s="241"/>
      <c r="G108" s="119"/>
    </row>
    <row r="109" spans="2:7" x14ac:dyDescent="0.25">
      <c r="B109" s="118"/>
      <c r="C109" s="241"/>
      <c r="D109" s="231"/>
      <c r="E109" s="241"/>
      <c r="G109" s="119"/>
    </row>
    <row r="110" spans="2:7" x14ac:dyDescent="0.25">
      <c r="B110" s="118"/>
      <c r="C110" s="241"/>
      <c r="D110" s="231"/>
      <c r="E110" s="241"/>
      <c r="G110" s="119"/>
    </row>
    <row r="111" spans="2:7" x14ac:dyDescent="0.25">
      <c r="B111" s="118"/>
      <c r="C111" s="241"/>
      <c r="D111" s="231"/>
      <c r="E111" s="241"/>
      <c r="G111" s="119"/>
    </row>
    <row r="112" spans="2:7" x14ac:dyDescent="0.25">
      <c r="B112" s="118"/>
      <c r="C112" s="241"/>
      <c r="D112" s="231"/>
      <c r="E112" s="241"/>
      <c r="G112" s="119"/>
    </row>
    <row r="113" spans="2:7" x14ac:dyDescent="0.25">
      <c r="B113" s="118"/>
      <c r="C113" s="241"/>
      <c r="D113" s="231"/>
      <c r="E113" s="241"/>
      <c r="G113" s="119"/>
    </row>
    <row r="114" spans="2:7" x14ac:dyDescent="0.25">
      <c r="B114" s="118"/>
      <c r="C114" s="241"/>
      <c r="D114" s="231"/>
      <c r="E114" s="241"/>
      <c r="G114" s="119"/>
    </row>
    <row r="115" spans="2:7" x14ac:dyDescent="0.25">
      <c r="B115" s="118"/>
      <c r="C115" s="241"/>
      <c r="D115" s="231"/>
      <c r="E115" s="241"/>
      <c r="G115" s="119"/>
    </row>
    <row r="116" spans="2:7" x14ac:dyDescent="0.25">
      <c r="B116" s="118"/>
      <c r="C116" s="241"/>
      <c r="D116" s="231"/>
      <c r="E116" s="241"/>
      <c r="G116" s="119"/>
    </row>
    <row r="117" spans="2:7" x14ac:dyDescent="0.25">
      <c r="B117" s="118"/>
      <c r="C117" s="241"/>
      <c r="D117" s="231"/>
      <c r="E117" s="241"/>
      <c r="G117" s="119"/>
    </row>
    <row r="118" spans="2:7" x14ac:dyDescent="0.25">
      <c r="B118" s="118"/>
      <c r="C118" s="241"/>
      <c r="D118" s="231"/>
      <c r="E118" s="241"/>
      <c r="G118" s="119"/>
    </row>
    <row r="119" spans="2:7" x14ac:dyDescent="0.25">
      <c r="B119" s="118"/>
      <c r="C119" s="241"/>
      <c r="D119" s="231"/>
      <c r="E119" s="241"/>
      <c r="G119" s="119"/>
    </row>
    <row r="120" spans="2:7" x14ac:dyDescent="0.25">
      <c r="B120" s="118"/>
      <c r="C120" s="241"/>
      <c r="D120" s="231"/>
      <c r="E120" s="241"/>
      <c r="G120" s="119"/>
    </row>
    <row r="121" spans="2:7" x14ac:dyDescent="0.25">
      <c r="B121" s="118"/>
      <c r="C121" s="241"/>
      <c r="D121" s="231"/>
      <c r="E121" s="241"/>
      <c r="G121" s="119"/>
    </row>
    <row r="122" spans="2:7" x14ac:dyDescent="0.25">
      <c r="B122" s="118"/>
      <c r="C122" s="241"/>
      <c r="D122" s="231"/>
      <c r="E122" s="241"/>
      <c r="G122" s="119"/>
    </row>
    <row r="123" spans="2:7" x14ac:dyDescent="0.25">
      <c r="B123" s="118"/>
      <c r="C123" s="241"/>
      <c r="D123" s="231"/>
      <c r="E123" s="241"/>
      <c r="G123" s="119"/>
    </row>
    <row r="124" spans="2:7" x14ac:dyDescent="0.25">
      <c r="B124" s="118"/>
      <c r="C124" s="241"/>
      <c r="D124" s="231"/>
      <c r="E124" s="241"/>
      <c r="G124" s="119"/>
    </row>
    <row r="125" spans="2:7" x14ac:dyDescent="0.25">
      <c r="B125" s="118"/>
      <c r="C125" s="241"/>
      <c r="D125" s="231"/>
      <c r="E125" s="241"/>
      <c r="G125" s="119"/>
    </row>
    <row r="126" spans="2:7" x14ac:dyDescent="0.25">
      <c r="B126" s="118"/>
      <c r="C126" s="241"/>
      <c r="D126" s="231"/>
      <c r="E126" s="241"/>
      <c r="G126" s="119"/>
    </row>
    <row r="127" spans="2:7" x14ac:dyDescent="0.25">
      <c r="B127" s="118"/>
      <c r="C127" s="241"/>
      <c r="D127" s="231"/>
      <c r="E127" s="241"/>
      <c r="G127" s="119"/>
    </row>
    <row r="128" spans="2:7" x14ac:dyDescent="0.25">
      <c r="B128" s="118"/>
      <c r="C128" s="241"/>
      <c r="D128" s="231"/>
      <c r="E128" s="241"/>
      <c r="G128" s="119"/>
    </row>
    <row r="129" spans="2:7" x14ac:dyDescent="0.25">
      <c r="B129" s="118"/>
      <c r="C129" s="241"/>
      <c r="D129" s="231"/>
      <c r="E129" s="241"/>
      <c r="G129" s="119"/>
    </row>
    <row r="130" spans="2:7" x14ac:dyDescent="0.25">
      <c r="B130" s="118"/>
      <c r="C130" s="241"/>
      <c r="D130" s="231"/>
      <c r="E130" s="241"/>
      <c r="G130" s="119"/>
    </row>
    <row r="131" spans="2:7" x14ac:dyDescent="0.25">
      <c r="B131" s="118"/>
      <c r="C131" s="241"/>
      <c r="D131" s="231"/>
      <c r="E131" s="241"/>
      <c r="G131" s="119"/>
    </row>
    <row r="132" spans="2:7" x14ac:dyDescent="0.25">
      <c r="B132" s="118"/>
      <c r="C132" s="241"/>
      <c r="D132" s="231"/>
      <c r="E132" s="241"/>
      <c r="G132" s="119"/>
    </row>
    <row r="133" spans="2:7" x14ac:dyDescent="0.25">
      <c r="B133" s="118"/>
      <c r="C133" s="241"/>
      <c r="D133" s="231"/>
      <c r="E133" s="241"/>
      <c r="G133" s="119"/>
    </row>
    <row r="134" spans="2:7" x14ac:dyDescent="0.25">
      <c r="B134" s="118"/>
      <c r="C134" s="241"/>
      <c r="D134" s="231"/>
      <c r="E134" s="241"/>
      <c r="G134" s="119"/>
    </row>
    <row r="135" spans="2:7" x14ac:dyDescent="0.25">
      <c r="B135" s="118"/>
      <c r="C135" s="241"/>
      <c r="D135" s="231"/>
      <c r="E135" s="241"/>
      <c r="G135" s="119"/>
    </row>
    <row r="136" spans="2:7" x14ac:dyDescent="0.25">
      <c r="B136" s="118"/>
      <c r="C136" s="241"/>
      <c r="D136" s="231"/>
      <c r="E136" s="241"/>
      <c r="G136" s="119"/>
    </row>
    <row r="137" spans="2:7" x14ac:dyDescent="0.25">
      <c r="B137" s="118"/>
      <c r="C137" s="241"/>
      <c r="D137" s="231"/>
      <c r="E137" s="241"/>
      <c r="G137" s="119"/>
    </row>
    <row r="138" spans="2:7" x14ac:dyDescent="0.25">
      <c r="B138" s="118"/>
      <c r="C138" s="241"/>
      <c r="D138" s="231"/>
      <c r="E138" s="241"/>
      <c r="G138" s="119"/>
    </row>
    <row r="139" spans="2:7" x14ac:dyDescent="0.25">
      <c r="B139" s="118"/>
      <c r="C139" s="241"/>
      <c r="D139" s="231"/>
      <c r="E139" s="241"/>
      <c r="G139" s="119"/>
    </row>
    <row r="140" spans="2:7" x14ac:dyDescent="0.25">
      <c r="B140" s="118"/>
      <c r="C140" s="241"/>
      <c r="D140" s="231"/>
      <c r="E140" s="241"/>
      <c r="G140" s="119"/>
    </row>
    <row r="141" spans="2:7" x14ac:dyDescent="0.25">
      <c r="B141" s="118"/>
      <c r="C141" s="241"/>
      <c r="D141" s="231"/>
      <c r="E141" s="241"/>
      <c r="G141" s="119"/>
    </row>
    <row r="142" spans="2:7" x14ac:dyDescent="0.25">
      <c r="B142" s="118"/>
      <c r="C142" s="241"/>
      <c r="D142" s="231"/>
      <c r="E142" s="241"/>
      <c r="G142" s="119"/>
    </row>
    <row r="143" spans="2:7" x14ac:dyDescent="0.25">
      <c r="B143" s="118"/>
      <c r="C143" s="241"/>
      <c r="D143" s="231"/>
      <c r="E143" s="241"/>
      <c r="G143" s="119"/>
    </row>
    <row r="144" spans="2:7" x14ac:dyDescent="0.25">
      <c r="B144" s="118"/>
      <c r="C144" s="241"/>
      <c r="D144" s="231"/>
      <c r="E144" s="241"/>
      <c r="G144" s="119"/>
    </row>
    <row r="145" spans="2:7" x14ac:dyDescent="0.25">
      <c r="B145" s="118"/>
      <c r="C145" s="241"/>
      <c r="D145" s="231"/>
      <c r="E145" s="241"/>
      <c r="G145" s="119"/>
    </row>
    <row r="146" spans="2:7" x14ac:dyDescent="0.25">
      <c r="B146" s="118"/>
      <c r="C146" s="241"/>
      <c r="D146" s="231"/>
      <c r="E146" s="241"/>
      <c r="G146" s="119"/>
    </row>
    <row r="147" spans="2:7" x14ac:dyDescent="0.25">
      <c r="B147" s="118"/>
      <c r="C147" s="241"/>
      <c r="D147" s="231"/>
      <c r="E147" s="241"/>
      <c r="G147" s="119"/>
    </row>
    <row r="148" spans="2:7" x14ac:dyDescent="0.25">
      <c r="B148" s="118"/>
      <c r="C148" s="241"/>
      <c r="D148" s="231"/>
      <c r="E148" s="241"/>
      <c r="G148" s="119"/>
    </row>
    <row r="149" spans="2:7" x14ac:dyDescent="0.25">
      <c r="B149" s="118"/>
      <c r="C149" s="241"/>
      <c r="D149" s="231"/>
      <c r="E149" s="241"/>
      <c r="G149" s="119"/>
    </row>
    <row r="150" spans="2:7" x14ac:dyDescent="0.25">
      <c r="B150" s="118"/>
      <c r="C150" s="241"/>
      <c r="D150" s="231"/>
      <c r="E150" s="241"/>
      <c r="G150" s="119"/>
    </row>
    <row r="151" spans="2:7" x14ac:dyDescent="0.25">
      <c r="B151" s="118"/>
      <c r="C151" s="241"/>
      <c r="D151" s="231"/>
      <c r="E151" s="241"/>
      <c r="G151" s="119"/>
    </row>
    <row r="152" spans="2:7" x14ac:dyDescent="0.25">
      <c r="B152" s="118"/>
      <c r="C152" s="241"/>
      <c r="D152" s="231"/>
      <c r="E152" s="241"/>
      <c r="G152" s="119"/>
    </row>
    <row r="153" spans="2:7" x14ac:dyDescent="0.25">
      <c r="B153" s="118"/>
      <c r="C153" s="241"/>
      <c r="D153" s="231"/>
      <c r="E153" s="241"/>
      <c r="G153" s="119"/>
    </row>
    <row r="154" spans="2:7" x14ac:dyDescent="0.25">
      <c r="B154" s="118"/>
      <c r="C154" s="241"/>
      <c r="D154" s="231"/>
      <c r="E154" s="241"/>
      <c r="G154" s="119"/>
    </row>
    <row r="155" spans="2:7" x14ac:dyDescent="0.25">
      <c r="B155" s="118"/>
      <c r="C155" s="241"/>
      <c r="D155" s="231"/>
      <c r="E155" s="241"/>
      <c r="G155" s="119"/>
    </row>
    <row r="156" spans="2:7" x14ac:dyDescent="0.25">
      <c r="B156" s="118"/>
      <c r="C156" s="241"/>
      <c r="D156" s="231"/>
      <c r="E156" s="241"/>
      <c r="G156" s="119"/>
    </row>
    <row r="157" spans="2:7" x14ac:dyDescent="0.25">
      <c r="B157" s="118"/>
      <c r="C157" s="241"/>
      <c r="D157" s="231"/>
      <c r="E157" s="241"/>
      <c r="G157" s="119"/>
    </row>
    <row r="158" spans="2:7" x14ac:dyDescent="0.25">
      <c r="B158" s="118"/>
      <c r="C158" s="241"/>
      <c r="D158" s="231"/>
      <c r="E158" s="241"/>
      <c r="G158" s="119"/>
    </row>
    <row r="159" spans="2:7" x14ac:dyDescent="0.25">
      <c r="B159" s="118"/>
      <c r="C159" s="241"/>
      <c r="D159" s="231"/>
      <c r="E159" s="241"/>
      <c r="G159" s="119"/>
    </row>
    <row r="160" spans="2:7" x14ac:dyDescent="0.25">
      <c r="B160" s="118"/>
      <c r="C160" s="241"/>
      <c r="D160" s="231"/>
      <c r="E160" s="241"/>
      <c r="G160" s="119"/>
    </row>
    <row r="161" spans="2:7" x14ac:dyDescent="0.25">
      <c r="B161" s="118"/>
      <c r="C161" s="241"/>
      <c r="D161" s="231"/>
      <c r="E161" s="241"/>
      <c r="G161" s="119"/>
    </row>
    <row r="162" spans="2:7" x14ac:dyDescent="0.25">
      <c r="B162" s="118"/>
      <c r="C162" s="241"/>
      <c r="D162" s="231"/>
      <c r="E162" s="241"/>
      <c r="G162" s="119"/>
    </row>
    <row r="163" spans="2:7" x14ac:dyDescent="0.25">
      <c r="B163" s="118"/>
      <c r="C163" s="241"/>
      <c r="D163" s="231"/>
      <c r="E163" s="241"/>
      <c r="G163" s="119"/>
    </row>
    <row r="164" spans="2:7" x14ac:dyDescent="0.25">
      <c r="B164" s="118"/>
      <c r="C164" s="241"/>
      <c r="D164" s="231"/>
      <c r="E164" s="241"/>
      <c r="G164" s="119"/>
    </row>
    <row r="165" spans="2:7" x14ac:dyDescent="0.25">
      <c r="B165" s="118"/>
      <c r="C165" s="241"/>
      <c r="D165" s="231"/>
      <c r="E165" s="241"/>
      <c r="G165" s="119"/>
    </row>
    <row r="166" spans="2:7" x14ac:dyDescent="0.25">
      <c r="B166" s="118"/>
      <c r="C166" s="241"/>
      <c r="D166" s="231"/>
      <c r="E166" s="241"/>
      <c r="G166" s="119"/>
    </row>
    <row r="167" spans="2:7" x14ac:dyDescent="0.25">
      <c r="B167" s="118"/>
      <c r="C167" s="241"/>
      <c r="D167" s="231"/>
      <c r="E167" s="241"/>
      <c r="G167" s="119"/>
    </row>
    <row r="168" spans="2:7" x14ac:dyDescent="0.25">
      <c r="B168" s="118"/>
      <c r="C168" s="241"/>
      <c r="D168" s="231"/>
      <c r="E168" s="241"/>
      <c r="G168" s="119"/>
    </row>
    <row r="169" spans="2:7" x14ac:dyDescent="0.25">
      <c r="B169" s="118"/>
      <c r="C169" s="241"/>
      <c r="D169" s="231"/>
      <c r="E169" s="241"/>
      <c r="G169" s="119"/>
    </row>
    <row r="170" spans="2:7" x14ac:dyDescent="0.25">
      <c r="B170" s="118"/>
      <c r="C170" s="241"/>
      <c r="D170" s="231"/>
      <c r="E170" s="241"/>
      <c r="G170" s="119"/>
    </row>
    <row r="171" spans="2:7" x14ac:dyDescent="0.25">
      <c r="B171" s="118"/>
      <c r="C171" s="241"/>
      <c r="D171" s="231"/>
      <c r="E171" s="241"/>
      <c r="G171" s="119"/>
    </row>
    <row r="172" spans="2:7" x14ac:dyDescent="0.25">
      <c r="B172" s="118"/>
      <c r="C172" s="241"/>
      <c r="D172" s="231"/>
      <c r="E172" s="241"/>
      <c r="G172" s="119"/>
    </row>
    <row r="173" spans="2:7" x14ac:dyDescent="0.25">
      <c r="B173" s="118"/>
      <c r="C173" s="241"/>
      <c r="D173" s="231"/>
      <c r="E173" s="241"/>
      <c r="G173" s="119"/>
    </row>
    <row r="174" spans="2:7" x14ac:dyDescent="0.25">
      <c r="B174" s="118"/>
      <c r="C174" s="241"/>
      <c r="D174" s="231"/>
      <c r="E174" s="241"/>
      <c r="G174" s="119"/>
    </row>
    <row r="175" spans="2:7" x14ac:dyDescent="0.25">
      <c r="B175" s="118"/>
      <c r="C175" s="241"/>
      <c r="D175" s="231"/>
      <c r="E175" s="241"/>
      <c r="G175" s="119"/>
    </row>
    <row r="176" spans="2:7" x14ac:dyDescent="0.25">
      <c r="B176" s="118"/>
      <c r="C176" s="241"/>
      <c r="D176" s="231"/>
      <c r="E176" s="241"/>
      <c r="G176" s="119"/>
    </row>
    <row r="177" spans="2:7" x14ac:dyDescent="0.25">
      <c r="B177" s="118"/>
      <c r="C177" s="241"/>
      <c r="D177" s="231"/>
      <c r="E177" s="241"/>
      <c r="G177" s="119"/>
    </row>
    <row r="178" spans="2:7" x14ac:dyDescent="0.25">
      <c r="B178" s="118"/>
      <c r="C178" s="241"/>
      <c r="D178" s="231"/>
      <c r="E178" s="241"/>
      <c r="G178" s="119"/>
    </row>
    <row r="179" spans="2:7" x14ac:dyDescent="0.25">
      <c r="B179" s="118"/>
      <c r="C179" s="241"/>
      <c r="D179" s="231"/>
      <c r="E179" s="241"/>
      <c r="G179" s="119"/>
    </row>
    <row r="180" spans="2:7" x14ac:dyDescent="0.25">
      <c r="B180" s="118"/>
      <c r="C180" s="241"/>
      <c r="D180" s="231"/>
      <c r="E180" s="241"/>
      <c r="G180" s="119"/>
    </row>
    <row r="181" spans="2:7" x14ac:dyDescent="0.25">
      <c r="B181" s="118"/>
      <c r="C181" s="241"/>
      <c r="D181" s="231"/>
      <c r="E181" s="241"/>
      <c r="G181" s="119"/>
    </row>
    <row r="182" spans="2:7" x14ac:dyDescent="0.25">
      <c r="B182" s="118"/>
      <c r="C182" s="241"/>
      <c r="D182" s="231"/>
      <c r="E182" s="241"/>
      <c r="G182" s="119"/>
    </row>
    <row r="183" spans="2:7" x14ac:dyDescent="0.25">
      <c r="B183" s="118"/>
      <c r="C183" s="241"/>
      <c r="D183" s="231"/>
      <c r="E183" s="241"/>
      <c r="G183" s="119"/>
    </row>
    <row r="184" spans="2:7" x14ac:dyDescent="0.25">
      <c r="B184" s="118"/>
      <c r="C184" s="241"/>
      <c r="D184" s="231"/>
      <c r="E184" s="241"/>
      <c r="G184" s="119"/>
    </row>
    <row r="185" spans="2:7" x14ac:dyDescent="0.25">
      <c r="B185" s="118"/>
      <c r="C185" s="241"/>
      <c r="D185" s="231"/>
      <c r="E185" s="241"/>
      <c r="G185" s="119"/>
    </row>
    <row r="186" spans="2:7" x14ac:dyDescent="0.25">
      <c r="B186" s="118"/>
      <c r="C186" s="241"/>
      <c r="D186" s="231"/>
      <c r="E186" s="241"/>
      <c r="G186" s="119"/>
    </row>
    <row r="187" spans="2:7" x14ac:dyDescent="0.25">
      <c r="B187" s="118"/>
      <c r="C187" s="241"/>
      <c r="D187" s="231"/>
      <c r="E187" s="241"/>
      <c r="G187" s="119"/>
    </row>
    <row r="188" spans="2:7" x14ac:dyDescent="0.25">
      <c r="B188" s="118"/>
      <c r="C188" s="241"/>
      <c r="D188" s="231"/>
      <c r="E188" s="241"/>
      <c r="G188" s="119"/>
    </row>
    <row r="189" spans="2:7" x14ac:dyDescent="0.25">
      <c r="B189" s="118"/>
      <c r="C189" s="241"/>
      <c r="D189" s="231"/>
      <c r="E189" s="241"/>
      <c r="G189" s="119"/>
    </row>
    <row r="190" spans="2:7" x14ac:dyDescent="0.25">
      <c r="B190" s="118"/>
      <c r="C190" s="241"/>
      <c r="D190" s="231"/>
      <c r="E190" s="241"/>
      <c r="G190" s="119"/>
    </row>
    <row r="191" spans="2:7" x14ac:dyDescent="0.25">
      <c r="B191" s="118"/>
      <c r="C191" s="241"/>
      <c r="D191" s="231"/>
      <c r="E191" s="241"/>
      <c r="G191" s="119"/>
    </row>
    <row r="192" spans="2:7" x14ac:dyDescent="0.25">
      <c r="B192" s="118"/>
      <c r="C192" s="241"/>
      <c r="D192" s="231"/>
      <c r="E192" s="241"/>
      <c r="G192" s="119"/>
    </row>
    <row r="193" spans="2:7" x14ac:dyDescent="0.25">
      <c r="B193" s="118"/>
      <c r="C193" s="241"/>
      <c r="D193" s="231"/>
      <c r="E193" s="241"/>
      <c r="G193" s="119"/>
    </row>
    <row r="194" spans="2:7" x14ac:dyDescent="0.25">
      <c r="B194" s="118"/>
      <c r="C194" s="241"/>
      <c r="D194" s="231"/>
      <c r="E194" s="241"/>
      <c r="G194" s="119"/>
    </row>
    <row r="195" spans="2:7" x14ac:dyDescent="0.25">
      <c r="B195" s="118"/>
      <c r="C195" s="241"/>
      <c r="D195" s="231"/>
      <c r="E195" s="241"/>
      <c r="G195" s="119"/>
    </row>
    <row r="196" spans="2:7" x14ac:dyDescent="0.25">
      <c r="B196" s="118"/>
      <c r="C196" s="241"/>
      <c r="D196" s="231"/>
      <c r="E196" s="241"/>
      <c r="G196" s="119"/>
    </row>
    <row r="197" spans="2:7" x14ac:dyDescent="0.25">
      <c r="B197" s="118"/>
      <c r="C197" s="241"/>
      <c r="D197" s="231"/>
      <c r="E197" s="241"/>
      <c r="G197" s="119"/>
    </row>
    <row r="198" spans="2:7" x14ac:dyDescent="0.25">
      <c r="B198" s="118"/>
      <c r="C198" s="241"/>
      <c r="D198" s="231"/>
      <c r="E198" s="241"/>
      <c r="G198" s="119"/>
    </row>
    <row r="199" spans="2:7" x14ac:dyDescent="0.25">
      <c r="B199" s="118"/>
      <c r="C199" s="241"/>
      <c r="D199" s="231"/>
      <c r="E199" s="241"/>
      <c r="G199" s="119"/>
    </row>
    <row r="200" spans="2:7" x14ac:dyDescent="0.25">
      <c r="B200" s="118"/>
      <c r="C200" s="241"/>
      <c r="D200" s="231"/>
      <c r="E200" s="241"/>
      <c r="G200" s="119"/>
    </row>
    <row r="201" spans="2:7" x14ac:dyDescent="0.25">
      <c r="B201" s="118"/>
      <c r="C201" s="241"/>
      <c r="D201" s="231"/>
      <c r="E201" s="241"/>
      <c r="G201" s="119"/>
    </row>
    <row r="202" spans="2:7" x14ac:dyDescent="0.25">
      <c r="B202" s="118"/>
      <c r="C202" s="241"/>
      <c r="D202" s="231"/>
      <c r="E202" s="241"/>
      <c r="G202" s="119"/>
    </row>
    <row r="203" spans="2:7" x14ac:dyDescent="0.25">
      <c r="B203" s="118"/>
      <c r="C203" s="241"/>
      <c r="D203" s="231"/>
      <c r="E203" s="241"/>
      <c r="G203" s="119"/>
    </row>
    <row r="204" spans="2:7" x14ac:dyDescent="0.25">
      <c r="B204" s="118"/>
      <c r="C204" s="241"/>
      <c r="D204" s="231"/>
      <c r="E204" s="241"/>
      <c r="G204" s="119"/>
    </row>
    <row r="205" spans="2:7" x14ac:dyDescent="0.25">
      <c r="B205" s="118"/>
      <c r="C205" s="241"/>
      <c r="D205" s="231"/>
      <c r="E205" s="241"/>
      <c r="G205" s="119"/>
    </row>
    <row r="206" spans="2:7" x14ac:dyDescent="0.25">
      <c r="B206" s="118"/>
      <c r="C206" s="241"/>
      <c r="D206" s="231"/>
      <c r="E206" s="241"/>
      <c r="G206" s="119"/>
    </row>
    <row r="207" spans="2:7" x14ac:dyDescent="0.25">
      <c r="B207" s="118"/>
      <c r="C207" s="241"/>
      <c r="D207" s="231"/>
      <c r="E207" s="241"/>
      <c r="G207" s="119"/>
    </row>
    <row r="208" spans="2:7" x14ac:dyDescent="0.25">
      <c r="B208" s="118"/>
      <c r="C208" s="241"/>
      <c r="D208" s="231"/>
      <c r="E208" s="241"/>
      <c r="G208" s="119"/>
    </row>
    <row r="209" spans="2:7" x14ac:dyDescent="0.25">
      <c r="B209" s="118"/>
      <c r="C209" s="241"/>
      <c r="D209" s="231"/>
      <c r="E209" s="241"/>
      <c r="G209" s="119"/>
    </row>
    <row r="210" spans="2:7" x14ac:dyDescent="0.25">
      <c r="B210" s="118"/>
      <c r="C210" s="241"/>
      <c r="D210" s="231"/>
      <c r="E210" s="241"/>
      <c r="G210" s="119"/>
    </row>
    <row r="211" spans="2:7" x14ac:dyDescent="0.25">
      <c r="B211" s="118"/>
      <c r="C211" s="241"/>
      <c r="D211" s="231"/>
      <c r="E211" s="241"/>
      <c r="G211" s="119"/>
    </row>
    <row r="212" spans="2:7" x14ac:dyDescent="0.25">
      <c r="B212" s="118"/>
      <c r="C212" s="241"/>
      <c r="D212" s="231"/>
      <c r="E212" s="241"/>
      <c r="G212" s="119"/>
    </row>
    <row r="213" spans="2:7" x14ac:dyDescent="0.25">
      <c r="B213" s="118"/>
      <c r="C213" s="241"/>
      <c r="D213" s="231"/>
      <c r="E213" s="241"/>
      <c r="G213" s="119"/>
    </row>
    <row r="214" spans="2:7" x14ac:dyDescent="0.25">
      <c r="B214" s="118"/>
      <c r="C214" s="241"/>
      <c r="D214" s="231"/>
      <c r="E214" s="241"/>
      <c r="G214" s="119"/>
    </row>
    <row r="215" spans="2:7" x14ac:dyDescent="0.25">
      <c r="B215" s="118"/>
      <c r="C215" s="241"/>
      <c r="D215" s="231"/>
      <c r="E215" s="241"/>
      <c r="G215" s="119"/>
    </row>
    <row r="216" spans="2:7" x14ac:dyDescent="0.25">
      <c r="B216" s="118"/>
      <c r="C216" s="241"/>
      <c r="D216" s="231"/>
      <c r="E216" s="241"/>
      <c r="G216" s="119"/>
    </row>
    <row r="217" spans="2:7" x14ac:dyDescent="0.25">
      <c r="B217" s="118"/>
      <c r="C217" s="241"/>
      <c r="D217" s="231"/>
      <c r="E217" s="241"/>
      <c r="G217" s="119"/>
    </row>
    <row r="218" spans="2:7" x14ac:dyDescent="0.25">
      <c r="B218" s="118"/>
      <c r="C218" s="241"/>
      <c r="D218" s="231"/>
      <c r="E218" s="241"/>
      <c r="G218" s="119"/>
    </row>
    <row r="219" spans="2:7" x14ac:dyDescent="0.25">
      <c r="B219" s="118"/>
      <c r="C219" s="241"/>
      <c r="D219" s="231"/>
      <c r="E219" s="241"/>
      <c r="G219" s="119"/>
    </row>
    <row r="220" spans="2:7" x14ac:dyDescent="0.25">
      <c r="B220" s="118"/>
      <c r="C220" s="241"/>
      <c r="D220" s="231"/>
      <c r="E220" s="241"/>
      <c r="G220" s="119"/>
    </row>
    <row r="221" spans="2:7" x14ac:dyDescent="0.25">
      <c r="B221" s="118"/>
      <c r="C221" s="241"/>
      <c r="D221" s="231"/>
      <c r="E221" s="241"/>
      <c r="G221" s="119"/>
    </row>
    <row r="222" spans="2:7" x14ac:dyDescent="0.25">
      <c r="B222" s="118"/>
      <c r="C222" s="241"/>
      <c r="D222" s="231"/>
      <c r="E222" s="241"/>
      <c r="G222" s="119"/>
    </row>
    <row r="223" spans="2:7" x14ac:dyDescent="0.25">
      <c r="B223" s="118"/>
      <c r="C223" s="241"/>
      <c r="D223" s="231"/>
      <c r="E223" s="241"/>
      <c r="G223" s="119"/>
    </row>
    <row r="224" spans="2:7" x14ac:dyDescent="0.25">
      <c r="B224" s="118"/>
      <c r="C224" s="241"/>
      <c r="D224" s="231"/>
      <c r="E224" s="241"/>
      <c r="G224" s="119"/>
    </row>
    <row r="225" spans="2:7" x14ac:dyDescent="0.25">
      <c r="B225" s="118"/>
      <c r="C225" s="241"/>
      <c r="D225" s="231"/>
      <c r="E225" s="241"/>
      <c r="G225" s="119"/>
    </row>
    <row r="226" spans="2:7" x14ac:dyDescent="0.25">
      <c r="B226" s="118"/>
      <c r="C226" s="241"/>
      <c r="D226" s="231"/>
      <c r="E226" s="241"/>
      <c r="G226" s="119"/>
    </row>
    <row r="227" spans="2:7" x14ac:dyDescent="0.25">
      <c r="B227" s="118"/>
      <c r="C227" s="241"/>
      <c r="D227" s="231"/>
      <c r="E227" s="241"/>
      <c r="G227" s="119"/>
    </row>
    <row r="228" spans="2:7" x14ac:dyDescent="0.25">
      <c r="B228" s="118"/>
      <c r="C228" s="241"/>
      <c r="D228" s="231"/>
      <c r="E228" s="241"/>
      <c r="G228" s="119"/>
    </row>
    <row r="229" spans="2:7" x14ac:dyDescent="0.25">
      <c r="B229" s="118"/>
      <c r="C229" s="241"/>
      <c r="D229" s="231"/>
      <c r="E229" s="241"/>
      <c r="G229" s="119"/>
    </row>
    <row r="230" spans="2:7" x14ac:dyDescent="0.25">
      <c r="B230" s="118"/>
      <c r="C230" s="241"/>
      <c r="D230" s="231"/>
      <c r="E230" s="241"/>
      <c r="G230" s="119"/>
    </row>
    <row r="231" spans="2:7" x14ac:dyDescent="0.25">
      <c r="B231" s="118"/>
      <c r="C231" s="241"/>
      <c r="D231" s="231"/>
      <c r="E231" s="241"/>
      <c r="G231" s="119"/>
    </row>
    <row r="232" spans="2:7" x14ac:dyDescent="0.25">
      <c r="B232" s="118"/>
      <c r="C232" s="241"/>
      <c r="D232" s="231"/>
      <c r="E232" s="241"/>
      <c r="G232" s="119"/>
    </row>
    <row r="233" spans="2:7" x14ac:dyDescent="0.25">
      <c r="B233" s="118"/>
      <c r="C233" s="241"/>
      <c r="D233" s="231"/>
      <c r="E233" s="241"/>
      <c r="G233" s="119"/>
    </row>
    <row r="234" spans="2:7" x14ac:dyDescent="0.25">
      <c r="B234" s="118"/>
      <c r="C234" s="241"/>
      <c r="D234" s="231"/>
      <c r="E234" s="241"/>
      <c r="G234" s="119"/>
    </row>
    <row r="235" spans="2:7" x14ac:dyDescent="0.25">
      <c r="B235" s="118"/>
      <c r="C235" s="241"/>
      <c r="D235" s="231"/>
      <c r="E235" s="241"/>
      <c r="G235" s="119"/>
    </row>
    <row r="236" spans="2:7" x14ac:dyDescent="0.25">
      <c r="B236" s="118"/>
      <c r="C236" s="241"/>
      <c r="D236" s="231"/>
      <c r="E236" s="241"/>
      <c r="G236" s="119"/>
    </row>
    <row r="237" spans="2:7" x14ac:dyDescent="0.25">
      <c r="B237" s="118"/>
      <c r="C237" s="241"/>
      <c r="D237" s="231"/>
      <c r="E237" s="241"/>
      <c r="G237" s="119"/>
    </row>
    <row r="238" spans="2:7" x14ac:dyDescent="0.25">
      <c r="B238" s="118"/>
      <c r="C238" s="241"/>
      <c r="D238" s="231"/>
      <c r="E238" s="241"/>
      <c r="G238" s="119"/>
    </row>
    <row r="239" spans="2:7" x14ac:dyDescent="0.25">
      <c r="B239" s="118"/>
      <c r="C239" s="241"/>
      <c r="D239" s="231"/>
      <c r="E239" s="241"/>
      <c r="G239" s="119"/>
    </row>
    <row r="240" spans="2:7" x14ac:dyDescent="0.25">
      <c r="B240" s="118"/>
      <c r="C240" s="241"/>
      <c r="D240" s="231"/>
      <c r="E240" s="241"/>
      <c r="G240" s="119"/>
    </row>
    <row r="241" spans="2:7" x14ac:dyDescent="0.25">
      <c r="B241" s="118"/>
      <c r="C241" s="241"/>
      <c r="D241" s="231"/>
      <c r="E241" s="241"/>
      <c r="G241" s="119"/>
    </row>
    <row r="242" spans="2:7" x14ac:dyDescent="0.25">
      <c r="B242" s="118"/>
      <c r="C242" s="241"/>
      <c r="D242" s="231"/>
      <c r="E242" s="241"/>
      <c r="G242" s="119"/>
    </row>
    <row r="243" spans="2:7" x14ac:dyDescent="0.25">
      <c r="B243" s="118"/>
      <c r="C243" s="241"/>
      <c r="D243" s="231"/>
      <c r="E243" s="241"/>
      <c r="G243" s="119"/>
    </row>
    <row r="244" spans="2:7" x14ac:dyDescent="0.25">
      <c r="B244" s="118"/>
      <c r="C244" s="241"/>
      <c r="D244" s="231"/>
      <c r="E244" s="241"/>
      <c r="G244" s="119"/>
    </row>
    <row r="245" spans="2:7" x14ac:dyDescent="0.25">
      <c r="B245" s="118"/>
      <c r="C245" s="241"/>
      <c r="D245" s="231"/>
      <c r="E245" s="241"/>
      <c r="G245" s="119"/>
    </row>
    <row r="246" spans="2:7" x14ac:dyDescent="0.25">
      <c r="B246" s="118"/>
      <c r="C246" s="241"/>
      <c r="D246" s="231"/>
      <c r="E246" s="241"/>
      <c r="G246" s="119"/>
    </row>
    <row r="247" spans="2:7" x14ac:dyDescent="0.25">
      <c r="B247" s="118"/>
      <c r="C247" s="241"/>
      <c r="D247" s="231"/>
      <c r="E247" s="241"/>
      <c r="G247" s="119"/>
    </row>
    <row r="248" spans="2:7" x14ac:dyDescent="0.25">
      <c r="B248" s="118"/>
      <c r="C248" s="241"/>
      <c r="D248" s="231"/>
      <c r="E248" s="241"/>
      <c r="G248" s="119"/>
    </row>
    <row r="249" spans="2:7" x14ac:dyDescent="0.25">
      <c r="B249" s="118"/>
      <c r="C249" s="241"/>
      <c r="D249" s="231"/>
      <c r="E249" s="241"/>
      <c r="G249" s="119"/>
    </row>
    <row r="250" spans="2:7" x14ac:dyDescent="0.25">
      <c r="B250" s="118"/>
      <c r="C250" s="241"/>
      <c r="D250" s="231"/>
      <c r="E250" s="241"/>
      <c r="G250" s="119"/>
    </row>
    <row r="251" spans="2:7" x14ac:dyDescent="0.25">
      <c r="B251" s="118"/>
      <c r="C251" s="241"/>
      <c r="D251" s="231"/>
      <c r="E251" s="241"/>
      <c r="G251" s="119"/>
    </row>
    <row r="252" spans="2:7" x14ac:dyDescent="0.25">
      <c r="B252" s="118"/>
      <c r="C252" s="241"/>
      <c r="D252" s="231"/>
      <c r="E252" s="241"/>
      <c r="G252" s="119"/>
    </row>
    <row r="253" spans="2:7" x14ac:dyDescent="0.25">
      <c r="B253" s="118"/>
      <c r="C253" s="241"/>
      <c r="D253" s="231"/>
      <c r="E253" s="241"/>
      <c r="G253" s="119"/>
    </row>
    <row r="254" spans="2:7" x14ac:dyDescent="0.25">
      <c r="B254" s="118"/>
      <c r="C254" s="241"/>
      <c r="D254" s="231"/>
      <c r="E254" s="241"/>
      <c r="G254" s="119"/>
    </row>
    <row r="255" spans="2:7" x14ac:dyDescent="0.25">
      <c r="B255" s="118"/>
      <c r="C255" s="241"/>
      <c r="D255" s="231"/>
      <c r="E255" s="241"/>
      <c r="G255" s="119"/>
    </row>
    <row r="256" spans="2:7" x14ac:dyDescent="0.25">
      <c r="B256" s="118"/>
      <c r="C256" s="241"/>
      <c r="D256" s="231"/>
      <c r="E256" s="241"/>
      <c r="G256" s="119"/>
    </row>
    <row r="257" spans="2:7" x14ac:dyDescent="0.25">
      <c r="B257" s="118"/>
      <c r="C257" s="241"/>
      <c r="D257" s="231"/>
      <c r="E257" s="241"/>
      <c r="G257" s="119"/>
    </row>
    <row r="258" spans="2:7" x14ac:dyDescent="0.25">
      <c r="B258" s="118"/>
      <c r="C258" s="241"/>
      <c r="D258" s="231"/>
      <c r="E258" s="241"/>
      <c r="G258" s="119"/>
    </row>
    <row r="259" spans="2:7" x14ac:dyDescent="0.25">
      <c r="B259" s="118"/>
      <c r="C259" s="241"/>
      <c r="D259" s="231"/>
      <c r="E259" s="241"/>
      <c r="G259" s="119"/>
    </row>
    <row r="260" spans="2:7" x14ac:dyDescent="0.25">
      <c r="B260" s="118"/>
      <c r="C260" s="241"/>
      <c r="D260" s="231"/>
      <c r="E260" s="241"/>
      <c r="G260" s="119"/>
    </row>
    <row r="261" spans="2:7" x14ac:dyDescent="0.25">
      <c r="B261" s="118"/>
      <c r="C261" s="241"/>
      <c r="D261" s="231"/>
      <c r="E261" s="241"/>
      <c r="G261" s="119"/>
    </row>
    <row r="262" spans="2:7" x14ac:dyDescent="0.25">
      <c r="B262" s="118"/>
      <c r="C262" s="241"/>
      <c r="D262" s="231"/>
      <c r="E262" s="241"/>
      <c r="G262" s="119"/>
    </row>
    <row r="263" spans="2:7" x14ac:dyDescent="0.25">
      <c r="B263" s="118"/>
      <c r="C263" s="241"/>
      <c r="D263" s="231"/>
      <c r="E263" s="241"/>
      <c r="G263" s="119"/>
    </row>
    <row r="264" spans="2:7" x14ac:dyDescent="0.25">
      <c r="B264" s="118"/>
      <c r="C264" s="241"/>
      <c r="D264" s="231"/>
      <c r="E264" s="241"/>
      <c r="G264" s="119"/>
    </row>
    <row r="265" spans="2:7" x14ac:dyDescent="0.25">
      <c r="B265" s="118"/>
      <c r="C265" s="241"/>
      <c r="D265" s="231"/>
      <c r="E265" s="241"/>
      <c r="G265" s="119"/>
    </row>
    <row r="266" spans="2:7" x14ac:dyDescent="0.25">
      <c r="B266" s="118"/>
      <c r="C266" s="241"/>
      <c r="D266" s="231"/>
      <c r="E266" s="241"/>
      <c r="G266" s="119"/>
    </row>
    <row r="267" spans="2:7" x14ac:dyDescent="0.25">
      <c r="B267" s="118"/>
      <c r="C267" s="241"/>
      <c r="D267" s="231"/>
      <c r="E267" s="241"/>
      <c r="G267" s="119"/>
    </row>
    <row r="268" spans="2:7" x14ac:dyDescent="0.25">
      <c r="B268" s="118"/>
      <c r="C268" s="241"/>
      <c r="D268" s="231"/>
      <c r="E268" s="241"/>
      <c r="G268" s="119"/>
    </row>
    <row r="269" spans="2:7" x14ac:dyDescent="0.25">
      <c r="B269" s="118"/>
      <c r="C269" s="241"/>
      <c r="D269" s="231"/>
      <c r="E269" s="241"/>
      <c r="G269" s="119"/>
    </row>
    <row r="270" spans="2:7" x14ac:dyDescent="0.25">
      <c r="B270" s="118"/>
      <c r="C270" s="241"/>
      <c r="D270" s="231"/>
      <c r="E270" s="241"/>
      <c r="G270" s="119"/>
    </row>
    <row r="271" spans="2:7" x14ac:dyDescent="0.25">
      <c r="B271" s="118"/>
      <c r="C271" s="241"/>
      <c r="D271" s="231"/>
      <c r="E271" s="241"/>
      <c r="G271" s="119"/>
    </row>
    <row r="272" spans="2:7" x14ac:dyDescent="0.25">
      <c r="B272" s="118"/>
      <c r="C272" s="241"/>
      <c r="D272" s="231"/>
      <c r="E272" s="241"/>
      <c r="G272" s="119"/>
    </row>
    <row r="273" spans="2:7" x14ac:dyDescent="0.25">
      <c r="B273" s="118"/>
      <c r="C273" s="241"/>
      <c r="D273" s="231"/>
      <c r="E273" s="241"/>
      <c r="G273" s="119"/>
    </row>
    <row r="274" spans="2:7" x14ac:dyDescent="0.25">
      <c r="B274" s="118"/>
      <c r="C274" s="241"/>
      <c r="D274" s="231"/>
      <c r="E274" s="241"/>
      <c r="G274" s="119"/>
    </row>
    <row r="275" spans="2:7" x14ac:dyDescent="0.25">
      <c r="B275" s="118"/>
      <c r="C275" s="241"/>
      <c r="D275" s="231"/>
      <c r="E275" s="241"/>
      <c r="G275" s="119"/>
    </row>
    <row r="276" spans="2:7" x14ac:dyDescent="0.25">
      <c r="B276" s="118"/>
      <c r="C276" s="241"/>
      <c r="D276" s="231"/>
      <c r="E276" s="241"/>
      <c r="G276" s="119"/>
    </row>
    <row r="277" spans="2:7" x14ac:dyDescent="0.25">
      <c r="B277" s="118"/>
      <c r="C277" s="241"/>
      <c r="D277" s="231"/>
      <c r="E277" s="241"/>
      <c r="G277" s="119"/>
    </row>
    <row r="278" spans="2:7" x14ac:dyDescent="0.25">
      <c r="B278" s="118"/>
      <c r="C278" s="241"/>
      <c r="D278" s="231"/>
      <c r="E278" s="241"/>
      <c r="G278" s="119"/>
    </row>
    <row r="279" spans="2:7" x14ac:dyDescent="0.25">
      <c r="B279" s="118"/>
      <c r="C279" s="241"/>
      <c r="D279" s="231"/>
      <c r="E279" s="241"/>
      <c r="G279" s="119"/>
    </row>
    <row r="280" spans="2:7" x14ac:dyDescent="0.25">
      <c r="B280" s="118"/>
      <c r="C280" s="241"/>
      <c r="D280" s="231"/>
      <c r="E280" s="241"/>
      <c r="G280" s="119"/>
    </row>
    <row r="281" spans="2:7" x14ac:dyDescent="0.25">
      <c r="B281" s="118"/>
      <c r="C281" s="241"/>
      <c r="D281" s="231"/>
      <c r="E281" s="241"/>
      <c r="G281" s="119"/>
    </row>
    <row r="282" spans="2:7" x14ac:dyDescent="0.25">
      <c r="B282" s="118"/>
      <c r="C282" s="241"/>
      <c r="D282" s="231"/>
      <c r="E282" s="241"/>
      <c r="G282" s="119"/>
    </row>
    <row r="283" spans="2:7" x14ac:dyDescent="0.25">
      <c r="B283" s="118"/>
      <c r="C283" s="241"/>
      <c r="D283" s="231"/>
      <c r="E283" s="241"/>
      <c r="G283" s="119"/>
    </row>
    <row r="284" spans="2:7" x14ac:dyDescent="0.25">
      <c r="B284" s="118"/>
      <c r="C284" s="241"/>
      <c r="D284" s="231"/>
      <c r="E284" s="241"/>
      <c r="G284" s="119"/>
    </row>
    <row r="285" spans="2:7" x14ac:dyDescent="0.25">
      <c r="B285" s="118"/>
      <c r="C285" s="241"/>
      <c r="D285" s="231"/>
      <c r="E285" s="241"/>
      <c r="G285" s="119"/>
    </row>
    <row r="286" spans="2:7" x14ac:dyDescent="0.25">
      <c r="B286" s="118"/>
      <c r="C286" s="241"/>
      <c r="D286" s="231"/>
      <c r="E286" s="241"/>
      <c r="G286" s="119"/>
    </row>
    <row r="287" spans="2:7" x14ac:dyDescent="0.25">
      <c r="B287" s="118"/>
      <c r="C287" s="241"/>
      <c r="D287" s="231"/>
      <c r="E287" s="241"/>
      <c r="G287" s="119"/>
    </row>
    <row r="288" spans="2:7" x14ac:dyDescent="0.25">
      <c r="B288" s="118"/>
      <c r="C288" s="241"/>
      <c r="D288" s="231"/>
      <c r="E288" s="241"/>
      <c r="G288" s="119"/>
    </row>
    <row r="289" spans="2:7" x14ac:dyDescent="0.25">
      <c r="B289" s="118"/>
      <c r="C289" s="241"/>
      <c r="D289" s="231"/>
      <c r="E289" s="241"/>
      <c r="G289" s="119"/>
    </row>
    <row r="290" spans="2:7" x14ac:dyDescent="0.25">
      <c r="B290" s="118"/>
      <c r="C290" s="241"/>
      <c r="D290" s="231"/>
      <c r="E290" s="241"/>
      <c r="G290" s="119"/>
    </row>
    <row r="291" spans="2:7" x14ac:dyDescent="0.25">
      <c r="B291" s="118"/>
      <c r="C291" s="241"/>
      <c r="D291" s="231"/>
      <c r="E291" s="241"/>
      <c r="G291" s="119"/>
    </row>
    <row r="292" spans="2:7" x14ac:dyDescent="0.25">
      <c r="B292" s="118"/>
      <c r="C292" s="241"/>
      <c r="D292" s="231"/>
      <c r="E292" s="241"/>
      <c r="G292" s="119"/>
    </row>
    <row r="293" spans="2:7" x14ac:dyDescent="0.25">
      <c r="B293" s="118"/>
      <c r="C293" s="241"/>
      <c r="D293" s="231"/>
      <c r="E293" s="241"/>
      <c r="G293" s="119"/>
    </row>
    <row r="294" spans="2:7" x14ac:dyDescent="0.25">
      <c r="B294" s="118"/>
      <c r="C294" s="241"/>
      <c r="D294" s="231"/>
      <c r="E294" s="241"/>
      <c r="G294" s="119"/>
    </row>
    <row r="295" spans="2:7" x14ac:dyDescent="0.25">
      <c r="B295" s="118"/>
      <c r="C295" s="241"/>
      <c r="D295" s="231"/>
      <c r="E295" s="241"/>
      <c r="G295" s="119"/>
    </row>
    <row r="296" spans="2:7" x14ac:dyDescent="0.25">
      <c r="B296" s="118"/>
      <c r="C296" s="241"/>
      <c r="D296" s="231"/>
      <c r="E296" s="241"/>
      <c r="G296" s="119"/>
    </row>
    <row r="297" spans="2:7" x14ac:dyDescent="0.25">
      <c r="B297" s="118"/>
      <c r="C297" s="241"/>
      <c r="D297" s="231"/>
      <c r="E297" s="241"/>
      <c r="G297" s="119"/>
    </row>
    <row r="298" spans="2:7" x14ac:dyDescent="0.25">
      <c r="B298" s="118"/>
      <c r="C298" s="241"/>
      <c r="D298" s="231"/>
      <c r="E298" s="241"/>
      <c r="G298" s="119"/>
    </row>
    <row r="299" spans="2:7" x14ac:dyDescent="0.25">
      <c r="B299" s="118"/>
      <c r="C299" s="241"/>
      <c r="D299" s="231"/>
      <c r="E299" s="241"/>
      <c r="G299" s="119"/>
    </row>
    <row r="300" spans="2:7" x14ac:dyDescent="0.25">
      <c r="B300" s="118"/>
      <c r="C300" s="241"/>
      <c r="D300" s="231"/>
      <c r="E300" s="241"/>
      <c r="G300" s="119"/>
    </row>
    <row r="301" spans="2:7" x14ac:dyDescent="0.25">
      <c r="B301" s="118"/>
      <c r="C301" s="241"/>
      <c r="D301" s="231"/>
      <c r="E301" s="241"/>
      <c r="G301" s="119"/>
    </row>
    <row r="302" spans="2:7" x14ac:dyDescent="0.25">
      <c r="B302" s="118"/>
      <c r="C302" s="241"/>
      <c r="D302" s="231"/>
      <c r="E302" s="241"/>
      <c r="G302" s="119"/>
    </row>
    <row r="303" spans="2:7" x14ac:dyDescent="0.25">
      <c r="B303" s="118"/>
      <c r="C303" s="241"/>
      <c r="D303" s="231"/>
      <c r="E303" s="241"/>
      <c r="G303" s="119"/>
    </row>
    <row r="304" spans="2:7" x14ac:dyDescent="0.25">
      <c r="B304" s="118"/>
      <c r="C304" s="241"/>
      <c r="D304" s="231"/>
      <c r="E304" s="241"/>
      <c r="G304" s="119"/>
    </row>
    <row r="305" spans="2:7" x14ac:dyDescent="0.25">
      <c r="B305" s="118"/>
      <c r="C305" s="241"/>
      <c r="D305" s="231"/>
      <c r="E305" s="241"/>
      <c r="G305" s="119"/>
    </row>
    <row r="306" spans="2:7" x14ac:dyDescent="0.25">
      <c r="B306" s="118"/>
      <c r="C306" s="241"/>
      <c r="D306" s="231"/>
      <c r="E306" s="241"/>
      <c r="G306" s="119"/>
    </row>
    <row r="307" spans="2:7" x14ac:dyDescent="0.25">
      <c r="B307" s="118"/>
      <c r="C307" s="241"/>
      <c r="D307" s="231"/>
      <c r="E307" s="241"/>
      <c r="G307" s="119"/>
    </row>
    <row r="308" spans="2:7" x14ac:dyDescent="0.25">
      <c r="B308" s="118"/>
      <c r="C308" s="241"/>
      <c r="D308" s="231"/>
      <c r="E308" s="241"/>
      <c r="G308" s="119"/>
    </row>
    <row r="309" spans="2:7" x14ac:dyDescent="0.25">
      <c r="B309" s="118"/>
      <c r="C309" s="241"/>
      <c r="D309" s="231"/>
      <c r="E309" s="241"/>
      <c r="G309" s="119"/>
    </row>
    <row r="310" spans="2:7" x14ac:dyDescent="0.25">
      <c r="B310" s="118"/>
      <c r="C310" s="241"/>
      <c r="D310" s="231"/>
      <c r="E310" s="241"/>
      <c r="G310" s="119"/>
    </row>
    <row r="311" spans="2:7" x14ac:dyDescent="0.25">
      <c r="B311" s="118"/>
      <c r="C311" s="241"/>
      <c r="D311" s="231"/>
      <c r="E311" s="241"/>
      <c r="G311" s="119"/>
    </row>
    <row r="312" spans="2:7" x14ac:dyDescent="0.25">
      <c r="B312" s="118"/>
      <c r="C312" s="241"/>
      <c r="D312" s="231"/>
      <c r="E312" s="241"/>
      <c r="G312" s="119"/>
    </row>
    <row r="313" spans="2:7" x14ac:dyDescent="0.25">
      <c r="B313" s="118"/>
      <c r="C313" s="241"/>
      <c r="D313" s="231"/>
      <c r="E313" s="241"/>
      <c r="G313" s="119"/>
    </row>
    <row r="314" spans="2:7" x14ac:dyDescent="0.25">
      <c r="B314" s="118"/>
      <c r="C314" s="241"/>
      <c r="D314" s="231"/>
      <c r="E314" s="241"/>
      <c r="G314" s="119"/>
    </row>
    <row r="315" spans="2:7" x14ac:dyDescent="0.25">
      <c r="B315" s="118"/>
      <c r="C315" s="241"/>
      <c r="D315" s="231"/>
      <c r="E315" s="241"/>
      <c r="G315" s="119"/>
    </row>
    <row r="316" spans="2:7" x14ac:dyDescent="0.25">
      <c r="B316" s="118"/>
      <c r="C316" s="241"/>
      <c r="D316" s="231"/>
      <c r="E316" s="241"/>
      <c r="G316" s="119"/>
    </row>
    <row r="317" spans="2:7" x14ac:dyDescent="0.25">
      <c r="B317" s="118"/>
      <c r="C317" s="241"/>
      <c r="D317" s="231"/>
      <c r="E317" s="241"/>
      <c r="G317" s="119"/>
    </row>
    <row r="318" spans="2:7" x14ac:dyDescent="0.25">
      <c r="B318" s="118"/>
      <c r="C318" s="241"/>
      <c r="D318" s="231"/>
      <c r="E318" s="241"/>
      <c r="G318" s="119"/>
    </row>
    <row r="319" spans="2:7" x14ac:dyDescent="0.25">
      <c r="B319" s="118"/>
      <c r="C319" s="241"/>
      <c r="D319" s="231"/>
      <c r="E319" s="241"/>
      <c r="G319" s="119"/>
    </row>
    <row r="320" spans="2:7" x14ac:dyDescent="0.25">
      <c r="B320" s="118"/>
      <c r="C320" s="241"/>
      <c r="D320" s="231"/>
      <c r="E320" s="241"/>
      <c r="G320" s="119"/>
    </row>
    <row r="321" spans="2:7" x14ac:dyDescent="0.25">
      <c r="B321" s="118"/>
      <c r="C321" s="241"/>
      <c r="D321" s="231"/>
      <c r="E321" s="241"/>
      <c r="G321" s="119"/>
    </row>
    <row r="322" spans="2:7" x14ac:dyDescent="0.25">
      <c r="B322" s="118"/>
      <c r="C322" s="241"/>
      <c r="D322" s="231"/>
      <c r="E322" s="241"/>
      <c r="G322" s="119"/>
    </row>
    <row r="323" spans="2:7" x14ac:dyDescent="0.25">
      <c r="B323" s="118"/>
      <c r="C323" s="241"/>
      <c r="D323" s="231"/>
      <c r="E323" s="241"/>
      <c r="G323" s="119"/>
    </row>
    <row r="324" spans="2:7" x14ac:dyDescent="0.25">
      <c r="B324" s="118"/>
      <c r="C324" s="241"/>
      <c r="D324" s="231"/>
      <c r="E324" s="241"/>
      <c r="G324" s="119"/>
    </row>
    <row r="325" spans="2:7" x14ac:dyDescent="0.25">
      <c r="B325" s="118"/>
      <c r="C325" s="241"/>
      <c r="D325" s="231"/>
      <c r="E325" s="241"/>
      <c r="G325" s="119"/>
    </row>
    <row r="326" spans="2:7" x14ac:dyDescent="0.25">
      <c r="B326" s="118"/>
      <c r="C326" s="241"/>
      <c r="D326" s="231"/>
      <c r="E326" s="241"/>
      <c r="G326" s="119"/>
    </row>
    <row r="327" spans="2:7" x14ac:dyDescent="0.25">
      <c r="B327" s="118"/>
      <c r="C327" s="241"/>
      <c r="D327" s="231"/>
      <c r="E327" s="241"/>
      <c r="G327" s="119"/>
    </row>
    <row r="328" spans="2:7" x14ac:dyDescent="0.25">
      <c r="B328" s="118"/>
      <c r="C328" s="241"/>
      <c r="D328" s="231"/>
      <c r="E328" s="241"/>
      <c r="G328" s="119"/>
    </row>
    <row r="329" spans="2:7" x14ac:dyDescent="0.25">
      <c r="B329" s="118"/>
      <c r="C329" s="241"/>
      <c r="D329" s="231"/>
      <c r="E329" s="241"/>
      <c r="G329" s="119"/>
    </row>
    <row r="330" spans="2:7" x14ac:dyDescent="0.25">
      <c r="B330" s="118"/>
      <c r="C330" s="241"/>
      <c r="D330" s="231"/>
      <c r="E330" s="241"/>
      <c r="G330" s="119"/>
    </row>
    <row r="331" spans="2:7" x14ac:dyDescent="0.25">
      <c r="B331" s="118"/>
      <c r="C331" s="241"/>
      <c r="D331" s="231"/>
      <c r="E331" s="241"/>
      <c r="G331" s="119"/>
    </row>
    <row r="332" spans="2:7" x14ac:dyDescent="0.25">
      <c r="B332" s="118"/>
      <c r="C332" s="241"/>
      <c r="D332" s="231"/>
      <c r="E332" s="241"/>
      <c r="G332" s="119"/>
    </row>
    <row r="333" spans="2:7" x14ac:dyDescent="0.25">
      <c r="B333" s="118"/>
      <c r="C333" s="241"/>
      <c r="D333" s="231"/>
      <c r="E333" s="241"/>
      <c r="G333" s="119"/>
    </row>
    <row r="334" spans="2:7" x14ac:dyDescent="0.25">
      <c r="B334" s="118"/>
      <c r="C334" s="241"/>
      <c r="D334" s="231"/>
      <c r="E334" s="241"/>
      <c r="G334" s="119"/>
    </row>
    <row r="335" spans="2:7" x14ac:dyDescent="0.25">
      <c r="B335" s="118"/>
      <c r="C335" s="241"/>
      <c r="D335" s="231"/>
      <c r="E335" s="241"/>
      <c r="G335" s="119"/>
    </row>
    <row r="336" spans="2:7" x14ac:dyDescent="0.25">
      <c r="B336" s="118"/>
      <c r="C336" s="241"/>
      <c r="D336" s="231"/>
      <c r="E336" s="241"/>
      <c r="G336" s="119"/>
    </row>
    <row r="337" spans="2:7" x14ac:dyDescent="0.25">
      <c r="B337" s="118"/>
      <c r="C337" s="241"/>
      <c r="D337" s="231"/>
      <c r="E337" s="241"/>
      <c r="G337" s="119"/>
    </row>
    <row r="338" spans="2:7" x14ac:dyDescent="0.25">
      <c r="B338" s="118"/>
      <c r="C338" s="241"/>
      <c r="D338" s="231"/>
      <c r="E338" s="241"/>
      <c r="G338" s="119"/>
    </row>
    <row r="339" spans="2:7" x14ac:dyDescent="0.25">
      <c r="B339" s="118"/>
      <c r="C339" s="241"/>
      <c r="D339" s="231"/>
      <c r="E339" s="241"/>
      <c r="G339" s="119"/>
    </row>
    <row r="340" spans="2:7" x14ac:dyDescent="0.25">
      <c r="B340" s="118"/>
      <c r="C340" s="241"/>
      <c r="D340" s="231"/>
      <c r="E340" s="241"/>
      <c r="G340" s="119"/>
    </row>
    <row r="341" spans="2:7" x14ac:dyDescent="0.25">
      <c r="B341" s="118"/>
      <c r="C341" s="241"/>
      <c r="D341" s="231"/>
      <c r="E341" s="241"/>
      <c r="G341" s="119"/>
    </row>
    <row r="342" spans="2:7" x14ac:dyDescent="0.25">
      <c r="B342" s="118"/>
      <c r="C342" s="241"/>
      <c r="D342" s="231"/>
      <c r="E342" s="241"/>
      <c r="G342" s="119"/>
    </row>
    <row r="343" spans="2:7" x14ac:dyDescent="0.25">
      <c r="B343" s="118"/>
      <c r="C343" s="241"/>
      <c r="D343" s="231"/>
      <c r="E343" s="241"/>
      <c r="G343" s="119"/>
    </row>
    <row r="344" spans="2:7" x14ac:dyDescent="0.25">
      <c r="B344" s="118"/>
      <c r="C344" s="241"/>
      <c r="D344" s="231"/>
      <c r="E344" s="241"/>
      <c r="G344" s="119"/>
    </row>
    <row r="345" spans="2:7" x14ac:dyDescent="0.25">
      <c r="B345" s="118"/>
      <c r="C345" s="241"/>
      <c r="D345" s="231"/>
      <c r="E345" s="241"/>
      <c r="G345" s="119"/>
    </row>
    <row r="346" spans="2:7" x14ac:dyDescent="0.25">
      <c r="B346" s="118"/>
      <c r="C346" s="241"/>
      <c r="D346" s="231"/>
      <c r="E346" s="241"/>
      <c r="G346" s="119"/>
    </row>
    <row r="347" spans="2:7" x14ac:dyDescent="0.25">
      <c r="B347" s="118"/>
      <c r="C347" s="241"/>
      <c r="D347" s="231"/>
      <c r="E347" s="241"/>
      <c r="G347" s="119"/>
    </row>
    <row r="348" spans="2:7" x14ac:dyDescent="0.25">
      <c r="B348" s="118"/>
      <c r="C348" s="241"/>
      <c r="D348" s="231"/>
      <c r="E348" s="241"/>
      <c r="G348" s="119"/>
    </row>
    <row r="349" spans="2:7" x14ac:dyDescent="0.25">
      <c r="B349" s="118"/>
      <c r="C349" s="241"/>
      <c r="D349" s="231"/>
      <c r="E349" s="241"/>
      <c r="G349" s="119"/>
    </row>
    <row r="350" spans="2:7" x14ac:dyDescent="0.25">
      <c r="B350" s="118"/>
      <c r="C350" s="241"/>
      <c r="D350" s="231"/>
      <c r="E350" s="241"/>
      <c r="G350" s="119"/>
    </row>
    <row r="351" spans="2:7" x14ac:dyDescent="0.25">
      <c r="B351" s="118"/>
      <c r="C351" s="241"/>
      <c r="D351" s="231"/>
      <c r="E351" s="241"/>
      <c r="G351" s="119"/>
    </row>
    <row r="352" spans="2:7" x14ac:dyDescent="0.25">
      <c r="B352" s="118"/>
      <c r="C352" s="241"/>
      <c r="D352" s="231"/>
      <c r="E352" s="241"/>
      <c r="G352" s="119"/>
    </row>
    <row r="353" spans="2:7" x14ac:dyDescent="0.25">
      <c r="B353" s="118"/>
      <c r="C353" s="241"/>
      <c r="D353" s="231"/>
      <c r="E353" s="241"/>
      <c r="G353" s="119"/>
    </row>
    <row r="354" spans="2:7" x14ac:dyDescent="0.25">
      <c r="B354" s="118"/>
      <c r="C354" s="241"/>
      <c r="D354" s="231"/>
      <c r="E354" s="241"/>
      <c r="G354" s="119"/>
    </row>
    <row r="355" spans="2:7" x14ac:dyDescent="0.25">
      <c r="B355" s="118"/>
      <c r="C355" s="241"/>
      <c r="D355" s="231"/>
      <c r="E355" s="241"/>
      <c r="G355" s="119"/>
    </row>
    <row r="356" spans="2:7" x14ac:dyDescent="0.25">
      <c r="B356" s="118"/>
      <c r="C356" s="241"/>
      <c r="D356" s="231"/>
      <c r="E356" s="241"/>
      <c r="G356" s="119"/>
    </row>
    <row r="357" spans="2:7" x14ac:dyDescent="0.25">
      <c r="B357" s="118"/>
      <c r="C357" s="241"/>
      <c r="D357" s="231"/>
      <c r="E357" s="241"/>
      <c r="G357" s="119"/>
    </row>
    <row r="358" spans="2:7" x14ac:dyDescent="0.25">
      <c r="B358" s="118"/>
      <c r="C358" s="241"/>
      <c r="D358" s="231"/>
      <c r="E358" s="241"/>
      <c r="G358" s="119"/>
    </row>
    <row r="359" spans="2:7" x14ac:dyDescent="0.25">
      <c r="B359" s="118"/>
      <c r="C359" s="241"/>
      <c r="D359" s="231"/>
      <c r="E359" s="241"/>
      <c r="G359" s="119"/>
    </row>
    <row r="360" spans="2:7" x14ac:dyDescent="0.25">
      <c r="B360" s="118"/>
      <c r="C360" s="241"/>
      <c r="D360" s="231"/>
      <c r="E360" s="241"/>
      <c r="G360" s="119"/>
    </row>
    <row r="361" spans="2:7" x14ac:dyDescent="0.25">
      <c r="B361" s="118"/>
      <c r="C361" s="241"/>
      <c r="D361" s="231"/>
      <c r="E361" s="241"/>
      <c r="G361" s="119"/>
    </row>
    <row r="362" spans="2:7" x14ac:dyDescent="0.25">
      <c r="B362" s="118"/>
      <c r="C362" s="241"/>
      <c r="D362" s="231"/>
      <c r="E362" s="241"/>
      <c r="G362" s="119"/>
    </row>
    <row r="363" spans="2:7" x14ac:dyDescent="0.25">
      <c r="B363" s="118"/>
      <c r="C363" s="241"/>
      <c r="D363" s="231"/>
      <c r="E363" s="241"/>
      <c r="G363" s="119"/>
    </row>
    <row r="364" spans="2:7" x14ac:dyDescent="0.25">
      <c r="B364" s="118"/>
      <c r="C364" s="241"/>
      <c r="D364" s="231"/>
      <c r="E364" s="241"/>
      <c r="G364" s="119"/>
    </row>
    <row r="365" spans="2:7" x14ac:dyDescent="0.25">
      <c r="B365" s="118"/>
      <c r="C365" s="241"/>
      <c r="D365" s="231"/>
      <c r="E365" s="241"/>
      <c r="G365" s="119"/>
    </row>
    <row r="366" spans="2:7" x14ac:dyDescent="0.25">
      <c r="B366" s="118"/>
      <c r="C366" s="241"/>
      <c r="D366" s="231"/>
      <c r="E366" s="241"/>
      <c r="G366" s="119"/>
    </row>
    <row r="367" spans="2:7" x14ac:dyDescent="0.25">
      <c r="B367" s="118"/>
      <c r="C367" s="241"/>
      <c r="D367" s="231"/>
      <c r="E367" s="241"/>
      <c r="G367" s="119"/>
    </row>
    <row r="368" spans="2:7" x14ac:dyDescent="0.25">
      <c r="B368" s="118"/>
      <c r="C368" s="241"/>
      <c r="D368" s="231"/>
      <c r="E368" s="241"/>
      <c r="G368" s="119"/>
    </row>
    <row r="369" spans="2:7" x14ac:dyDescent="0.25">
      <c r="B369" s="118"/>
      <c r="C369" s="241"/>
      <c r="D369" s="231"/>
      <c r="E369" s="241"/>
      <c r="G369" s="119"/>
    </row>
    <row r="370" spans="2:7" x14ac:dyDescent="0.25">
      <c r="B370" s="118"/>
      <c r="C370" s="241"/>
      <c r="D370" s="231"/>
      <c r="E370" s="241"/>
      <c r="G370" s="119"/>
    </row>
    <row r="371" spans="2:7" x14ac:dyDescent="0.25">
      <c r="B371" s="118"/>
      <c r="C371" s="241"/>
      <c r="D371" s="231"/>
      <c r="E371" s="241"/>
      <c r="G371" s="119"/>
    </row>
    <row r="372" spans="2:7" x14ac:dyDescent="0.25">
      <c r="B372" s="118"/>
      <c r="C372" s="241"/>
      <c r="D372" s="231"/>
      <c r="E372" s="241"/>
      <c r="G372" s="119"/>
    </row>
    <row r="373" spans="2:7" x14ac:dyDescent="0.25">
      <c r="B373" s="118"/>
      <c r="C373" s="241"/>
      <c r="D373" s="231"/>
      <c r="E373" s="241"/>
      <c r="G373" s="119"/>
    </row>
    <row r="374" spans="2:7" x14ac:dyDescent="0.25">
      <c r="B374" s="118"/>
      <c r="C374" s="241"/>
      <c r="D374" s="231"/>
      <c r="E374" s="241"/>
      <c r="G374" s="119"/>
    </row>
    <row r="375" spans="2:7" x14ac:dyDescent="0.25">
      <c r="B375" s="118"/>
      <c r="C375" s="241"/>
      <c r="D375" s="231"/>
      <c r="E375" s="241"/>
      <c r="G375" s="119"/>
    </row>
    <row r="376" spans="2:7" x14ac:dyDescent="0.25">
      <c r="B376" s="118"/>
      <c r="C376" s="241"/>
      <c r="D376" s="231"/>
      <c r="E376" s="241"/>
      <c r="G376" s="119"/>
    </row>
    <row r="377" spans="2:7" x14ac:dyDescent="0.25">
      <c r="B377" s="118"/>
      <c r="C377" s="241"/>
      <c r="D377" s="231"/>
      <c r="E377" s="241"/>
      <c r="G377" s="119"/>
    </row>
    <row r="378" spans="2:7" x14ac:dyDescent="0.25">
      <c r="B378" s="118"/>
      <c r="C378" s="241"/>
      <c r="D378" s="231"/>
      <c r="E378" s="241"/>
      <c r="G378" s="119"/>
    </row>
    <row r="379" spans="2:7" x14ac:dyDescent="0.25">
      <c r="B379" s="118"/>
      <c r="C379" s="241"/>
      <c r="D379" s="231"/>
      <c r="E379" s="241"/>
      <c r="G379" s="119"/>
    </row>
    <row r="380" spans="2:7" x14ac:dyDescent="0.25">
      <c r="B380" s="118"/>
      <c r="C380" s="241"/>
      <c r="D380" s="231"/>
      <c r="E380" s="241"/>
      <c r="G380" s="119"/>
    </row>
    <row r="381" spans="2:7" x14ac:dyDescent="0.25">
      <c r="B381" s="118"/>
      <c r="C381" s="241"/>
      <c r="D381" s="231"/>
      <c r="E381" s="241"/>
      <c r="G381" s="119"/>
    </row>
    <row r="382" spans="2:7" x14ac:dyDescent="0.25">
      <c r="B382" s="118"/>
      <c r="C382" s="241"/>
      <c r="D382" s="231"/>
      <c r="E382" s="241"/>
      <c r="G382" s="119"/>
    </row>
    <row r="383" spans="2:7" x14ac:dyDescent="0.25">
      <c r="B383" s="118"/>
      <c r="C383" s="241"/>
      <c r="D383" s="231"/>
      <c r="E383" s="241"/>
      <c r="G383" s="119"/>
    </row>
    <row r="384" spans="2:7" x14ac:dyDescent="0.25">
      <c r="B384" s="118"/>
      <c r="C384" s="241"/>
      <c r="D384" s="231"/>
      <c r="E384" s="241"/>
      <c r="G384" s="119"/>
    </row>
    <row r="385" spans="2:7" x14ac:dyDescent="0.25">
      <c r="B385" s="118"/>
      <c r="C385" s="241"/>
      <c r="D385" s="231"/>
      <c r="E385" s="241"/>
      <c r="G385" s="119"/>
    </row>
    <row r="386" spans="2:7" x14ac:dyDescent="0.25">
      <c r="B386" s="118"/>
      <c r="C386" s="241"/>
      <c r="D386" s="231"/>
      <c r="E386" s="241"/>
      <c r="G386" s="119"/>
    </row>
    <row r="387" spans="2:7" x14ac:dyDescent="0.25">
      <c r="B387" s="118"/>
      <c r="C387" s="241"/>
      <c r="D387" s="231"/>
      <c r="E387" s="241"/>
      <c r="G387" s="119"/>
    </row>
    <row r="388" spans="2:7" x14ac:dyDescent="0.25">
      <c r="B388" s="118"/>
      <c r="C388" s="241"/>
      <c r="D388" s="231"/>
      <c r="E388" s="241"/>
      <c r="G388" s="119"/>
    </row>
    <row r="389" spans="2:7" x14ac:dyDescent="0.25">
      <c r="B389" s="118"/>
      <c r="C389" s="241"/>
      <c r="D389" s="231"/>
      <c r="E389" s="241"/>
      <c r="G389" s="119"/>
    </row>
    <row r="390" spans="2:7" x14ac:dyDescent="0.25">
      <c r="B390" s="118"/>
      <c r="C390" s="241"/>
      <c r="D390" s="231"/>
      <c r="E390" s="241"/>
      <c r="G390" s="119"/>
    </row>
    <row r="391" spans="2:7" x14ac:dyDescent="0.25">
      <c r="B391" s="118"/>
      <c r="C391" s="241"/>
      <c r="D391" s="231"/>
      <c r="E391" s="241"/>
      <c r="G391" s="119"/>
    </row>
    <row r="392" spans="2:7" x14ac:dyDescent="0.25">
      <c r="B392" s="118"/>
      <c r="C392" s="241"/>
      <c r="D392" s="231"/>
      <c r="E392" s="241"/>
      <c r="G392" s="119"/>
    </row>
    <row r="393" spans="2:7" x14ac:dyDescent="0.25">
      <c r="B393" s="118"/>
      <c r="C393" s="241"/>
      <c r="D393" s="231"/>
      <c r="E393" s="241"/>
      <c r="G393" s="119"/>
    </row>
    <row r="394" spans="2:7" x14ac:dyDescent="0.25">
      <c r="B394" s="118"/>
      <c r="C394" s="241"/>
      <c r="D394" s="231"/>
      <c r="E394" s="241"/>
      <c r="G394" s="119"/>
    </row>
    <row r="395" spans="2:7" x14ac:dyDescent="0.25">
      <c r="B395" s="118"/>
      <c r="C395" s="241"/>
      <c r="D395" s="231"/>
      <c r="E395" s="241"/>
      <c r="G395" s="119"/>
    </row>
    <row r="396" spans="2:7" x14ac:dyDescent="0.25">
      <c r="B396" s="118"/>
      <c r="C396" s="241"/>
      <c r="D396" s="231"/>
      <c r="E396" s="241"/>
      <c r="G396" s="119"/>
    </row>
    <row r="397" spans="2:7" x14ac:dyDescent="0.25">
      <c r="B397" s="118"/>
      <c r="C397" s="241"/>
      <c r="D397" s="231"/>
      <c r="E397" s="241"/>
      <c r="G397" s="119"/>
    </row>
    <row r="398" spans="2:7" x14ac:dyDescent="0.25">
      <c r="B398" s="118"/>
      <c r="C398" s="241"/>
      <c r="D398" s="231"/>
      <c r="E398" s="241"/>
      <c r="G398" s="119"/>
    </row>
    <row r="399" spans="2:7" x14ac:dyDescent="0.25">
      <c r="B399" s="118"/>
      <c r="C399" s="241"/>
      <c r="D399" s="231"/>
      <c r="E399" s="241"/>
      <c r="G399" s="119"/>
    </row>
    <row r="400" spans="2:7" x14ac:dyDescent="0.25">
      <c r="B400" s="118"/>
      <c r="C400" s="241"/>
      <c r="D400" s="231"/>
      <c r="E400" s="241"/>
      <c r="G400" s="119"/>
    </row>
    <row r="401" spans="2:7" x14ac:dyDescent="0.25">
      <c r="B401" s="118"/>
      <c r="C401" s="241"/>
      <c r="D401" s="231"/>
      <c r="E401" s="241"/>
      <c r="G401" s="119"/>
    </row>
    <row r="402" spans="2:7" x14ac:dyDescent="0.25">
      <c r="B402" s="118"/>
      <c r="C402" s="241"/>
      <c r="D402" s="231"/>
      <c r="E402" s="241"/>
      <c r="G402" s="119"/>
    </row>
    <row r="403" spans="2:7" x14ac:dyDescent="0.25">
      <c r="B403" s="118"/>
      <c r="C403" s="241"/>
      <c r="D403" s="231"/>
      <c r="E403" s="241"/>
      <c r="G403" s="119"/>
    </row>
    <row r="404" spans="2:7" x14ac:dyDescent="0.25">
      <c r="B404" s="118"/>
      <c r="C404" s="241"/>
      <c r="D404" s="231"/>
      <c r="E404" s="241"/>
      <c r="G404" s="119"/>
    </row>
    <row r="405" spans="2:7" x14ac:dyDescent="0.25">
      <c r="B405" s="118"/>
      <c r="C405" s="241"/>
      <c r="D405" s="231"/>
      <c r="E405" s="241"/>
      <c r="G405" s="119"/>
    </row>
    <row r="406" spans="2:7" x14ac:dyDescent="0.25">
      <c r="B406" s="118"/>
      <c r="C406" s="241"/>
      <c r="D406" s="231"/>
      <c r="E406" s="241"/>
      <c r="G406" s="119"/>
    </row>
    <row r="407" spans="2:7" x14ac:dyDescent="0.25">
      <c r="B407" s="118"/>
      <c r="C407" s="241"/>
      <c r="D407" s="231"/>
      <c r="E407" s="241"/>
      <c r="G407" s="119"/>
    </row>
    <row r="408" spans="2:7" x14ac:dyDescent="0.25">
      <c r="B408" s="118"/>
      <c r="C408" s="241"/>
      <c r="D408" s="231"/>
      <c r="E408" s="241"/>
      <c r="G408" s="119"/>
    </row>
    <row r="409" spans="2:7" x14ac:dyDescent="0.25">
      <c r="B409" s="118"/>
      <c r="C409" s="241"/>
      <c r="D409" s="231"/>
      <c r="E409" s="241"/>
      <c r="G409" s="119"/>
    </row>
    <row r="410" spans="2:7" x14ac:dyDescent="0.25">
      <c r="B410" s="118"/>
      <c r="C410" s="241"/>
      <c r="D410" s="231"/>
      <c r="E410" s="241"/>
      <c r="G410" s="119"/>
    </row>
    <row r="411" spans="2:7" x14ac:dyDescent="0.25">
      <c r="B411" s="118"/>
      <c r="C411" s="241"/>
      <c r="D411" s="231"/>
      <c r="E411" s="241"/>
      <c r="G411" s="119"/>
    </row>
    <row r="412" spans="2:7" x14ac:dyDescent="0.25">
      <c r="B412" s="118"/>
      <c r="C412" s="241"/>
      <c r="D412" s="231"/>
      <c r="E412" s="241"/>
      <c r="G412" s="119"/>
    </row>
    <row r="413" spans="2:7" x14ac:dyDescent="0.25">
      <c r="B413" s="118"/>
      <c r="C413" s="241"/>
      <c r="D413" s="231"/>
      <c r="E413" s="241"/>
      <c r="G413" s="119"/>
    </row>
    <row r="414" spans="2:7" x14ac:dyDescent="0.25">
      <c r="B414" s="118"/>
      <c r="C414" s="241"/>
      <c r="D414" s="231"/>
      <c r="E414" s="241"/>
      <c r="G414" s="119"/>
    </row>
    <row r="415" spans="2:7" x14ac:dyDescent="0.25">
      <c r="B415" s="118"/>
      <c r="C415" s="241"/>
      <c r="D415" s="231"/>
      <c r="E415" s="241"/>
      <c r="G415" s="119"/>
    </row>
    <row r="416" spans="2:7" x14ac:dyDescent="0.25">
      <c r="B416" s="118"/>
      <c r="C416" s="241"/>
      <c r="D416" s="231"/>
      <c r="E416" s="241"/>
      <c r="G416" s="119"/>
    </row>
    <row r="417" spans="2:7" x14ac:dyDescent="0.25">
      <c r="B417" s="118"/>
      <c r="C417" s="241"/>
      <c r="D417" s="231"/>
      <c r="E417" s="241"/>
      <c r="G417" s="119"/>
    </row>
    <row r="418" spans="2:7" x14ac:dyDescent="0.25">
      <c r="B418" s="118"/>
      <c r="C418" s="241"/>
      <c r="D418" s="231"/>
      <c r="E418" s="241"/>
      <c r="G418" s="119"/>
    </row>
    <row r="419" spans="2:7" x14ac:dyDescent="0.25">
      <c r="B419" s="118"/>
      <c r="C419" s="241"/>
      <c r="D419" s="231"/>
      <c r="E419" s="241"/>
      <c r="G419" s="119"/>
    </row>
    <row r="420" spans="2:7" x14ac:dyDescent="0.25">
      <c r="B420" s="118"/>
      <c r="C420" s="241"/>
      <c r="D420" s="231"/>
      <c r="E420" s="241"/>
      <c r="G420" s="119"/>
    </row>
    <row r="421" spans="2:7" x14ac:dyDescent="0.25">
      <c r="B421" s="118"/>
      <c r="C421" s="241"/>
      <c r="D421" s="231"/>
      <c r="E421" s="241"/>
      <c r="G421" s="119"/>
    </row>
    <row r="422" spans="2:7" x14ac:dyDescent="0.25">
      <c r="B422" s="118"/>
      <c r="C422" s="241"/>
      <c r="D422" s="231"/>
      <c r="E422" s="241"/>
      <c r="G422" s="119"/>
    </row>
    <row r="423" spans="2:7" x14ac:dyDescent="0.25">
      <c r="B423" s="118"/>
      <c r="C423" s="241"/>
      <c r="D423" s="231"/>
      <c r="E423" s="241"/>
      <c r="G423" s="119"/>
    </row>
    <row r="424" spans="2:7" x14ac:dyDescent="0.25">
      <c r="B424" s="118"/>
      <c r="C424" s="241"/>
      <c r="D424" s="231"/>
      <c r="E424" s="241"/>
      <c r="G424" s="119"/>
    </row>
    <row r="425" spans="2:7" x14ac:dyDescent="0.25">
      <c r="B425" s="118"/>
      <c r="C425" s="241"/>
      <c r="D425" s="231"/>
      <c r="E425" s="241"/>
      <c r="G425" s="119"/>
    </row>
    <row r="426" spans="2:7" x14ac:dyDescent="0.25">
      <c r="B426" s="118"/>
      <c r="C426" s="241"/>
      <c r="D426" s="231"/>
      <c r="E426" s="241"/>
      <c r="G426" s="119"/>
    </row>
    <row r="427" spans="2:7" x14ac:dyDescent="0.25">
      <c r="B427" s="118"/>
      <c r="C427" s="241"/>
      <c r="D427" s="231"/>
      <c r="E427" s="241"/>
      <c r="G427" s="119"/>
    </row>
    <row r="428" spans="2:7" x14ac:dyDescent="0.25">
      <c r="B428" s="118"/>
      <c r="C428" s="241"/>
      <c r="D428" s="231"/>
      <c r="E428" s="241"/>
      <c r="G428" s="119"/>
    </row>
    <row r="429" spans="2:7" x14ac:dyDescent="0.25">
      <c r="B429" s="118"/>
      <c r="C429" s="241"/>
      <c r="D429" s="231"/>
      <c r="E429" s="241"/>
      <c r="G429" s="119"/>
    </row>
    <row r="430" spans="2:7" x14ac:dyDescent="0.25">
      <c r="B430" s="118"/>
      <c r="C430" s="241"/>
      <c r="D430" s="231"/>
      <c r="E430" s="241"/>
      <c r="G430" s="119"/>
    </row>
    <row r="431" spans="2:7" x14ac:dyDescent="0.25">
      <c r="B431" s="118"/>
      <c r="C431" s="241"/>
      <c r="D431" s="231"/>
      <c r="E431" s="241"/>
      <c r="G431" s="119"/>
    </row>
    <row r="432" spans="2:7" x14ac:dyDescent="0.25">
      <c r="B432" s="118"/>
      <c r="C432" s="241"/>
      <c r="D432" s="231"/>
      <c r="E432" s="241"/>
      <c r="G432" s="119"/>
    </row>
    <row r="433" spans="2:7" x14ac:dyDescent="0.25">
      <c r="B433" s="118"/>
      <c r="C433" s="241"/>
      <c r="D433" s="231"/>
      <c r="E433" s="241"/>
      <c r="G433" s="119"/>
    </row>
    <row r="434" spans="2:7" x14ac:dyDescent="0.25">
      <c r="B434" s="118"/>
      <c r="C434" s="241"/>
      <c r="D434" s="231"/>
      <c r="E434" s="241"/>
      <c r="G434" s="119"/>
    </row>
    <row r="435" spans="2:7" x14ac:dyDescent="0.25">
      <c r="B435" s="118"/>
      <c r="C435" s="241"/>
      <c r="D435" s="231"/>
      <c r="E435" s="241"/>
      <c r="G435" s="119"/>
    </row>
    <row r="436" spans="2:7" x14ac:dyDescent="0.25">
      <c r="B436" s="118"/>
      <c r="C436" s="241"/>
      <c r="D436" s="231"/>
      <c r="E436" s="241"/>
      <c r="G436" s="119"/>
    </row>
    <row r="437" spans="2:7" x14ac:dyDescent="0.25">
      <c r="B437" s="118"/>
      <c r="C437" s="241"/>
      <c r="D437" s="231"/>
      <c r="E437" s="241"/>
      <c r="G437" s="119"/>
    </row>
    <row r="438" spans="2:7" x14ac:dyDescent="0.25">
      <c r="B438" s="118"/>
      <c r="C438" s="241"/>
      <c r="D438" s="231"/>
      <c r="E438" s="241"/>
      <c r="G438" s="119"/>
    </row>
    <row r="439" spans="2:7" x14ac:dyDescent="0.25">
      <c r="B439" s="118"/>
      <c r="C439" s="241"/>
      <c r="D439" s="231"/>
      <c r="E439" s="241"/>
      <c r="G439" s="119"/>
    </row>
    <row r="440" spans="2:7" x14ac:dyDescent="0.25">
      <c r="B440" s="118"/>
      <c r="C440" s="241"/>
      <c r="D440" s="231"/>
      <c r="E440" s="241"/>
      <c r="G440" s="119"/>
    </row>
    <row r="441" spans="2:7" x14ac:dyDescent="0.25">
      <c r="B441" s="118"/>
      <c r="C441" s="241"/>
      <c r="D441" s="231"/>
      <c r="E441" s="241"/>
      <c r="G441" s="119"/>
    </row>
    <row r="442" spans="2:7" x14ac:dyDescent="0.25">
      <c r="B442" s="118"/>
      <c r="C442" s="241"/>
      <c r="D442" s="231"/>
      <c r="E442" s="241"/>
      <c r="G442" s="119"/>
    </row>
    <row r="443" spans="2:7" x14ac:dyDescent="0.25">
      <c r="B443" s="118"/>
      <c r="C443" s="241"/>
      <c r="D443" s="231"/>
      <c r="E443" s="241"/>
      <c r="G443" s="119"/>
    </row>
    <row r="444" spans="2:7" x14ac:dyDescent="0.25">
      <c r="B444" s="118"/>
      <c r="C444" s="241"/>
      <c r="D444" s="231"/>
      <c r="E444" s="241"/>
      <c r="G444" s="119"/>
    </row>
    <row r="445" spans="2:7" x14ac:dyDescent="0.25">
      <c r="B445" s="118"/>
      <c r="C445" s="241"/>
      <c r="D445" s="231"/>
      <c r="E445" s="241"/>
      <c r="G445" s="119"/>
    </row>
    <row r="446" spans="2:7" x14ac:dyDescent="0.25">
      <c r="B446" s="118"/>
      <c r="C446" s="241"/>
      <c r="D446" s="231"/>
      <c r="E446" s="241"/>
      <c r="G446" s="119"/>
    </row>
    <row r="447" spans="2:7" x14ac:dyDescent="0.25">
      <c r="B447" s="118"/>
      <c r="C447" s="241"/>
      <c r="D447" s="231"/>
      <c r="E447" s="241"/>
      <c r="G447" s="119"/>
    </row>
    <row r="448" spans="2:7" x14ac:dyDescent="0.25">
      <c r="B448" s="118"/>
      <c r="C448" s="241"/>
      <c r="D448" s="231"/>
      <c r="E448" s="241"/>
      <c r="G448" s="119"/>
    </row>
    <row r="449" spans="2:7" x14ac:dyDescent="0.25">
      <c r="B449" s="118"/>
      <c r="C449" s="241"/>
      <c r="D449" s="231"/>
      <c r="E449" s="241"/>
      <c r="G449" s="119"/>
    </row>
    <row r="450" spans="2:7" x14ac:dyDescent="0.25">
      <c r="B450" s="118"/>
      <c r="C450" s="241"/>
      <c r="D450" s="231"/>
      <c r="E450" s="241"/>
      <c r="G450" s="119"/>
    </row>
    <row r="451" spans="2:7" x14ac:dyDescent="0.25">
      <c r="B451" s="118"/>
      <c r="C451" s="241"/>
      <c r="D451" s="231"/>
      <c r="E451" s="241"/>
      <c r="G451" s="119"/>
    </row>
    <row r="452" spans="2:7" x14ac:dyDescent="0.25">
      <c r="B452" s="118"/>
      <c r="C452" s="241"/>
      <c r="D452" s="231"/>
      <c r="E452" s="241"/>
      <c r="G452" s="119"/>
    </row>
    <row r="453" spans="2:7" x14ac:dyDescent="0.25">
      <c r="B453" s="118"/>
      <c r="C453" s="241"/>
      <c r="D453" s="231"/>
      <c r="E453" s="241"/>
      <c r="G453" s="119"/>
    </row>
    <row r="454" spans="2:7" x14ac:dyDescent="0.25">
      <c r="B454" s="118"/>
      <c r="C454" s="241"/>
      <c r="D454" s="231"/>
      <c r="E454" s="241"/>
      <c r="G454" s="119"/>
    </row>
    <row r="455" spans="2:7" x14ac:dyDescent="0.25">
      <c r="B455" s="118"/>
      <c r="C455" s="241"/>
      <c r="D455" s="231"/>
      <c r="E455" s="241"/>
      <c r="G455" s="119"/>
    </row>
    <row r="456" spans="2:7" x14ac:dyDescent="0.25">
      <c r="B456" s="118"/>
      <c r="C456" s="241"/>
      <c r="D456" s="231"/>
      <c r="E456" s="241"/>
      <c r="G456" s="119"/>
    </row>
    <row r="457" spans="2:7" x14ac:dyDescent="0.25">
      <c r="B457" s="118"/>
      <c r="C457" s="241"/>
      <c r="D457" s="231"/>
      <c r="E457" s="241"/>
      <c r="G457" s="119"/>
    </row>
    <row r="458" spans="2:7" x14ac:dyDescent="0.25">
      <c r="B458" s="118"/>
      <c r="C458" s="241"/>
      <c r="D458" s="231"/>
      <c r="E458" s="241"/>
      <c r="G458" s="119"/>
    </row>
    <row r="459" spans="2:7" x14ac:dyDescent="0.25">
      <c r="B459" s="118"/>
      <c r="C459" s="241"/>
      <c r="D459" s="231"/>
      <c r="E459" s="241"/>
      <c r="G459" s="119"/>
    </row>
    <row r="460" spans="2:7" x14ac:dyDescent="0.25">
      <c r="B460" s="118"/>
      <c r="C460" s="241"/>
      <c r="D460" s="231"/>
      <c r="E460" s="241"/>
      <c r="G460" s="119"/>
    </row>
    <row r="461" spans="2:7" x14ac:dyDescent="0.25">
      <c r="B461" s="118"/>
      <c r="C461" s="241"/>
      <c r="D461" s="231"/>
      <c r="E461" s="241"/>
      <c r="G461" s="119"/>
    </row>
    <row r="462" spans="2:7" x14ac:dyDescent="0.25">
      <c r="B462" s="118"/>
      <c r="C462" s="241"/>
      <c r="D462" s="231"/>
      <c r="E462" s="241"/>
      <c r="G462" s="119"/>
    </row>
    <row r="463" spans="2:7" x14ac:dyDescent="0.25">
      <c r="B463" s="118"/>
      <c r="C463" s="241"/>
      <c r="D463" s="231"/>
      <c r="E463" s="241"/>
      <c r="G463" s="119"/>
    </row>
    <row r="464" spans="2:7" x14ac:dyDescent="0.25">
      <c r="B464" s="118"/>
      <c r="C464" s="241"/>
      <c r="D464" s="231"/>
      <c r="E464" s="241"/>
      <c r="G464" s="119"/>
    </row>
    <row r="465" spans="2:7" x14ac:dyDescent="0.25">
      <c r="B465" s="118"/>
      <c r="C465" s="241"/>
      <c r="D465" s="231"/>
      <c r="E465" s="241"/>
      <c r="G465" s="119"/>
    </row>
    <row r="466" spans="2:7" x14ac:dyDescent="0.25">
      <c r="B466" s="118"/>
      <c r="C466" s="241"/>
      <c r="D466" s="231"/>
      <c r="E466" s="241"/>
      <c r="G466" s="119"/>
    </row>
    <row r="467" spans="2:7" x14ac:dyDescent="0.25">
      <c r="B467" s="118"/>
      <c r="C467" s="241"/>
      <c r="D467" s="231"/>
      <c r="E467" s="241"/>
      <c r="G467" s="119"/>
    </row>
    <row r="468" spans="2:7" x14ac:dyDescent="0.25">
      <c r="B468" s="118"/>
      <c r="C468" s="241"/>
      <c r="D468" s="231"/>
      <c r="E468" s="241"/>
      <c r="G468" s="119"/>
    </row>
    <row r="469" spans="2:7" x14ac:dyDescent="0.25">
      <c r="B469" s="118"/>
      <c r="C469" s="241"/>
      <c r="D469" s="231"/>
      <c r="E469" s="241"/>
      <c r="G469" s="119"/>
    </row>
    <row r="470" spans="2:7" x14ac:dyDescent="0.25">
      <c r="B470" s="118"/>
      <c r="C470" s="241"/>
      <c r="D470" s="231"/>
      <c r="E470" s="241"/>
      <c r="G470" s="119"/>
    </row>
    <row r="471" spans="2:7" x14ac:dyDescent="0.25">
      <c r="B471" s="118"/>
      <c r="C471" s="241"/>
      <c r="D471" s="231"/>
      <c r="E471" s="241"/>
      <c r="G471" s="119"/>
    </row>
    <row r="472" spans="2:7" x14ac:dyDescent="0.25">
      <c r="B472" s="118"/>
      <c r="C472" s="241"/>
      <c r="D472" s="231"/>
      <c r="E472" s="241"/>
      <c r="G472" s="119"/>
    </row>
    <row r="473" spans="2:7" x14ac:dyDescent="0.25">
      <c r="B473" s="118"/>
      <c r="C473" s="241"/>
      <c r="D473" s="231"/>
      <c r="E473" s="241"/>
      <c r="G473" s="119"/>
    </row>
    <row r="474" spans="2:7" x14ac:dyDescent="0.25">
      <c r="B474" s="118"/>
      <c r="C474" s="241"/>
      <c r="D474" s="231"/>
      <c r="E474" s="241"/>
      <c r="G474" s="119"/>
    </row>
    <row r="475" spans="2:7" x14ac:dyDescent="0.25">
      <c r="B475" s="118"/>
      <c r="C475" s="241"/>
      <c r="D475" s="231"/>
      <c r="E475" s="241"/>
      <c r="G475" s="119"/>
    </row>
    <row r="476" spans="2:7" x14ac:dyDescent="0.25">
      <c r="B476" s="118"/>
      <c r="C476" s="241"/>
      <c r="D476" s="231"/>
      <c r="E476" s="241"/>
      <c r="G476" s="119"/>
    </row>
    <row r="477" spans="2:7" x14ac:dyDescent="0.25">
      <c r="B477" s="118"/>
      <c r="C477" s="241"/>
      <c r="D477" s="231"/>
      <c r="E477" s="241"/>
      <c r="G477" s="119"/>
    </row>
    <row r="478" spans="2:7" x14ac:dyDescent="0.25">
      <c r="B478" s="118"/>
      <c r="C478" s="241"/>
      <c r="D478" s="231"/>
      <c r="E478" s="241"/>
      <c r="G478" s="119"/>
    </row>
    <row r="479" spans="2:7" x14ac:dyDescent="0.25">
      <c r="B479" s="118"/>
      <c r="C479" s="241"/>
      <c r="D479" s="231"/>
      <c r="E479" s="241"/>
      <c r="G479" s="119"/>
    </row>
    <row r="480" spans="2:7" x14ac:dyDescent="0.25">
      <c r="B480" s="118"/>
      <c r="C480" s="241"/>
      <c r="D480" s="231"/>
      <c r="E480" s="241"/>
      <c r="G480" s="119"/>
    </row>
    <row r="481" spans="2:7" x14ac:dyDescent="0.25">
      <c r="B481" s="118"/>
      <c r="C481" s="241"/>
      <c r="D481" s="231"/>
      <c r="E481" s="241"/>
      <c r="G481" s="119"/>
    </row>
    <row r="482" spans="2:7" x14ac:dyDescent="0.25">
      <c r="B482" s="118"/>
      <c r="C482" s="241"/>
      <c r="D482" s="231"/>
      <c r="E482" s="241"/>
      <c r="G482" s="119"/>
    </row>
    <row r="483" spans="2:7" x14ac:dyDescent="0.25">
      <c r="B483" s="118"/>
      <c r="C483" s="241"/>
      <c r="D483" s="231"/>
      <c r="E483" s="241"/>
      <c r="G483" s="119"/>
    </row>
    <row r="484" spans="2:7" x14ac:dyDescent="0.25">
      <c r="B484" s="118"/>
      <c r="C484" s="241"/>
      <c r="D484" s="231"/>
      <c r="E484" s="241"/>
      <c r="G484" s="119"/>
    </row>
    <row r="485" spans="2:7" x14ac:dyDescent="0.25">
      <c r="B485" s="118"/>
      <c r="C485" s="241"/>
      <c r="D485" s="231"/>
      <c r="E485" s="241"/>
      <c r="G485" s="119"/>
    </row>
    <row r="486" spans="2:7" x14ac:dyDescent="0.25">
      <c r="B486" s="118"/>
      <c r="C486" s="241"/>
      <c r="D486" s="231"/>
      <c r="E486" s="241"/>
      <c r="G486" s="119"/>
    </row>
    <row r="487" spans="2:7" x14ac:dyDescent="0.25">
      <c r="B487" s="118"/>
      <c r="C487" s="241"/>
      <c r="D487" s="231"/>
      <c r="E487" s="241"/>
      <c r="G487" s="119"/>
    </row>
    <row r="488" spans="2:7" x14ac:dyDescent="0.25">
      <c r="B488" s="118"/>
      <c r="C488" s="241"/>
      <c r="D488" s="231"/>
      <c r="E488" s="241"/>
      <c r="G488" s="119"/>
    </row>
    <row r="489" spans="2:7" x14ac:dyDescent="0.25">
      <c r="B489" s="118"/>
      <c r="C489" s="241"/>
      <c r="D489" s="231"/>
      <c r="E489" s="241"/>
      <c r="G489" s="119"/>
    </row>
    <row r="490" spans="2:7" x14ac:dyDescent="0.25">
      <c r="B490" s="118"/>
      <c r="C490" s="241"/>
      <c r="D490" s="231"/>
      <c r="E490" s="241"/>
      <c r="G490" s="119"/>
    </row>
    <row r="491" spans="2:7" x14ac:dyDescent="0.25">
      <c r="B491" s="118"/>
      <c r="C491" s="241"/>
      <c r="D491" s="231"/>
      <c r="E491" s="241"/>
      <c r="G491" s="119"/>
    </row>
    <row r="492" spans="2:7" x14ac:dyDescent="0.25">
      <c r="B492" s="118"/>
      <c r="C492" s="241"/>
      <c r="D492" s="231"/>
      <c r="E492" s="241"/>
      <c r="G492" s="119"/>
    </row>
    <row r="493" spans="2:7" x14ac:dyDescent="0.25">
      <c r="B493" s="118"/>
      <c r="C493" s="241"/>
      <c r="D493" s="231"/>
      <c r="E493" s="241"/>
      <c r="G493" s="119"/>
    </row>
    <row r="494" spans="2:7" x14ac:dyDescent="0.25">
      <c r="B494" s="118"/>
      <c r="C494" s="241"/>
      <c r="D494" s="231"/>
      <c r="E494" s="241"/>
      <c r="G494" s="119"/>
    </row>
    <row r="495" spans="2:7" x14ac:dyDescent="0.25">
      <c r="B495" s="118"/>
      <c r="C495" s="241"/>
      <c r="D495" s="231"/>
      <c r="E495" s="241"/>
      <c r="G495" s="119"/>
    </row>
    <row r="496" spans="2:7" x14ac:dyDescent="0.25">
      <c r="B496" s="118"/>
      <c r="C496" s="241"/>
      <c r="D496" s="231"/>
      <c r="E496" s="241"/>
      <c r="G496" s="119"/>
    </row>
    <row r="497" spans="2:7" x14ac:dyDescent="0.25">
      <c r="B497" s="118"/>
      <c r="C497" s="241"/>
      <c r="D497" s="231"/>
      <c r="E497" s="241"/>
      <c r="G497" s="119"/>
    </row>
    <row r="498" spans="2:7" x14ac:dyDescent="0.25">
      <c r="B498" s="118"/>
      <c r="C498" s="241"/>
      <c r="D498" s="231"/>
      <c r="E498" s="241"/>
      <c r="G498" s="119"/>
    </row>
    <row r="499" spans="2:7" x14ac:dyDescent="0.25">
      <c r="B499" s="118"/>
      <c r="C499" s="241"/>
      <c r="D499" s="231"/>
      <c r="E499" s="241"/>
      <c r="G499" s="119"/>
    </row>
    <row r="500" spans="2:7" x14ac:dyDescent="0.25">
      <c r="B500" s="118"/>
      <c r="C500" s="241"/>
      <c r="D500" s="231"/>
      <c r="E500" s="241"/>
      <c r="G500" s="119"/>
    </row>
    <row r="501" spans="2:7" x14ac:dyDescent="0.25">
      <c r="B501" s="118"/>
      <c r="C501" s="241"/>
      <c r="D501" s="231"/>
      <c r="E501" s="241"/>
      <c r="G501" s="119"/>
    </row>
    <row r="502" spans="2:7" x14ac:dyDescent="0.25">
      <c r="B502" s="118"/>
      <c r="C502" s="241"/>
      <c r="D502" s="231"/>
      <c r="E502" s="241"/>
      <c r="G502" s="119"/>
    </row>
    <row r="503" spans="2:7" x14ac:dyDescent="0.25">
      <c r="B503" s="118"/>
      <c r="C503" s="241"/>
      <c r="D503" s="231"/>
      <c r="E503" s="241"/>
      <c r="G503" s="119"/>
    </row>
    <row r="504" spans="2:7" x14ac:dyDescent="0.25">
      <c r="B504" s="118"/>
      <c r="C504" s="241"/>
      <c r="D504" s="231"/>
      <c r="E504" s="241"/>
      <c r="G504" s="119"/>
    </row>
    <row r="505" spans="2:7" x14ac:dyDescent="0.25">
      <c r="B505" s="118"/>
      <c r="C505" s="241"/>
      <c r="D505" s="231"/>
      <c r="E505" s="241"/>
      <c r="G505" s="119"/>
    </row>
    <row r="506" spans="2:7" x14ac:dyDescent="0.25">
      <c r="B506" s="118"/>
      <c r="C506" s="241"/>
      <c r="D506" s="231"/>
      <c r="E506" s="241"/>
      <c r="G506" s="119"/>
    </row>
    <row r="507" spans="2:7" x14ac:dyDescent="0.25">
      <c r="B507" s="118"/>
      <c r="C507" s="241"/>
      <c r="D507" s="231"/>
      <c r="E507" s="241"/>
      <c r="G507" s="119"/>
    </row>
    <row r="508" spans="2:7" x14ac:dyDescent="0.25">
      <c r="B508" s="118"/>
      <c r="C508" s="241"/>
      <c r="D508" s="231"/>
      <c r="E508" s="241"/>
      <c r="G508" s="119"/>
    </row>
    <row r="509" spans="2:7" x14ac:dyDescent="0.25">
      <c r="B509" s="118"/>
      <c r="C509" s="241"/>
      <c r="D509" s="231"/>
      <c r="E509" s="241"/>
      <c r="G509" s="119"/>
    </row>
    <row r="510" spans="2:7" x14ac:dyDescent="0.25">
      <c r="B510" s="118"/>
      <c r="C510" s="241"/>
      <c r="D510" s="231"/>
      <c r="E510" s="241"/>
      <c r="G510" s="119"/>
    </row>
    <row r="511" spans="2:7" x14ac:dyDescent="0.25">
      <c r="B511" s="118"/>
      <c r="C511" s="241"/>
      <c r="D511" s="231"/>
      <c r="E511" s="241"/>
      <c r="G511" s="119"/>
    </row>
    <row r="512" spans="2:7" x14ac:dyDescent="0.25">
      <c r="B512" s="118"/>
      <c r="C512" s="241"/>
      <c r="D512" s="231"/>
      <c r="E512" s="241"/>
      <c r="G512" s="119"/>
    </row>
    <row r="513" spans="2:7" x14ac:dyDescent="0.25">
      <c r="B513" s="118"/>
      <c r="C513" s="241"/>
      <c r="D513" s="231"/>
      <c r="E513" s="241"/>
      <c r="G513" s="119"/>
    </row>
    <row r="514" spans="2:7" x14ac:dyDescent="0.25">
      <c r="B514" s="118"/>
      <c r="C514" s="241"/>
      <c r="D514" s="231"/>
      <c r="E514" s="241"/>
      <c r="G514" s="119"/>
    </row>
    <row r="515" spans="2:7" x14ac:dyDescent="0.25">
      <c r="B515" s="118"/>
      <c r="C515" s="241"/>
      <c r="D515" s="231"/>
      <c r="E515" s="241"/>
      <c r="G515" s="119"/>
    </row>
    <row r="516" spans="2:7" x14ac:dyDescent="0.25">
      <c r="B516" s="118"/>
      <c r="C516" s="241"/>
      <c r="D516" s="231"/>
      <c r="E516" s="241"/>
      <c r="G516" s="119"/>
    </row>
    <row r="517" spans="2:7" x14ac:dyDescent="0.25">
      <c r="B517" s="118"/>
      <c r="C517" s="241"/>
      <c r="D517" s="231"/>
      <c r="E517" s="241"/>
      <c r="G517" s="119"/>
    </row>
    <row r="518" spans="2:7" x14ac:dyDescent="0.25">
      <c r="B518" s="118"/>
      <c r="C518" s="241"/>
      <c r="D518" s="231"/>
      <c r="E518" s="241"/>
      <c r="G518" s="119"/>
    </row>
    <row r="519" spans="2:7" x14ac:dyDescent="0.25">
      <c r="B519" s="118"/>
      <c r="C519" s="241"/>
      <c r="D519" s="231"/>
      <c r="E519" s="241"/>
      <c r="G519" s="119"/>
    </row>
    <row r="520" spans="2:7" x14ac:dyDescent="0.25">
      <c r="B520" s="118"/>
      <c r="C520" s="241"/>
      <c r="D520" s="231"/>
      <c r="E520" s="241"/>
      <c r="G520" s="119"/>
    </row>
    <row r="521" spans="2:7" x14ac:dyDescent="0.25">
      <c r="B521" s="118"/>
      <c r="C521" s="241"/>
      <c r="D521" s="231"/>
      <c r="E521" s="241"/>
      <c r="G521" s="119"/>
    </row>
    <row r="522" spans="2:7" x14ac:dyDescent="0.25">
      <c r="B522" s="118"/>
      <c r="C522" s="241"/>
      <c r="D522" s="231"/>
      <c r="E522" s="241"/>
      <c r="G522" s="119"/>
    </row>
    <row r="523" spans="2:7" x14ac:dyDescent="0.25">
      <c r="B523" s="118"/>
      <c r="C523" s="241"/>
      <c r="D523" s="231"/>
      <c r="E523" s="241"/>
      <c r="G523" s="119"/>
    </row>
    <row r="524" spans="2:7" x14ac:dyDescent="0.25">
      <c r="B524" s="118"/>
      <c r="C524" s="241"/>
      <c r="D524" s="231"/>
      <c r="E524" s="241"/>
      <c r="G524" s="119"/>
    </row>
    <row r="525" spans="2:7" x14ac:dyDescent="0.25">
      <c r="B525" s="118"/>
      <c r="C525" s="241"/>
      <c r="D525" s="231"/>
      <c r="E525" s="241"/>
      <c r="G525" s="119"/>
    </row>
    <row r="526" spans="2:7" x14ac:dyDescent="0.25">
      <c r="B526" s="118"/>
      <c r="C526" s="241"/>
      <c r="D526" s="231"/>
      <c r="E526" s="241"/>
      <c r="G526" s="119"/>
    </row>
    <row r="527" spans="2:7" x14ac:dyDescent="0.25">
      <c r="B527" s="118"/>
      <c r="C527" s="241"/>
      <c r="D527" s="231"/>
      <c r="E527" s="241"/>
      <c r="G527" s="119"/>
    </row>
    <row r="528" spans="2:7" x14ac:dyDescent="0.25">
      <c r="B528" s="118"/>
      <c r="C528" s="241"/>
      <c r="D528" s="231"/>
      <c r="E528" s="241"/>
      <c r="G528" s="119"/>
    </row>
    <row r="529" spans="2:7" x14ac:dyDescent="0.25">
      <c r="B529" s="118"/>
      <c r="C529" s="241"/>
      <c r="D529" s="231"/>
      <c r="E529" s="241"/>
      <c r="G529" s="119"/>
    </row>
    <row r="530" spans="2:7" x14ac:dyDescent="0.25">
      <c r="B530" s="118"/>
      <c r="C530" s="241"/>
      <c r="D530" s="231"/>
      <c r="E530" s="241"/>
      <c r="G530" s="119"/>
    </row>
    <row r="531" spans="2:7" x14ac:dyDescent="0.25">
      <c r="B531" s="118"/>
      <c r="C531" s="241"/>
      <c r="D531" s="231"/>
      <c r="E531" s="241"/>
      <c r="G531" s="119"/>
    </row>
    <row r="532" spans="2:7" x14ac:dyDescent="0.25">
      <c r="B532" s="118"/>
      <c r="C532" s="241"/>
      <c r="D532" s="231"/>
      <c r="E532" s="241"/>
      <c r="G532" s="119"/>
    </row>
    <row r="533" spans="2:7" x14ac:dyDescent="0.25">
      <c r="B533" s="118"/>
      <c r="C533" s="241"/>
      <c r="D533" s="231"/>
      <c r="E533" s="241"/>
      <c r="G533" s="119"/>
    </row>
    <row r="534" spans="2:7" x14ac:dyDescent="0.25">
      <c r="B534" s="118"/>
      <c r="C534" s="241"/>
      <c r="D534" s="231"/>
      <c r="E534" s="241"/>
      <c r="G534" s="119"/>
    </row>
    <row r="535" spans="2:7" x14ac:dyDescent="0.25">
      <c r="B535" s="118"/>
      <c r="C535" s="241"/>
      <c r="D535" s="231"/>
      <c r="E535" s="241"/>
      <c r="G535" s="119"/>
    </row>
    <row r="536" spans="2:7" x14ac:dyDescent="0.25">
      <c r="B536" s="118"/>
      <c r="C536" s="241"/>
      <c r="D536" s="231"/>
      <c r="E536" s="241"/>
      <c r="G536" s="119"/>
    </row>
    <row r="537" spans="2:7" x14ac:dyDescent="0.25">
      <c r="B537" s="118"/>
      <c r="C537" s="241"/>
      <c r="D537" s="231"/>
      <c r="E537" s="241"/>
      <c r="G537" s="119"/>
    </row>
    <row r="538" spans="2:7" x14ac:dyDescent="0.25">
      <c r="B538" s="118"/>
      <c r="C538" s="241"/>
      <c r="D538" s="231"/>
      <c r="E538" s="241"/>
      <c r="G538" s="119"/>
    </row>
    <row r="539" spans="2:7" x14ac:dyDescent="0.25">
      <c r="B539" s="118"/>
      <c r="C539" s="241"/>
      <c r="D539" s="231"/>
      <c r="E539" s="241"/>
      <c r="G539" s="119"/>
    </row>
    <row r="540" spans="2:7" x14ac:dyDescent="0.25">
      <c r="B540" s="118"/>
      <c r="C540" s="241"/>
      <c r="D540" s="231"/>
      <c r="E540" s="241"/>
      <c r="G540" s="119"/>
    </row>
    <row r="541" spans="2:7" x14ac:dyDescent="0.25">
      <c r="B541" s="118"/>
      <c r="C541" s="241"/>
      <c r="D541" s="231"/>
      <c r="E541" s="241"/>
      <c r="G541" s="119"/>
    </row>
    <row r="542" spans="2:7" x14ac:dyDescent="0.25">
      <c r="B542" s="118"/>
      <c r="C542" s="241"/>
      <c r="D542" s="231"/>
      <c r="E542" s="241"/>
      <c r="G542" s="119"/>
    </row>
    <row r="543" spans="2:7" x14ac:dyDescent="0.25">
      <c r="B543" s="118"/>
      <c r="C543" s="241"/>
      <c r="D543" s="231"/>
      <c r="E543" s="241"/>
      <c r="G543" s="119"/>
    </row>
    <row r="544" spans="2:7" x14ac:dyDescent="0.25">
      <c r="B544" s="118"/>
      <c r="C544" s="241"/>
      <c r="D544" s="231"/>
      <c r="E544" s="241"/>
      <c r="G544" s="119"/>
    </row>
    <row r="545" spans="2:7" x14ac:dyDescent="0.25">
      <c r="B545" s="118"/>
      <c r="C545" s="241"/>
      <c r="D545" s="231"/>
      <c r="E545" s="241"/>
      <c r="G545" s="119"/>
    </row>
    <row r="546" spans="2:7" x14ac:dyDescent="0.25">
      <c r="B546" s="118"/>
      <c r="C546" s="241"/>
      <c r="D546" s="231"/>
      <c r="E546" s="241"/>
      <c r="G546" s="119"/>
    </row>
    <row r="547" spans="2:7" x14ac:dyDescent="0.25">
      <c r="B547" s="118"/>
      <c r="C547" s="241"/>
      <c r="D547" s="231"/>
      <c r="E547" s="241"/>
      <c r="G547" s="119"/>
    </row>
    <row r="548" spans="2:7" x14ac:dyDescent="0.25">
      <c r="B548" s="118"/>
      <c r="C548" s="241"/>
      <c r="D548" s="231"/>
      <c r="E548" s="241"/>
      <c r="G548" s="119"/>
    </row>
    <row r="549" spans="2:7" x14ac:dyDescent="0.25">
      <c r="B549" s="118"/>
      <c r="C549" s="241"/>
      <c r="D549" s="231"/>
      <c r="E549" s="241"/>
      <c r="G549" s="119"/>
    </row>
    <row r="550" spans="2:7" x14ac:dyDescent="0.25">
      <c r="B550" s="118"/>
      <c r="C550" s="241"/>
      <c r="D550" s="231"/>
      <c r="E550" s="241"/>
      <c r="G550" s="119"/>
    </row>
    <row r="551" spans="2:7" x14ac:dyDescent="0.25">
      <c r="B551" s="118"/>
      <c r="C551" s="241"/>
      <c r="D551" s="231"/>
      <c r="E551" s="241"/>
      <c r="G551" s="119"/>
    </row>
    <row r="552" spans="2:7" x14ac:dyDescent="0.25">
      <c r="B552" s="118"/>
      <c r="C552" s="241"/>
      <c r="D552" s="231"/>
      <c r="E552" s="241"/>
      <c r="G552" s="119"/>
    </row>
    <row r="553" spans="2:7" x14ac:dyDescent="0.25">
      <c r="B553" s="118"/>
      <c r="C553" s="241"/>
      <c r="D553" s="231"/>
      <c r="E553" s="241"/>
      <c r="G553" s="119"/>
    </row>
    <row r="554" spans="2:7" x14ac:dyDescent="0.25">
      <c r="B554" s="118"/>
      <c r="C554" s="241"/>
      <c r="D554" s="231"/>
      <c r="E554" s="241"/>
      <c r="G554" s="119"/>
    </row>
    <row r="555" spans="2:7" x14ac:dyDescent="0.25">
      <c r="B555" s="118"/>
      <c r="C555" s="241"/>
      <c r="D555" s="231"/>
      <c r="E555" s="241"/>
      <c r="G555" s="119"/>
    </row>
    <row r="556" spans="2:7" x14ac:dyDescent="0.25">
      <c r="B556" s="118"/>
      <c r="C556" s="241"/>
      <c r="D556" s="231"/>
      <c r="E556" s="241"/>
      <c r="G556" s="119"/>
    </row>
    <row r="557" spans="2:7" x14ac:dyDescent="0.25">
      <c r="B557" s="118"/>
      <c r="C557" s="241"/>
      <c r="D557" s="231"/>
      <c r="E557" s="241"/>
      <c r="G557" s="119"/>
    </row>
    <row r="558" spans="2:7" x14ac:dyDescent="0.25">
      <c r="B558" s="118"/>
      <c r="C558" s="241"/>
      <c r="D558" s="231"/>
      <c r="E558" s="241"/>
      <c r="G558" s="119"/>
    </row>
    <row r="559" spans="2:7" x14ac:dyDescent="0.25">
      <c r="B559" s="118"/>
      <c r="C559" s="241"/>
      <c r="D559" s="231"/>
      <c r="E559" s="241"/>
      <c r="G559" s="119"/>
    </row>
    <row r="560" spans="2:7" x14ac:dyDescent="0.25">
      <c r="B560" s="118"/>
      <c r="C560" s="241"/>
      <c r="D560" s="231"/>
      <c r="E560" s="241"/>
      <c r="G560" s="119"/>
    </row>
    <row r="561" spans="2:7" x14ac:dyDescent="0.25">
      <c r="B561" s="118"/>
      <c r="C561" s="241"/>
      <c r="D561" s="231"/>
      <c r="E561" s="241"/>
      <c r="G561" s="119"/>
    </row>
    <row r="562" spans="2:7" x14ac:dyDescent="0.25">
      <c r="B562" s="118"/>
      <c r="C562" s="241"/>
      <c r="D562" s="231"/>
      <c r="E562" s="241"/>
      <c r="G562" s="119"/>
    </row>
    <row r="563" spans="2:7" x14ac:dyDescent="0.25">
      <c r="B563" s="118"/>
      <c r="C563" s="241"/>
      <c r="D563" s="231"/>
      <c r="E563" s="241"/>
      <c r="G563" s="119"/>
    </row>
    <row r="564" spans="2:7" x14ac:dyDescent="0.25">
      <c r="B564" s="118"/>
      <c r="C564" s="241"/>
      <c r="D564" s="231"/>
      <c r="E564" s="241"/>
      <c r="G564" s="119"/>
    </row>
    <row r="565" spans="2:7" x14ac:dyDescent="0.25">
      <c r="B565" s="118"/>
      <c r="C565" s="241"/>
      <c r="D565" s="231"/>
      <c r="E565" s="241"/>
      <c r="G565" s="119"/>
    </row>
    <row r="566" spans="2:7" x14ac:dyDescent="0.25">
      <c r="B566" s="118"/>
      <c r="C566" s="241"/>
      <c r="D566" s="231"/>
      <c r="E566" s="241"/>
      <c r="G566" s="119"/>
    </row>
    <row r="567" spans="2:7" x14ac:dyDescent="0.25">
      <c r="B567" s="118"/>
      <c r="C567" s="241"/>
      <c r="D567" s="231"/>
      <c r="E567" s="241"/>
      <c r="G567" s="119"/>
    </row>
    <row r="568" spans="2:7" x14ac:dyDescent="0.25">
      <c r="B568" s="118"/>
      <c r="C568" s="241"/>
      <c r="D568" s="231"/>
      <c r="E568" s="241"/>
      <c r="G568" s="119"/>
    </row>
    <row r="569" spans="2:7" x14ac:dyDescent="0.25">
      <c r="B569" s="118"/>
      <c r="C569" s="241"/>
      <c r="D569" s="231"/>
      <c r="E569" s="241"/>
      <c r="G569" s="119"/>
    </row>
    <row r="570" spans="2:7" x14ac:dyDescent="0.25">
      <c r="B570" s="118"/>
      <c r="C570" s="241"/>
      <c r="D570" s="231"/>
      <c r="E570" s="241"/>
      <c r="G570" s="119"/>
    </row>
    <row r="571" spans="2:7" x14ac:dyDescent="0.25">
      <c r="B571" s="118"/>
      <c r="C571" s="241"/>
      <c r="D571" s="231"/>
      <c r="E571" s="241"/>
      <c r="G571" s="119"/>
    </row>
    <row r="572" spans="2:7" x14ac:dyDescent="0.25">
      <c r="B572" s="118"/>
      <c r="C572" s="241"/>
      <c r="D572" s="231"/>
      <c r="E572" s="241"/>
      <c r="G572" s="119"/>
    </row>
    <row r="573" spans="2:7" x14ac:dyDescent="0.25">
      <c r="B573" s="118"/>
      <c r="C573" s="241"/>
      <c r="D573" s="231"/>
      <c r="E573" s="241"/>
      <c r="G573" s="119"/>
    </row>
    <row r="574" spans="2:7" x14ac:dyDescent="0.25">
      <c r="B574" s="118"/>
      <c r="C574" s="241"/>
      <c r="D574" s="231"/>
      <c r="E574" s="241"/>
      <c r="G574" s="119"/>
    </row>
    <row r="575" spans="2:7" x14ac:dyDescent="0.25">
      <c r="B575" s="118"/>
      <c r="C575" s="241"/>
      <c r="D575" s="231"/>
      <c r="E575" s="241"/>
      <c r="G575" s="119"/>
    </row>
    <row r="576" spans="2:7" x14ac:dyDescent="0.25">
      <c r="B576" s="118"/>
      <c r="C576" s="241"/>
      <c r="D576" s="231"/>
      <c r="E576" s="241"/>
      <c r="G576" s="119"/>
    </row>
    <row r="577" spans="2:7" x14ac:dyDescent="0.25">
      <c r="B577" s="118"/>
      <c r="C577" s="241"/>
      <c r="D577" s="231"/>
      <c r="E577" s="241"/>
      <c r="G577" s="119"/>
    </row>
    <row r="578" spans="2:7" x14ac:dyDescent="0.25">
      <c r="B578" s="118"/>
      <c r="C578" s="241"/>
      <c r="D578" s="231"/>
      <c r="E578" s="241"/>
      <c r="G578" s="119"/>
    </row>
    <row r="579" spans="2:7" x14ac:dyDescent="0.25">
      <c r="B579" s="118"/>
      <c r="C579" s="241"/>
      <c r="D579" s="231"/>
      <c r="E579" s="241"/>
      <c r="G579" s="119"/>
    </row>
    <row r="580" spans="2:7" x14ac:dyDescent="0.25">
      <c r="B580" s="118"/>
      <c r="C580" s="241"/>
      <c r="D580" s="231"/>
      <c r="E580" s="241"/>
      <c r="G580" s="119"/>
    </row>
    <row r="581" spans="2:7" x14ac:dyDescent="0.25">
      <c r="B581" s="118"/>
      <c r="C581" s="241"/>
      <c r="D581" s="231"/>
      <c r="E581" s="241"/>
      <c r="G581" s="119"/>
    </row>
    <row r="582" spans="2:7" x14ac:dyDescent="0.25">
      <c r="B582" s="118"/>
      <c r="C582" s="241"/>
      <c r="D582" s="231"/>
      <c r="E582" s="241"/>
      <c r="G582" s="119"/>
    </row>
    <row r="583" spans="2:7" x14ac:dyDescent="0.25">
      <c r="B583" s="118"/>
      <c r="C583" s="241"/>
      <c r="D583" s="231"/>
      <c r="E583" s="241"/>
      <c r="G583" s="119"/>
    </row>
    <row r="584" spans="2:7" x14ac:dyDescent="0.25">
      <c r="B584" s="118"/>
      <c r="C584" s="241"/>
      <c r="D584" s="231"/>
      <c r="E584" s="241"/>
      <c r="G584" s="119"/>
    </row>
    <row r="585" spans="2:7" x14ac:dyDescent="0.25">
      <c r="B585" s="118"/>
      <c r="C585" s="241"/>
      <c r="D585" s="231"/>
      <c r="E585" s="241"/>
      <c r="G585" s="119"/>
    </row>
    <row r="586" spans="2:7" x14ac:dyDescent="0.25">
      <c r="B586" s="118"/>
      <c r="C586" s="241"/>
      <c r="D586" s="231"/>
      <c r="E586" s="241"/>
      <c r="G586" s="119"/>
    </row>
    <row r="587" spans="2:7" x14ac:dyDescent="0.25">
      <c r="B587" s="118"/>
      <c r="C587" s="241"/>
      <c r="D587" s="231"/>
      <c r="E587" s="241"/>
      <c r="G587" s="119"/>
    </row>
    <row r="588" spans="2:7" x14ac:dyDescent="0.25">
      <c r="B588" s="118"/>
      <c r="C588" s="241"/>
      <c r="D588" s="231"/>
      <c r="E588" s="241"/>
      <c r="G588" s="119"/>
    </row>
    <row r="589" spans="2:7" x14ac:dyDescent="0.25">
      <c r="B589" s="118"/>
      <c r="C589" s="241"/>
      <c r="D589" s="231"/>
      <c r="E589" s="241"/>
      <c r="G589" s="119"/>
    </row>
    <row r="590" spans="2:7" x14ac:dyDescent="0.25">
      <c r="B590" s="118"/>
      <c r="C590" s="241"/>
      <c r="D590" s="231"/>
      <c r="E590" s="241"/>
      <c r="G590" s="119"/>
    </row>
    <row r="591" spans="2:7" x14ac:dyDescent="0.25">
      <c r="B591" s="118"/>
      <c r="C591" s="241"/>
      <c r="D591" s="231"/>
      <c r="E591" s="241"/>
      <c r="G591" s="119"/>
    </row>
    <row r="592" spans="2:7" x14ac:dyDescent="0.25">
      <c r="B592" s="118"/>
      <c r="C592" s="241"/>
      <c r="D592" s="231"/>
      <c r="E592" s="241"/>
      <c r="G592" s="119"/>
    </row>
    <row r="593" spans="2:7" x14ac:dyDescent="0.25">
      <c r="B593" s="118"/>
      <c r="C593" s="241"/>
      <c r="D593" s="231"/>
      <c r="E593" s="241"/>
      <c r="G593" s="119"/>
    </row>
    <row r="594" spans="2:7" x14ac:dyDescent="0.25">
      <c r="B594" s="118"/>
      <c r="C594" s="241"/>
      <c r="D594" s="231"/>
      <c r="E594" s="241"/>
      <c r="G594" s="119"/>
    </row>
    <row r="595" spans="2:7" x14ac:dyDescent="0.25">
      <c r="B595" s="118"/>
      <c r="C595" s="241"/>
      <c r="D595" s="231"/>
      <c r="E595" s="241"/>
      <c r="G595" s="119"/>
    </row>
    <row r="596" spans="2:7" x14ac:dyDescent="0.25">
      <c r="B596" s="118"/>
      <c r="C596" s="241"/>
      <c r="D596" s="231"/>
      <c r="E596" s="241"/>
      <c r="G596" s="119"/>
    </row>
    <row r="597" spans="2:7" x14ac:dyDescent="0.25">
      <c r="B597" s="118"/>
      <c r="C597" s="241"/>
      <c r="D597" s="231"/>
      <c r="E597" s="241"/>
      <c r="G597" s="119"/>
    </row>
    <row r="598" spans="2:7" x14ac:dyDescent="0.25">
      <c r="B598" s="118"/>
      <c r="C598" s="241"/>
      <c r="D598" s="231"/>
      <c r="E598" s="241"/>
      <c r="G598" s="119"/>
    </row>
    <row r="599" spans="2:7" x14ac:dyDescent="0.25">
      <c r="B599" s="118"/>
      <c r="C599" s="241"/>
      <c r="D599" s="231"/>
      <c r="E599" s="241"/>
      <c r="G599" s="119"/>
    </row>
    <row r="600" spans="2:7" x14ac:dyDescent="0.25">
      <c r="B600" s="118"/>
      <c r="C600" s="241"/>
      <c r="D600" s="231"/>
      <c r="E600" s="241"/>
      <c r="G600" s="119"/>
    </row>
    <row r="601" spans="2:7" x14ac:dyDescent="0.25">
      <c r="B601" s="118"/>
      <c r="C601" s="241"/>
      <c r="D601" s="231"/>
      <c r="E601" s="241"/>
      <c r="G601" s="119"/>
    </row>
    <row r="602" spans="2:7" x14ac:dyDescent="0.25">
      <c r="B602" s="118"/>
      <c r="C602" s="241"/>
      <c r="D602" s="231"/>
      <c r="E602" s="241"/>
      <c r="G602" s="119"/>
    </row>
    <row r="603" spans="2:7" x14ac:dyDescent="0.25">
      <c r="B603" s="118"/>
      <c r="C603" s="241"/>
      <c r="D603" s="231"/>
      <c r="E603" s="241"/>
      <c r="G603" s="119"/>
    </row>
    <row r="604" spans="2:7" x14ac:dyDescent="0.25">
      <c r="B604" s="118"/>
      <c r="C604" s="241"/>
      <c r="D604" s="231"/>
      <c r="E604" s="241"/>
      <c r="G604" s="119"/>
    </row>
    <row r="605" spans="2:7" x14ac:dyDescent="0.25">
      <c r="B605" s="118"/>
      <c r="C605" s="241"/>
      <c r="D605" s="231"/>
      <c r="E605" s="241"/>
      <c r="G605" s="119"/>
    </row>
    <row r="606" spans="2:7" x14ac:dyDescent="0.25">
      <c r="B606" s="118"/>
      <c r="C606" s="241"/>
      <c r="D606" s="231"/>
      <c r="E606" s="241"/>
      <c r="G606" s="119"/>
    </row>
    <row r="607" spans="2:7" x14ac:dyDescent="0.25">
      <c r="B607" s="118"/>
      <c r="C607" s="241"/>
      <c r="D607" s="231"/>
      <c r="E607" s="241"/>
      <c r="G607" s="119"/>
    </row>
    <row r="608" spans="2:7" x14ac:dyDescent="0.25">
      <c r="B608" s="118"/>
      <c r="C608" s="241"/>
      <c r="D608" s="231"/>
      <c r="E608" s="241"/>
      <c r="G608" s="119"/>
    </row>
    <row r="609" spans="2:7" x14ac:dyDescent="0.25">
      <c r="B609" s="118"/>
      <c r="C609" s="241"/>
      <c r="D609" s="231"/>
      <c r="E609" s="241"/>
      <c r="G609" s="119"/>
    </row>
    <row r="610" spans="2:7" x14ac:dyDescent="0.25">
      <c r="B610" s="118"/>
      <c r="C610" s="241"/>
      <c r="D610" s="231"/>
      <c r="E610" s="241"/>
      <c r="G610" s="119"/>
    </row>
    <row r="611" spans="2:7" x14ac:dyDescent="0.25">
      <c r="B611" s="118"/>
      <c r="C611" s="241"/>
      <c r="D611" s="231"/>
      <c r="E611" s="241"/>
      <c r="G611" s="119"/>
    </row>
    <row r="612" spans="2:7" x14ac:dyDescent="0.25">
      <c r="B612" s="118"/>
      <c r="C612" s="241"/>
      <c r="D612" s="231"/>
      <c r="E612" s="241"/>
      <c r="G612" s="119"/>
    </row>
    <row r="613" spans="2:7" x14ac:dyDescent="0.25">
      <c r="B613" s="118"/>
      <c r="C613" s="241"/>
      <c r="D613" s="231"/>
      <c r="E613" s="241"/>
      <c r="G613" s="119"/>
    </row>
    <row r="614" spans="2:7" x14ac:dyDescent="0.25">
      <c r="B614" s="118"/>
      <c r="C614" s="241"/>
      <c r="D614" s="231"/>
      <c r="E614" s="241"/>
      <c r="G614" s="119"/>
    </row>
    <row r="615" spans="2:7" x14ac:dyDescent="0.25">
      <c r="B615" s="118"/>
      <c r="C615" s="241"/>
      <c r="D615" s="231"/>
      <c r="E615" s="241"/>
      <c r="G615" s="119"/>
    </row>
    <row r="616" spans="2:7" x14ac:dyDescent="0.25">
      <c r="B616" s="118"/>
      <c r="C616" s="241"/>
      <c r="D616" s="231"/>
      <c r="E616" s="241"/>
      <c r="G616" s="119"/>
    </row>
    <row r="617" spans="2:7" x14ac:dyDescent="0.25">
      <c r="B617" s="118"/>
      <c r="C617" s="241"/>
      <c r="D617" s="231"/>
      <c r="E617" s="241"/>
      <c r="G617" s="119"/>
    </row>
    <row r="618" spans="2:7" x14ac:dyDescent="0.25">
      <c r="B618" s="118"/>
      <c r="C618" s="241"/>
      <c r="D618" s="231"/>
      <c r="E618" s="241"/>
      <c r="G618" s="119"/>
    </row>
    <row r="619" spans="2:7" x14ac:dyDescent="0.25">
      <c r="B619" s="118"/>
      <c r="C619" s="241"/>
      <c r="D619" s="231"/>
      <c r="E619" s="241"/>
      <c r="G619" s="119"/>
    </row>
    <row r="620" spans="2:7" x14ac:dyDescent="0.25">
      <c r="B620" s="118"/>
      <c r="C620" s="241"/>
      <c r="D620" s="231"/>
      <c r="E620" s="241"/>
      <c r="G620" s="119"/>
    </row>
    <row r="621" spans="2:7" x14ac:dyDescent="0.25">
      <c r="B621" s="118"/>
      <c r="C621" s="241"/>
      <c r="D621" s="231"/>
      <c r="E621" s="241"/>
      <c r="G621" s="119"/>
    </row>
    <row r="622" spans="2:7" x14ac:dyDescent="0.25">
      <c r="B622" s="118"/>
      <c r="C622" s="241"/>
      <c r="D622" s="231"/>
      <c r="E622" s="241"/>
      <c r="G622" s="119"/>
    </row>
    <row r="623" spans="2:7" x14ac:dyDescent="0.25">
      <c r="B623" s="118"/>
      <c r="C623" s="241"/>
      <c r="D623" s="231"/>
      <c r="E623" s="241"/>
      <c r="G623" s="119"/>
    </row>
    <row r="624" spans="2:7" x14ac:dyDescent="0.25">
      <c r="B624" s="118"/>
      <c r="C624" s="241"/>
      <c r="D624" s="231"/>
      <c r="E624" s="241"/>
      <c r="G624" s="119"/>
    </row>
    <row r="625" spans="2:7" x14ac:dyDescent="0.25">
      <c r="B625" s="118"/>
      <c r="C625" s="241"/>
      <c r="D625" s="231"/>
      <c r="E625" s="241"/>
      <c r="G625" s="119"/>
    </row>
    <row r="626" spans="2:7" x14ac:dyDescent="0.25">
      <c r="B626" s="118"/>
      <c r="C626" s="241"/>
      <c r="D626" s="231"/>
      <c r="E626" s="241"/>
      <c r="G626" s="119"/>
    </row>
    <row r="627" spans="2:7" x14ac:dyDescent="0.25">
      <c r="B627" s="118"/>
      <c r="C627" s="241"/>
      <c r="D627" s="231"/>
      <c r="E627" s="241"/>
      <c r="G627" s="119"/>
    </row>
    <row r="628" spans="2:7" x14ac:dyDescent="0.25">
      <c r="B628" s="118"/>
      <c r="C628" s="241"/>
      <c r="D628" s="231"/>
      <c r="E628" s="241"/>
      <c r="G628" s="119"/>
    </row>
    <row r="629" spans="2:7" x14ac:dyDescent="0.25">
      <c r="B629" s="118"/>
      <c r="C629" s="241"/>
      <c r="D629" s="231"/>
      <c r="E629" s="241"/>
      <c r="G629" s="119"/>
    </row>
    <row r="630" spans="2:7" x14ac:dyDescent="0.25">
      <c r="B630" s="118"/>
      <c r="C630" s="241"/>
      <c r="D630" s="231"/>
      <c r="E630" s="241"/>
      <c r="G630" s="119"/>
    </row>
    <row r="631" spans="2:7" x14ac:dyDescent="0.25">
      <c r="B631" s="118"/>
      <c r="C631" s="241"/>
      <c r="D631" s="231"/>
      <c r="E631" s="241"/>
      <c r="G631" s="119"/>
    </row>
    <row r="632" spans="2:7" x14ac:dyDescent="0.25">
      <c r="B632" s="118"/>
      <c r="C632" s="241"/>
      <c r="D632" s="231"/>
      <c r="E632" s="241"/>
      <c r="G632" s="119"/>
    </row>
    <row r="633" spans="2:7" x14ac:dyDescent="0.25">
      <c r="B633" s="118"/>
      <c r="C633" s="241"/>
      <c r="D633" s="231"/>
      <c r="E633" s="241"/>
      <c r="G633" s="119"/>
    </row>
    <row r="634" spans="2:7" x14ac:dyDescent="0.25">
      <c r="B634" s="118"/>
      <c r="C634" s="241"/>
      <c r="D634" s="231"/>
      <c r="E634" s="241"/>
      <c r="G634" s="119"/>
    </row>
    <row r="635" spans="2:7" x14ac:dyDescent="0.25">
      <c r="B635" s="118"/>
      <c r="C635" s="241"/>
      <c r="D635" s="231"/>
      <c r="E635" s="241"/>
      <c r="G635" s="119"/>
    </row>
    <row r="636" spans="2:7" x14ac:dyDescent="0.25">
      <c r="B636" s="118"/>
      <c r="C636" s="241"/>
      <c r="D636" s="231"/>
      <c r="E636" s="241"/>
      <c r="G636" s="119"/>
    </row>
    <row r="637" spans="2:7" x14ac:dyDescent="0.25">
      <c r="B637" s="118"/>
      <c r="C637" s="241"/>
      <c r="D637" s="231"/>
      <c r="E637" s="241"/>
      <c r="G637" s="119"/>
    </row>
    <row r="638" spans="2:7" x14ac:dyDescent="0.25">
      <c r="B638" s="118"/>
      <c r="C638" s="241"/>
      <c r="D638" s="231"/>
      <c r="E638" s="241"/>
      <c r="G638" s="119"/>
    </row>
    <row r="639" spans="2:7" x14ac:dyDescent="0.25">
      <c r="B639" s="118"/>
      <c r="C639" s="241"/>
      <c r="D639" s="231"/>
      <c r="E639" s="241"/>
      <c r="G639" s="119"/>
    </row>
    <row r="640" spans="2:7" x14ac:dyDescent="0.25">
      <c r="B640" s="118"/>
      <c r="C640" s="241"/>
      <c r="D640" s="231"/>
      <c r="E640" s="241"/>
      <c r="G640" s="119"/>
    </row>
    <row r="641" spans="2:7" x14ac:dyDescent="0.25">
      <c r="B641" s="118"/>
      <c r="C641" s="241"/>
      <c r="D641" s="231"/>
      <c r="E641" s="241"/>
      <c r="G641" s="119"/>
    </row>
    <row r="642" spans="2:7" x14ac:dyDescent="0.25">
      <c r="B642" s="118"/>
      <c r="C642" s="241"/>
      <c r="D642" s="231"/>
      <c r="E642" s="241"/>
      <c r="G642" s="119"/>
    </row>
    <row r="643" spans="2:7" x14ac:dyDescent="0.25">
      <c r="B643" s="118"/>
      <c r="C643" s="241"/>
      <c r="D643" s="231"/>
      <c r="E643" s="241"/>
      <c r="G643" s="119"/>
    </row>
    <row r="644" spans="2:7" x14ac:dyDescent="0.25">
      <c r="B644" s="118"/>
      <c r="C644" s="241"/>
      <c r="D644" s="231"/>
      <c r="E644" s="241"/>
      <c r="G644" s="119"/>
    </row>
    <row r="645" spans="2:7" x14ac:dyDescent="0.25">
      <c r="B645" s="118"/>
      <c r="C645" s="241"/>
      <c r="D645" s="231"/>
      <c r="E645" s="241"/>
      <c r="G645" s="119"/>
    </row>
    <row r="646" spans="2:7" x14ac:dyDescent="0.25">
      <c r="B646" s="118"/>
      <c r="C646" s="241"/>
      <c r="D646" s="231"/>
      <c r="E646" s="241"/>
      <c r="G646" s="119"/>
    </row>
    <row r="647" spans="2:7" x14ac:dyDescent="0.25">
      <c r="B647" s="118"/>
      <c r="C647" s="241"/>
      <c r="D647" s="231"/>
      <c r="E647" s="241"/>
      <c r="G647" s="119"/>
    </row>
    <row r="648" spans="2:7" x14ac:dyDescent="0.25">
      <c r="B648" s="118"/>
      <c r="C648" s="241"/>
      <c r="D648" s="231"/>
      <c r="E648" s="241"/>
      <c r="G648" s="119"/>
    </row>
    <row r="649" spans="2:7" x14ac:dyDescent="0.25">
      <c r="B649" s="118"/>
      <c r="C649" s="241"/>
      <c r="D649" s="231"/>
      <c r="E649" s="241"/>
      <c r="G649" s="119"/>
    </row>
    <row r="650" spans="2:7" x14ac:dyDescent="0.25">
      <c r="B650" s="118"/>
      <c r="C650" s="241"/>
      <c r="D650" s="231"/>
      <c r="E650" s="241"/>
      <c r="G650" s="119"/>
    </row>
    <row r="651" spans="2:7" x14ac:dyDescent="0.25">
      <c r="B651" s="118"/>
      <c r="C651" s="241"/>
      <c r="D651" s="231"/>
      <c r="E651" s="241"/>
      <c r="G651" s="119"/>
    </row>
    <row r="652" spans="2:7" x14ac:dyDescent="0.25">
      <c r="B652" s="118"/>
      <c r="C652" s="241"/>
      <c r="D652" s="231"/>
      <c r="E652" s="241"/>
      <c r="G652" s="119"/>
    </row>
    <row r="653" spans="2:7" x14ac:dyDescent="0.25">
      <c r="B653" s="118"/>
      <c r="C653" s="241"/>
      <c r="D653" s="231"/>
      <c r="E653" s="241"/>
      <c r="G653" s="119"/>
    </row>
    <row r="654" spans="2:7" x14ac:dyDescent="0.25">
      <c r="B654" s="118"/>
      <c r="C654" s="241"/>
      <c r="D654" s="231"/>
      <c r="E654" s="241"/>
      <c r="G654" s="119"/>
    </row>
    <row r="655" spans="2:7" x14ac:dyDescent="0.25">
      <c r="B655" s="118"/>
      <c r="C655" s="241"/>
      <c r="D655" s="231"/>
      <c r="E655" s="241"/>
      <c r="G655" s="119"/>
    </row>
    <row r="656" spans="2:7" x14ac:dyDescent="0.25">
      <c r="B656" s="118"/>
      <c r="C656" s="241"/>
      <c r="D656" s="231"/>
      <c r="E656" s="241"/>
      <c r="G656" s="119"/>
    </row>
    <row r="657" spans="2:7" x14ac:dyDescent="0.25">
      <c r="B657" s="118"/>
      <c r="C657" s="241"/>
      <c r="D657" s="231"/>
      <c r="E657" s="241"/>
      <c r="G657" s="119"/>
    </row>
    <row r="658" spans="2:7" x14ac:dyDescent="0.25">
      <c r="B658" s="118"/>
      <c r="C658" s="241"/>
      <c r="D658" s="231"/>
      <c r="E658" s="241"/>
      <c r="G658" s="119"/>
    </row>
    <row r="659" spans="2:7" x14ac:dyDescent="0.25">
      <c r="B659" s="118"/>
      <c r="C659" s="241"/>
      <c r="D659" s="231"/>
      <c r="E659" s="241"/>
      <c r="G659" s="119"/>
    </row>
    <row r="660" spans="2:7" x14ac:dyDescent="0.25">
      <c r="B660" s="118"/>
      <c r="C660" s="241"/>
      <c r="D660" s="231"/>
      <c r="E660" s="241"/>
      <c r="G660" s="119"/>
    </row>
    <row r="661" spans="2:7" x14ac:dyDescent="0.25">
      <c r="B661" s="118"/>
      <c r="C661" s="241"/>
      <c r="D661" s="231"/>
      <c r="E661" s="241"/>
      <c r="G661" s="119"/>
    </row>
    <row r="662" spans="2:7" x14ac:dyDescent="0.25">
      <c r="B662" s="118"/>
      <c r="C662" s="241"/>
      <c r="D662" s="231"/>
      <c r="E662" s="241"/>
      <c r="G662" s="119"/>
    </row>
    <row r="663" spans="2:7" x14ac:dyDescent="0.25">
      <c r="B663" s="118"/>
      <c r="C663" s="241"/>
      <c r="D663" s="231"/>
      <c r="E663" s="241"/>
      <c r="G663" s="119"/>
    </row>
    <row r="664" spans="2:7" x14ac:dyDescent="0.25">
      <c r="B664" s="118"/>
      <c r="C664" s="241"/>
      <c r="D664" s="231"/>
      <c r="E664" s="241"/>
      <c r="G664" s="119"/>
    </row>
    <row r="665" spans="2:7" x14ac:dyDescent="0.25">
      <c r="B665" s="118"/>
      <c r="C665" s="241"/>
      <c r="D665" s="231"/>
      <c r="E665" s="241"/>
      <c r="G665" s="119"/>
    </row>
    <row r="666" spans="2:7" x14ac:dyDescent="0.25">
      <c r="B666" s="118"/>
      <c r="C666" s="241"/>
      <c r="D666" s="231"/>
      <c r="E666" s="241"/>
      <c r="G666" s="119"/>
    </row>
    <row r="667" spans="2:7" x14ac:dyDescent="0.25">
      <c r="B667" s="118"/>
      <c r="C667" s="241"/>
      <c r="D667" s="231"/>
      <c r="E667" s="241"/>
      <c r="G667" s="119"/>
    </row>
    <row r="668" spans="2:7" x14ac:dyDescent="0.25">
      <c r="B668" s="118"/>
      <c r="C668" s="241"/>
      <c r="D668" s="231"/>
      <c r="E668" s="241"/>
      <c r="G668" s="119"/>
    </row>
    <row r="669" spans="2:7" x14ac:dyDescent="0.25">
      <c r="B669" s="118"/>
      <c r="C669" s="241"/>
      <c r="D669" s="231"/>
      <c r="E669" s="241"/>
      <c r="G669" s="119"/>
    </row>
    <row r="670" spans="2:7" x14ac:dyDescent="0.25">
      <c r="B670" s="118"/>
      <c r="C670" s="241"/>
      <c r="D670" s="231"/>
      <c r="E670" s="241"/>
      <c r="G670" s="119"/>
    </row>
    <row r="671" spans="2:7" x14ac:dyDescent="0.25">
      <c r="B671" s="118"/>
      <c r="C671" s="241"/>
      <c r="D671" s="231"/>
      <c r="E671" s="241"/>
      <c r="G671" s="119"/>
    </row>
    <row r="672" spans="2:7" x14ac:dyDescent="0.25">
      <c r="B672" s="118"/>
      <c r="C672" s="241"/>
      <c r="D672" s="231"/>
      <c r="E672" s="241"/>
      <c r="G672" s="119"/>
    </row>
    <row r="673" spans="2:7" x14ac:dyDescent="0.25">
      <c r="B673" s="118"/>
      <c r="C673" s="241"/>
      <c r="D673" s="231"/>
      <c r="E673" s="241"/>
      <c r="G673" s="119"/>
    </row>
    <row r="674" spans="2:7" x14ac:dyDescent="0.25">
      <c r="B674" s="118"/>
      <c r="C674" s="241"/>
      <c r="D674" s="231"/>
      <c r="E674" s="241"/>
      <c r="G674" s="119"/>
    </row>
    <row r="675" spans="2:7" x14ac:dyDescent="0.25">
      <c r="B675" s="118"/>
      <c r="C675" s="241"/>
      <c r="D675" s="231"/>
      <c r="E675" s="241"/>
      <c r="G675" s="119"/>
    </row>
    <row r="676" spans="2:7" x14ac:dyDescent="0.25">
      <c r="B676" s="118"/>
      <c r="C676" s="241"/>
      <c r="D676" s="231"/>
      <c r="E676" s="241"/>
      <c r="G676" s="119"/>
    </row>
    <row r="677" spans="2:7" x14ac:dyDescent="0.25">
      <c r="B677" s="118"/>
      <c r="C677" s="241"/>
      <c r="D677" s="231"/>
      <c r="E677" s="241"/>
      <c r="G677" s="119"/>
    </row>
    <row r="678" spans="2:7" x14ac:dyDescent="0.25">
      <c r="B678" s="118"/>
      <c r="C678" s="241"/>
      <c r="D678" s="231"/>
      <c r="E678" s="241"/>
      <c r="G678" s="119"/>
    </row>
    <row r="679" spans="2:7" x14ac:dyDescent="0.25">
      <c r="B679" s="118"/>
      <c r="C679" s="241"/>
      <c r="D679" s="231"/>
      <c r="E679" s="241"/>
      <c r="G679" s="119"/>
    </row>
    <row r="680" spans="2:7" x14ac:dyDescent="0.25">
      <c r="B680" s="118"/>
      <c r="C680" s="241"/>
      <c r="D680" s="231"/>
      <c r="E680" s="241"/>
      <c r="G680" s="119"/>
    </row>
    <row r="681" spans="2:7" x14ac:dyDescent="0.25">
      <c r="B681" s="118"/>
      <c r="C681" s="241"/>
      <c r="D681" s="231"/>
      <c r="E681" s="241"/>
      <c r="G681" s="119"/>
    </row>
    <row r="682" spans="2:7" x14ac:dyDescent="0.25">
      <c r="B682" s="118"/>
      <c r="C682" s="241"/>
      <c r="D682" s="231"/>
      <c r="E682" s="241"/>
      <c r="G682" s="119"/>
    </row>
    <row r="683" spans="2:7" x14ac:dyDescent="0.25">
      <c r="B683" s="118"/>
      <c r="C683" s="241"/>
      <c r="D683" s="231"/>
      <c r="E683" s="241"/>
      <c r="G683" s="119"/>
    </row>
    <row r="684" spans="2:7" x14ac:dyDescent="0.25">
      <c r="B684" s="118"/>
      <c r="C684" s="241"/>
      <c r="D684" s="231"/>
      <c r="E684" s="241"/>
      <c r="G684" s="119"/>
    </row>
    <row r="685" spans="2:7" x14ac:dyDescent="0.25">
      <c r="B685" s="118"/>
      <c r="C685" s="241"/>
      <c r="D685" s="231"/>
      <c r="E685" s="241"/>
      <c r="G685" s="119"/>
    </row>
    <row r="686" spans="2:7" x14ac:dyDescent="0.25">
      <c r="B686" s="118"/>
      <c r="C686" s="241"/>
      <c r="D686" s="231"/>
      <c r="E686" s="241"/>
      <c r="G686" s="119"/>
    </row>
    <row r="687" spans="2:7" x14ac:dyDescent="0.25">
      <c r="B687" s="118"/>
      <c r="C687" s="241"/>
      <c r="D687" s="231"/>
      <c r="E687" s="241"/>
      <c r="G687" s="119"/>
    </row>
    <row r="688" spans="2:7" x14ac:dyDescent="0.25">
      <c r="B688" s="118"/>
      <c r="C688" s="241"/>
      <c r="D688" s="231"/>
      <c r="E688" s="241"/>
      <c r="G688" s="119"/>
    </row>
    <row r="689" spans="2:7" x14ac:dyDescent="0.25">
      <c r="B689" s="118"/>
      <c r="C689" s="241"/>
      <c r="D689" s="231"/>
      <c r="E689" s="241"/>
      <c r="G689" s="119"/>
    </row>
    <row r="690" spans="2:7" x14ac:dyDescent="0.25">
      <c r="B690" s="118"/>
      <c r="C690" s="241"/>
      <c r="D690" s="231"/>
      <c r="E690" s="241"/>
      <c r="G690" s="119"/>
    </row>
    <row r="691" spans="2:7" x14ac:dyDescent="0.25">
      <c r="B691" s="118"/>
      <c r="C691" s="241"/>
      <c r="D691" s="231"/>
      <c r="E691" s="241"/>
      <c r="G691" s="119"/>
    </row>
    <row r="692" spans="2:7" x14ac:dyDescent="0.25">
      <c r="B692" s="118"/>
      <c r="C692" s="241"/>
      <c r="D692" s="231"/>
      <c r="E692" s="241"/>
      <c r="G692" s="119"/>
    </row>
    <row r="693" spans="2:7" x14ac:dyDescent="0.25">
      <c r="B693" s="118"/>
      <c r="C693" s="241"/>
      <c r="D693" s="231"/>
      <c r="E693" s="241"/>
      <c r="G693" s="119"/>
    </row>
    <row r="694" spans="2:7" x14ac:dyDescent="0.25">
      <c r="B694" s="118"/>
      <c r="C694" s="241"/>
      <c r="D694" s="231"/>
      <c r="E694" s="241"/>
      <c r="G694" s="119"/>
    </row>
    <row r="695" spans="2:7" x14ac:dyDescent="0.25">
      <c r="B695" s="118"/>
      <c r="C695" s="241"/>
      <c r="D695" s="231"/>
      <c r="E695" s="241"/>
      <c r="G695" s="119"/>
    </row>
    <row r="696" spans="2:7" x14ac:dyDescent="0.25">
      <c r="B696" s="118"/>
      <c r="C696" s="241"/>
      <c r="D696" s="231"/>
      <c r="E696" s="241"/>
      <c r="G696" s="119"/>
    </row>
    <row r="697" spans="2:7" x14ac:dyDescent="0.25">
      <c r="B697" s="118"/>
      <c r="C697" s="241"/>
      <c r="D697" s="231"/>
      <c r="E697" s="241"/>
      <c r="G697" s="119"/>
    </row>
    <row r="698" spans="2:7" x14ac:dyDescent="0.25">
      <c r="B698" s="118"/>
      <c r="C698" s="241"/>
      <c r="D698" s="231"/>
      <c r="E698" s="241"/>
      <c r="G698" s="119"/>
    </row>
    <row r="699" spans="2:7" x14ac:dyDescent="0.25">
      <c r="B699" s="118"/>
      <c r="C699" s="241"/>
      <c r="D699" s="231"/>
      <c r="E699" s="241"/>
      <c r="G699" s="119"/>
    </row>
    <row r="700" spans="2:7" x14ac:dyDescent="0.25">
      <c r="B700" s="118"/>
      <c r="C700" s="241"/>
      <c r="D700" s="231"/>
      <c r="E700" s="241"/>
      <c r="G700" s="119"/>
    </row>
    <row r="701" spans="2:7" x14ac:dyDescent="0.25">
      <c r="B701" s="118"/>
      <c r="C701" s="241"/>
      <c r="D701" s="231"/>
      <c r="E701" s="241"/>
      <c r="G701" s="119"/>
    </row>
    <row r="702" spans="2:7" x14ac:dyDescent="0.25">
      <c r="B702" s="118"/>
      <c r="C702" s="241"/>
      <c r="D702" s="231"/>
      <c r="E702" s="241"/>
      <c r="G702" s="119"/>
    </row>
    <row r="703" spans="2:7" x14ac:dyDescent="0.25">
      <c r="B703" s="118"/>
      <c r="C703" s="241"/>
      <c r="D703" s="231"/>
      <c r="E703" s="241"/>
      <c r="G703" s="119"/>
    </row>
    <row r="704" spans="2:7" x14ac:dyDescent="0.25">
      <c r="B704" s="118"/>
      <c r="C704" s="241"/>
      <c r="D704" s="231"/>
      <c r="E704" s="241"/>
      <c r="G704" s="119"/>
    </row>
    <row r="705" spans="2:7" x14ac:dyDescent="0.25">
      <c r="B705" s="118"/>
      <c r="C705" s="241"/>
      <c r="D705" s="231"/>
      <c r="E705" s="241"/>
      <c r="G705" s="119"/>
    </row>
    <row r="706" spans="2:7" x14ac:dyDescent="0.25">
      <c r="B706" s="118"/>
      <c r="C706" s="241"/>
      <c r="D706" s="231"/>
      <c r="E706" s="241"/>
      <c r="G706" s="119"/>
    </row>
    <row r="707" spans="2:7" x14ac:dyDescent="0.25">
      <c r="B707" s="118"/>
      <c r="C707" s="241"/>
      <c r="D707" s="231"/>
      <c r="E707" s="241"/>
      <c r="G707" s="119"/>
    </row>
    <row r="708" spans="2:7" x14ac:dyDescent="0.25">
      <c r="B708" s="118"/>
      <c r="C708" s="241"/>
      <c r="D708" s="231"/>
      <c r="E708" s="241"/>
      <c r="G708" s="119"/>
    </row>
    <row r="709" spans="2:7" x14ac:dyDescent="0.25">
      <c r="B709" s="118"/>
      <c r="C709" s="241"/>
      <c r="D709" s="231"/>
      <c r="E709" s="241"/>
      <c r="G709" s="119"/>
    </row>
    <row r="710" spans="2:7" x14ac:dyDescent="0.25">
      <c r="B710" s="118"/>
      <c r="C710" s="241"/>
      <c r="D710" s="231"/>
      <c r="E710" s="241"/>
      <c r="G710" s="119"/>
    </row>
    <row r="711" spans="2:7" x14ac:dyDescent="0.25">
      <c r="B711" s="118"/>
      <c r="C711" s="241"/>
      <c r="D711" s="231"/>
      <c r="E711" s="241"/>
      <c r="G711" s="119"/>
    </row>
    <row r="712" spans="2:7" x14ac:dyDescent="0.25">
      <c r="B712" s="118"/>
      <c r="C712" s="241"/>
      <c r="D712" s="231"/>
      <c r="E712" s="241"/>
      <c r="G712" s="119"/>
    </row>
    <row r="713" spans="2:7" x14ac:dyDescent="0.25">
      <c r="B713" s="118"/>
      <c r="C713" s="241"/>
      <c r="D713" s="231"/>
      <c r="E713" s="241"/>
      <c r="G713" s="119"/>
    </row>
    <row r="714" spans="2:7" x14ac:dyDescent="0.25">
      <c r="B714" s="118"/>
      <c r="C714" s="241"/>
      <c r="D714" s="231"/>
      <c r="E714" s="241"/>
      <c r="G714" s="119"/>
    </row>
    <row r="715" spans="2:7" x14ac:dyDescent="0.25">
      <c r="B715" s="118"/>
      <c r="C715" s="241"/>
      <c r="D715" s="231"/>
      <c r="E715" s="241"/>
      <c r="G715" s="119"/>
    </row>
    <row r="716" spans="2:7" x14ac:dyDescent="0.25">
      <c r="B716" s="118"/>
      <c r="C716" s="241"/>
      <c r="D716" s="231"/>
      <c r="E716" s="241"/>
      <c r="G716" s="119"/>
    </row>
    <row r="717" spans="2:7" x14ac:dyDescent="0.25">
      <c r="B717" s="118"/>
      <c r="C717" s="241"/>
      <c r="D717" s="231"/>
      <c r="E717" s="241"/>
      <c r="G717" s="119"/>
    </row>
    <row r="718" spans="2:7" x14ac:dyDescent="0.25">
      <c r="B718" s="118"/>
      <c r="C718" s="241"/>
      <c r="D718" s="231"/>
      <c r="E718" s="241"/>
      <c r="G718" s="119"/>
    </row>
    <row r="719" spans="2:7" x14ac:dyDescent="0.25">
      <c r="B719" s="118"/>
      <c r="C719" s="241"/>
      <c r="D719" s="231"/>
      <c r="E719" s="241"/>
      <c r="G719" s="119"/>
    </row>
    <row r="720" spans="2:7" x14ac:dyDescent="0.25">
      <c r="B720" s="118"/>
      <c r="C720" s="241"/>
      <c r="D720" s="231"/>
      <c r="E720" s="241"/>
      <c r="G720" s="119"/>
    </row>
    <row r="721" spans="2:7" x14ac:dyDescent="0.25">
      <c r="B721" s="118"/>
      <c r="C721" s="241"/>
      <c r="D721" s="231"/>
      <c r="E721" s="241"/>
      <c r="G721" s="119"/>
    </row>
    <row r="722" spans="2:7" x14ac:dyDescent="0.25">
      <c r="B722" s="118"/>
      <c r="C722" s="241"/>
      <c r="D722" s="231"/>
      <c r="E722" s="241"/>
      <c r="G722" s="119"/>
    </row>
    <row r="723" spans="2:7" x14ac:dyDescent="0.25">
      <c r="B723" s="118"/>
      <c r="C723" s="241"/>
      <c r="D723" s="231"/>
      <c r="E723" s="241"/>
      <c r="G723" s="119"/>
    </row>
    <row r="724" spans="2:7" x14ac:dyDescent="0.25">
      <c r="B724" s="118"/>
      <c r="C724" s="241"/>
      <c r="D724" s="231"/>
      <c r="E724" s="241"/>
      <c r="G724" s="119"/>
    </row>
    <row r="725" spans="2:7" x14ac:dyDescent="0.25">
      <c r="B725" s="118"/>
      <c r="C725" s="241"/>
      <c r="D725" s="231"/>
      <c r="E725" s="241"/>
      <c r="G725" s="119"/>
    </row>
    <row r="726" spans="2:7" x14ac:dyDescent="0.25">
      <c r="B726" s="118"/>
      <c r="C726" s="241"/>
      <c r="D726" s="231"/>
      <c r="E726" s="241"/>
      <c r="G726" s="119"/>
    </row>
    <row r="727" spans="2:7" x14ac:dyDescent="0.25">
      <c r="B727" s="118"/>
      <c r="C727" s="241"/>
      <c r="D727" s="231"/>
      <c r="E727" s="241"/>
      <c r="G727" s="119"/>
    </row>
    <row r="728" spans="2:7" x14ac:dyDescent="0.25">
      <c r="B728" s="118"/>
      <c r="C728" s="241"/>
      <c r="D728" s="231"/>
      <c r="E728" s="241"/>
      <c r="G728" s="119"/>
    </row>
    <row r="729" spans="2:7" x14ac:dyDescent="0.25">
      <c r="B729" s="118"/>
      <c r="C729" s="241"/>
      <c r="D729" s="231"/>
      <c r="E729" s="241"/>
      <c r="G729" s="119"/>
    </row>
    <row r="730" spans="2:7" x14ac:dyDescent="0.25">
      <c r="B730" s="118"/>
      <c r="C730" s="241"/>
      <c r="D730" s="231"/>
      <c r="E730" s="241"/>
      <c r="G730" s="119"/>
    </row>
    <row r="731" spans="2:7" x14ac:dyDescent="0.25">
      <c r="B731" s="118"/>
      <c r="C731" s="241"/>
      <c r="D731" s="231"/>
      <c r="E731" s="241"/>
      <c r="G731" s="119"/>
    </row>
    <row r="732" spans="2:7" x14ac:dyDescent="0.25">
      <c r="B732" s="118"/>
      <c r="C732" s="241"/>
      <c r="D732" s="231"/>
      <c r="E732" s="241"/>
      <c r="G732" s="119"/>
    </row>
    <row r="733" spans="2:7" x14ac:dyDescent="0.25">
      <c r="B733" s="118"/>
      <c r="C733" s="241"/>
      <c r="D733" s="231"/>
      <c r="E733" s="241"/>
      <c r="G733" s="119"/>
    </row>
    <row r="734" spans="2:7" x14ac:dyDescent="0.25">
      <c r="B734" s="118"/>
      <c r="C734" s="241"/>
      <c r="D734" s="231"/>
      <c r="E734" s="241"/>
      <c r="G734" s="119"/>
    </row>
    <row r="735" spans="2:7" x14ac:dyDescent="0.25">
      <c r="B735" s="118"/>
      <c r="C735" s="241"/>
      <c r="D735" s="231"/>
      <c r="E735" s="241"/>
      <c r="G735" s="119"/>
    </row>
    <row r="736" spans="2:7" x14ac:dyDescent="0.25">
      <c r="B736" s="118"/>
      <c r="C736" s="241"/>
      <c r="D736" s="231"/>
      <c r="E736" s="241"/>
      <c r="G736" s="119"/>
    </row>
    <row r="737" spans="2:7" x14ac:dyDescent="0.25">
      <c r="B737" s="118"/>
      <c r="C737" s="241"/>
      <c r="D737" s="231"/>
      <c r="E737" s="241"/>
      <c r="G737" s="119"/>
    </row>
    <row r="738" spans="2:7" x14ac:dyDescent="0.25">
      <c r="B738" s="118"/>
      <c r="C738" s="241"/>
      <c r="D738" s="231"/>
      <c r="E738" s="241"/>
      <c r="G738" s="119"/>
    </row>
    <row r="739" spans="2:7" x14ac:dyDescent="0.25">
      <c r="B739" s="118"/>
      <c r="C739" s="241"/>
      <c r="D739" s="231"/>
      <c r="E739" s="241"/>
      <c r="G739" s="119"/>
    </row>
    <row r="740" spans="2:7" x14ac:dyDescent="0.25">
      <c r="B740" s="118"/>
      <c r="C740" s="241"/>
      <c r="D740" s="231"/>
      <c r="E740" s="241"/>
      <c r="G740" s="119"/>
    </row>
    <row r="741" spans="2:7" x14ac:dyDescent="0.25">
      <c r="B741" s="118"/>
      <c r="C741" s="241"/>
      <c r="D741" s="231"/>
      <c r="E741" s="241"/>
      <c r="G741" s="119"/>
    </row>
    <row r="742" spans="2:7" x14ac:dyDescent="0.25">
      <c r="B742" s="118"/>
      <c r="C742" s="241"/>
      <c r="D742" s="231"/>
      <c r="E742" s="241"/>
      <c r="G742" s="119"/>
    </row>
    <row r="743" spans="2:7" x14ac:dyDescent="0.25">
      <c r="B743" s="118"/>
      <c r="C743" s="241"/>
      <c r="D743" s="231"/>
      <c r="E743" s="241"/>
      <c r="G743" s="119"/>
    </row>
    <row r="744" spans="2:7" x14ac:dyDescent="0.25">
      <c r="B744" s="118"/>
      <c r="C744" s="241"/>
      <c r="D744" s="231"/>
      <c r="E744" s="241"/>
      <c r="G744" s="119"/>
    </row>
    <row r="745" spans="2:7" x14ac:dyDescent="0.25">
      <c r="B745" s="118"/>
      <c r="C745" s="241"/>
      <c r="D745" s="231"/>
      <c r="E745" s="241"/>
      <c r="G745" s="119"/>
    </row>
    <row r="746" spans="2:7" x14ac:dyDescent="0.25">
      <c r="B746" s="118"/>
      <c r="C746" s="241"/>
      <c r="D746" s="231"/>
      <c r="E746" s="241"/>
      <c r="G746" s="119"/>
    </row>
    <row r="747" spans="2:7" x14ac:dyDescent="0.25">
      <c r="B747" s="118"/>
      <c r="C747" s="241"/>
      <c r="D747" s="231"/>
      <c r="E747" s="241"/>
      <c r="G747" s="119"/>
    </row>
    <row r="748" spans="2:7" x14ac:dyDescent="0.25">
      <c r="B748" s="118"/>
      <c r="C748" s="241"/>
      <c r="D748" s="231"/>
      <c r="E748" s="241"/>
      <c r="G748" s="119"/>
    </row>
    <row r="749" spans="2:7" x14ac:dyDescent="0.25">
      <c r="B749" s="118"/>
      <c r="C749" s="241"/>
      <c r="D749" s="231"/>
      <c r="E749" s="241"/>
      <c r="G749" s="119"/>
    </row>
    <row r="750" spans="2:7" x14ac:dyDescent="0.25">
      <c r="B750" s="118"/>
      <c r="C750" s="241"/>
      <c r="D750" s="231"/>
      <c r="E750" s="241"/>
      <c r="G750" s="119"/>
    </row>
    <row r="751" spans="2:7" x14ac:dyDescent="0.25">
      <c r="B751" s="118"/>
      <c r="C751" s="241"/>
      <c r="D751" s="231"/>
      <c r="E751" s="241"/>
      <c r="G751" s="119"/>
    </row>
    <row r="752" spans="2:7" x14ac:dyDescent="0.25">
      <c r="B752" s="118"/>
      <c r="C752" s="241"/>
      <c r="D752" s="231"/>
      <c r="E752" s="241"/>
      <c r="G752" s="119"/>
    </row>
    <row r="753" spans="2:7" x14ac:dyDescent="0.25">
      <c r="B753" s="118"/>
      <c r="C753" s="241"/>
      <c r="D753" s="231"/>
      <c r="E753" s="241"/>
      <c r="G753" s="119"/>
    </row>
    <row r="754" spans="2:7" x14ac:dyDescent="0.25">
      <c r="B754" s="118"/>
      <c r="C754" s="241"/>
      <c r="D754" s="231"/>
      <c r="E754" s="241"/>
      <c r="G754" s="119"/>
    </row>
    <row r="755" spans="2:7" x14ac:dyDescent="0.25">
      <c r="B755" s="118"/>
      <c r="C755" s="241"/>
      <c r="D755" s="231"/>
      <c r="E755" s="241"/>
      <c r="G755" s="119"/>
    </row>
    <row r="756" spans="2:7" x14ac:dyDescent="0.25">
      <c r="B756" s="118"/>
      <c r="C756" s="241"/>
      <c r="D756" s="231"/>
      <c r="E756" s="241"/>
      <c r="G756" s="119"/>
    </row>
    <row r="757" spans="2:7" x14ac:dyDescent="0.25">
      <c r="B757" s="118"/>
      <c r="C757" s="241"/>
      <c r="D757" s="231"/>
      <c r="E757" s="241"/>
      <c r="G757" s="119"/>
    </row>
    <row r="758" spans="2:7" x14ac:dyDescent="0.25">
      <c r="B758" s="118"/>
      <c r="C758" s="241"/>
      <c r="D758" s="231"/>
      <c r="E758" s="241"/>
      <c r="G758" s="119"/>
    </row>
    <row r="759" spans="2:7" x14ac:dyDescent="0.25">
      <c r="B759" s="118"/>
      <c r="C759" s="241"/>
      <c r="D759" s="231"/>
      <c r="E759" s="241"/>
      <c r="G759" s="119"/>
    </row>
    <row r="760" spans="2:7" x14ac:dyDescent="0.25">
      <c r="B760" s="118"/>
      <c r="C760" s="241"/>
      <c r="D760" s="231"/>
      <c r="E760" s="241"/>
      <c r="G760" s="119"/>
    </row>
    <row r="761" spans="2:7" x14ac:dyDescent="0.25">
      <c r="B761" s="118"/>
      <c r="C761" s="241"/>
      <c r="D761" s="231"/>
      <c r="E761" s="241"/>
      <c r="G761" s="119"/>
    </row>
    <row r="762" spans="2:7" x14ac:dyDescent="0.25">
      <c r="B762" s="118"/>
      <c r="C762" s="241"/>
      <c r="D762" s="231"/>
      <c r="E762" s="241"/>
      <c r="G762" s="119"/>
    </row>
    <row r="763" spans="2:7" x14ac:dyDescent="0.25">
      <c r="B763" s="118"/>
      <c r="C763" s="241"/>
      <c r="D763" s="231"/>
      <c r="E763" s="241"/>
      <c r="G763" s="119"/>
    </row>
    <row r="764" spans="2:7" x14ac:dyDescent="0.25">
      <c r="B764" s="118"/>
      <c r="C764" s="241"/>
      <c r="D764" s="231"/>
      <c r="E764" s="241"/>
      <c r="G764" s="119"/>
    </row>
    <row r="765" spans="2:7" x14ac:dyDescent="0.25">
      <c r="B765" s="118"/>
      <c r="C765" s="241"/>
      <c r="D765" s="231"/>
      <c r="E765" s="241"/>
      <c r="G765" s="119"/>
    </row>
    <row r="766" spans="2:7" x14ac:dyDescent="0.25">
      <c r="B766" s="118"/>
      <c r="C766" s="241"/>
      <c r="D766" s="231"/>
      <c r="E766" s="241"/>
      <c r="G766" s="119"/>
    </row>
    <row r="767" spans="2:7" x14ac:dyDescent="0.25">
      <c r="B767" s="118"/>
      <c r="C767" s="241"/>
      <c r="D767" s="231"/>
      <c r="E767" s="241"/>
      <c r="G767" s="119"/>
    </row>
    <row r="768" spans="2:7" x14ac:dyDescent="0.25">
      <c r="B768" s="118"/>
      <c r="C768" s="241"/>
      <c r="D768" s="231"/>
      <c r="E768" s="241"/>
      <c r="G768" s="119"/>
    </row>
    <row r="769" spans="2:7" x14ac:dyDescent="0.25">
      <c r="B769" s="118"/>
      <c r="C769" s="241"/>
      <c r="D769" s="231"/>
      <c r="E769" s="241"/>
      <c r="G769" s="119"/>
    </row>
    <row r="770" spans="2:7" x14ac:dyDescent="0.25">
      <c r="B770" s="118"/>
      <c r="C770" s="241"/>
      <c r="D770" s="231"/>
      <c r="E770" s="241"/>
      <c r="G770" s="119"/>
    </row>
    <row r="771" spans="2:7" x14ac:dyDescent="0.25">
      <c r="B771" s="118"/>
      <c r="C771" s="241"/>
      <c r="D771" s="231"/>
      <c r="E771" s="241"/>
      <c r="G771" s="119"/>
    </row>
    <row r="772" spans="2:7" x14ac:dyDescent="0.25">
      <c r="B772" s="118"/>
      <c r="C772" s="241"/>
      <c r="D772" s="231"/>
      <c r="E772" s="241"/>
      <c r="G772" s="119"/>
    </row>
    <row r="773" spans="2:7" x14ac:dyDescent="0.25">
      <c r="B773" s="118"/>
      <c r="C773" s="241"/>
      <c r="D773" s="231"/>
      <c r="E773" s="241"/>
      <c r="G773" s="119"/>
    </row>
    <row r="774" spans="2:7" x14ac:dyDescent="0.25">
      <c r="B774" s="118"/>
      <c r="C774" s="241"/>
      <c r="D774" s="231"/>
      <c r="E774" s="241"/>
      <c r="G774" s="119"/>
    </row>
    <row r="775" spans="2:7" x14ac:dyDescent="0.25">
      <c r="B775" s="118"/>
      <c r="C775" s="241"/>
      <c r="D775" s="231"/>
      <c r="E775" s="241"/>
      <c r="G775" s="119"/>
    </row>
    <row r="776" spans="2:7" x14ac:dyDescent="0.25">
      <c r="B776" s="118"/>
      <c r="C776" s="241"/>
      <c r="D776" s="231"/>
      <c r="E776" s="241"/>
      <c r="G776" s="119"/>
    </row>
    <row r="777" spans="2:7" x14ac:dyDescent="0.25">
      <c r="B777" s="118"/>
      <c r="C777" s="241"/>
      <c r="D777" s="231"/>
      <c r="E777" s="241"/>
      <c r="G777" s="119"/>
    </row>
    <row r="778" spans="2:7" x14ac:dyDescent="0.25">
      <c r="B778" s="118"/>
      <c r="C778" s="241"/>
      <c r="D778" s="231"/>
      <c r="E778" s="241"/>
      <c r="G778" s="119"/>
    </row>
    <row r="779" spans="2:7" x14ac:dyDescent="0.25">
      <c r="B779" s="118"/>
      <c r="C779" s="241"/>
      <c r="D779" s="231"/>
      <c r="E779" s="241"/>
      <c r="G779" s="119"/>
    </row>
    <row r="780" spans="2:7" x14ac:dyDescent="0.25">
      <c r="B780" s="118"/>
      <c r="C780" s="241"/>
      <c r="D780" s="231"/>
      <c r="E780" s="241"/>
      <c r="G780" s="119"/>
    </row>
    <row r="781" spans="2:7" x14ac:dyDescent="0.25">
      <c r="B781" s="118"/>
      <c r="C781" s="241"/>
      <c r="D781" s="231"/>
      <c r="E781" s="241"/>
      <c r="G781" s="119"/>
    </row>
    <row r="782" spans="2:7" x14ac:dyDescent="0.25">
      <c r="B782" s="118"/>
      <c r="C782" s="241"/>
      <c r="D782" s="231"/>
      <c r="E782" s="241"/>
      <c r="G782" s="119"/>
    </row>
    <row r="783" spans="2:7" x14ac:dyDescent="0.25">
      <c r="B783" s="118"/>
      <c r="C783" s="241"/>
      <c r="D783" s="231"/>
      <c r="E783" s="241"/>
      <c r="G783" s="119"/>
    </row>
    <row r="784" spans="2:7" x14ac:dyDescent="0.25">
      <c r="B784" s="118"/>
      <c r="C784" s="241"/>
      <c r="D784" s="231"/>
      <c r="E784" s="241"/>
      <c r="G784" s="119"/>
    </row>
    <row r="785" spans="2:7" x14ac:dyDescent="0.25">
      <c r="B785" s="118"/>
      <c r="C785" s="241"/>
      <c r="D785" s="231"/>
      <c r="E785" s="241"/>
      <c r="G785" s="119"/>
    </row>
    <row r="786" spans="2:7" x14ac:dyDescent="0.25">
      <c r="B786" s="118"/>
      <c r="C786" s="241"/>
      <c r="D786" s="231"/>
      <c r="E786" s="241"/>
      <c r="G786" s="119"/>
    </row>
    <row r="787" spans="2:7" x14ac:dyDescent="0.25">
      <c r="B787" s="118"/>
      <c r="C787" s="241"/>
      <c r="D787" s="231"/>
      <c r="E787" s="241"/>
      <c r="G787" s="119"/>
    </row>
    <row r="788" spans="2:7" x14ac:dyDescent="0.25">
      <c r="B788" s="118"/>
      <c r="C788" s="241"/>
      <c r="D788" s="231"/>
      <c r="E788" s="241"/>
      <c r="G788" s="119"/>
    </row>
    <row r="789" spans="2:7" x14ac:dyDescent="0.25">
      <c r="B789" s="118"/>
      <c r="C789" s="241"/>
      <c r="D789" s="231"/>
      <c r="E789" s="241"/>
      <c r="G789" s="119"/>
    </row>
    <row r="790" spans="2:7" x14ac:dyDescent="0.25">
      <c r="B790" s="118"/>
      <c r="C790" s="241"/>
      <c r="D790" s="231"/>
      <c r="E790" s="241"/>
      <c r="G790" s="119"/>
    </row>
    <row r="791" spans="2:7" x14ac:dyDescent="0.25">
      <c r="B791" s="118"/>
      <c r="C791" s="241"/>
      <c r="D791" s="231"/>
      <c r="E791" s="241"/>
      <c r="G791" s="119"/>
    </row>
    <row r="792" spans="2:7" x14ac:dyDescent="0.25">
      <c r="B792" s="118"/>
      <c r="C792" s="241"/>
      <c r="D792" s="231"/>
      <c r="E792" s="241"/>
      <c r="G792" s="119"/>
    </row>
    <row r="793" spans="2:7" x14ac:dyDescent="0.25">
      <c r="B793" s="118"/>
      <c r="C793" s="241"/>
      <c r="D793" s="231"/>
      <c r="E793" s="241"/>
      <c r="G793" s="119"/>
    </row>
    <row r="794" spans="2:7" x14ac:dyDescent="0.25">
      <c r="B794" s="118"/>
      <c r="C794" s="241"/>
      <c r="D794" s="231"/>
      <c r="E794" s="241"/>
      <c r="G794" s="119"/>
    </row>
    <row r="795" spans="2:7" x14ac:dyDescent="0.25">
      <c r="B795" s="118"/>
      <c r="C795" s="241"/>
      <c r="D795" s="231"/>
      <c r="E795" s="241"/>
      <c r="G795" s="119"/>
    </row>
    <row r="796" spans="2:7" x14ac:dyDescent="0.25">
      <c r="B796" s="118"/>
      <c r="C796" s="241"/>
      <c r="D796" s="231"/>
      <c r="E796" s="241"/>
      <c r="G796" s="119"/>
    </row>
    <row r="797" spans="2:7" x14ac:dyDescent="0.25">
      <c r="B797" s="118"/>
      <c r="C797" s="241"/>
      <c r="D797" s="231"/>
      <c r="E797" s="241"/>
      <c r="G797" s="119"/>
    </row>
    <row r="798" spans="2:7" x14ac:dyDescent="0.25">
      <c r="B798" s="118"/>
      <c r="C798" s="241"/>
      <c r="D798" s="231"/>
      <c r="E798" s="241"/>
      <c r="G798" s="119"/>
    </row>
    <row r="799" spans="2:7" x14ac:dyDescent="0.25">
      <c r="B799" s="118"/>
      <c r="C799" s="241"/>
      <c r="D799" s="231"/>
      <c r="E799" s="241"/>
      <c r="G799" s="119"/>
    </row>
    <row r="800" spans="2:7" x14ac:dyDescent="0.25">
      <c r="B800" s="118"/>
      <c r="C800" s="241"/>
      <c r="D800" s="231"/>
      <c r="E800" s="241"/>
      <c r="G800" s="119"/>
    </row>
    <row r="801" spans="2:7" x14ac:dyDescent="0.25">
      <c r="B801" s="118"/>
      <c r="C801" s="241"/>
      <c r="D801" s="231"/>
      <c r="E801" s="241"/>
      <c r="G801" s="119"/>
    </row>
    <row r="802" spans="2:7" x14ac:dyDescent="0.25">
      <c r="B802" s="118"/>
      <c r="C802" s="241"/>
      <c r="D802" s="231"/>
      <c r="E802" s="241"/>
      <c r="G802" s="119"/>
    </row>
    <row r="803" spans="2:7" x14ac:dyDescent="0.25">
      <c r="B803" s="118"/>
      <c r="C803" s="241"/>
      <c r="D803" s="231"/>
      <c r="E803" s="241"/>
      <c r="G803" s="119"/>
    </row>
    <row r="804" spans="2:7" x14ac:dyDescent="0.25">
      <c r="B804" s="118"/>
      <c r="C804" s="241"/>
      <c r="D804" s="231"/>
      <c r="E804" s="241"/>
      <c r="G804" s="119"/>
    </row>
    <row r="805" spans="2:7" x14ac:dyDescent="0.25">
      <c r="B805" s="118"/>
      <c r="C805" s="241"/>
      <c r="D805" s="231"/>
      <c r="E805" s="241"/>
      <c r="G805" s="119"/>
    </row>
    <row r="806" spans="2:7" x14ac:dyDescent="0.25">
      <c r="B806" s="118"/>
      <c r="C806" s="241"/>
      <c r="D806" s="231"/>
      <c r="E806" s="241"/>
      <c r="G806" s="119"/>
    </row>
    <row r="807" spans="2:7" x14ac:dyDescent="0.25">
      <c r="B807" s="118"/>
      <c r="C807" s="241"/>
      <c r="D807" s="231"/>
      <c r="E807" s="241"/>
      <c r="G807" s="119"/>
    </row>
    <row r="808" spans="2:7" x14ac:dyDescent="0.25">
      <c r="B808" s="118"/>
      <c r="C808" s="241"/>
      <c r="D808" s="231"/>
      <c r="E808" s="241"/>
      <c r="G808" s="119"/>
    </row>
    <row r="809" spans="2:7" x14ac:dyDescent="0.25">
      <c r="B809" s="118"/>
      <c r="C809" s="241"/>
      <c r="D809" s="231"/>
      <c r="E809" s="241"/>
      <c r="G809" s="119"/>
    </row>
    <row r="810" spans="2:7" x14ac:dyDescent="0.25">
      <c r="B810" s="118"/>
      <c r="C810" s="241"/>
      <c r="D810" s="231"/>
      <c r="E810" s="241"/>
      <c r="G810" s="119"/>
    </row>
    <row r="811" spans="2:7" x14ac:dyDescent="0.25">
      <c r="B811" s="118"/>
      <c r="C811" s="241"/>
      <c r="D811" s="231"/>
      <c r="E811" s="241"/>
      <c r="G811" s="119"/>
    </row>
    <row r="812" spans="2:7" x14ac:dyDescent="0.25">
      <c r="B812" s="118"/>
      <c r="C812" s="241"/>
      <c r="D812" s="231"/>
      <c r="E812" s="241"/>
      <c r="G812" s="119"/>
    </row>
    <row r="813" spans="2:7" x14ac:dyDescent="0.25">
      <c r="B813" s="118"/>
      <c r="C813" s="241"/>
      <c r="D813" s="231"/>
      <c r="E813" s="241"/>
      <c r="G813" s="119"/>
    </row>
    <row r="814" spans="2:7" x14ac:dyDescent="0.25">
      <c r="B814" s="118"/>
      <c r="C814" s="241"/>
      <c r="D814" s="231"/>
      <c r="E814" s="241"/>
      <c r="G814" s="119"/>
    </row>
    <row r="815" spans="2:7" x14ac:dyDescent="0.25">
      <c r="B815" s="118"/>
      <c r="C815" s="241"/>
      <c r="D815" s="231"/>
      <c r="E815" s="241"/>
      <c r="G815" s="119"/>
    </row>
    <row r="816" spans="2:7" x14ac:dyDescent="0.25">
      <c r="B816" s="118"/>
      <c r="C816" s="241"/>
      <c r="D816" s="231"/>
      <c r="E816" s="241"/>
      <c r="G816" s="119"/>
    </row>
    <row r="817" spans="2:7" x14ac:dyDescent="0.25">
      <c r="B817" s="118"/>
      <c r="C817" s="241"/>
      <c r="D817" s="231"/>
      <c r="E817" s="241"/>
      <c r="G817" s="119"/>
    </row>
    <row r="818" spans="2:7" x14ac:dyDescent="0.25">
      <c r="B818" s="118"/>
      <c r="C818" s="241"/>
      <c r="D818" s="231"/>
      <c r="E818" s="241"/>
      <c r="G818" s="119"/>
    </row>
    <row r="819" spans="2:7" x14ac:dyDescent="0.25">
      <c r="B819" s="118"/>
      <c r="C819" s="241"/>
      <c r="D819" s="231"/>
      <c r="E819" s="241"/>
      <c r="G819" s="119"/>
    </row>
    <row r="820" spans="2:7" x14ac:dyDescent="0.25">
      <c r="B820" s="118"/>
      <c r="C820" s="241"/>
      <c r="D820" s="231"/>
      <c r="E820" s="241"/>
      <c r="G820" s="119"/>
    </row>
    <row r="821" spans="2:7" x14ac:dyDescent="0.25">
      <c r="B821" s="118"/>
      <c r="C821" s="241"/>
      <c r="D821" s="231"/>
      <c r="E821" s="241"/>
      <c r="G821" s="119"/>
    </row>
    <row r="822" spans="2:7" x14ac:dyDescent="0.25">
      <c r="B822" s="118"/>
      <c r="C822" s="241"/>
      <c r="D822" s="231"/>
      <c r="E822" s="241"/>
      <c r="G822" s="119"/>
    </row>
    <row r="823" spans="2:7" x14ac:dyDescent="0.25">
      <c r="B823" s="118"/>
      <c r="C823" s="241"/>
      <c r="D823" s="231"/>
      <c r="E823" s="241"/>
      <c r="G823" s="119"/>
    </row>
    <row r="824" spans="2:7" x14ac:dyDescent="0.25">
      <c r="B824" s="118"/>
      <c r="C824" s="241"/>
      <c r="D824" s="231"/>
      <c r="E824" s="241"/>
      <c r="G824" s="119"/>
    </row>
    <row r="825" spans="2:7" x14ac:dyDescent="0.25">
      <c r="B825" s="118"/>
      <c r="C825" s="241"/>
      <c r="D825" s="231"/>
      <c r="E825" s="241"/>
      <c r="G825" s="119"/>
    </row>
    <row r="826" spans="2:7" x14ac:dyDescent="0.25">
      <c r="B826" s="118"/>
      <c r="C826" s="241"/>
      <c r="D826" s="231"/>
      <c r="E826" s="241"/>
      <c r="G826" s="119"/>
    </row>
    <row r="827" spans="2:7" x14ac:dyDescent="0.25">
      <c r="B827" s="118"/>
      <c r="C827" s="241"/>
      <c r="D827" s="231"/>
      <c r="E827" s="241"/>
      <c r="G827" s="119"/>
    </row>
    <row r="828" spans="2:7" x14ac:dyDescent="0.25">
      <c r="B828" s="118"/>
      <c r="C828" s="241"/>
      <c r="D828" s="231"/>
      <c r="E828" s="241"/>
      <c r="G828" s="119"/>
    </row>
    <row r="829" spans="2:7" x14ac:dyDescent="0.25">
      <c r="B829" s="118"/>
      <c r="C829" s="241"/>
      <c r="D829" s="231"/>
      <c r="E829" s="241"/>
      <c r="G829" s="119"/>
    </row>
    <row r="830" spans="2:7" x14ac:dyDescent="0.25">
      <c r="B830" s="118"/>
      <c r="C830" s="241"/>
      <c r="D830" s="231"/>
      <c r="E830" s="241"/>
      <c r="G830" s="119"/>
    </row>
    <row r="831" spans="2:7" x14ac:dyDescent="0.25">
      <c r="B831" s="118"/>
      <c r="C831" s="241"/>
      <c r="D831" s="231"/>
      <c r="E831" s="241"/>
      <c r="G831" s="119"/>
    </row>
    <row r="832" spans="2:7" x14ac:dyDescent="0.25">
      <c r="B832" s="118"/>
      <c r="C832" s="241"/>
      <c r="D832" s="231"/>
      <c r="E832" s="241"/>
      <c r="G832" s="119"/>
    </row>
    <row r="833" spans="2:7" x14ac:dyDescent="0.25">
      <c r="B833" s="118"/>
      <c r="C833" s="241"/>
      <c r="D833" s="231"/>
      <c r="E833" s="241"/>
      <c r="G833" s="119"/>
    </row>
    <row r="834" spans="2:7" x14ac:dyDescent="0.25">
      <c r="B834" s="118"/>
      <c r="C834" s="241"/>
      <c r="D834" s="231"/>
      <c r="E834" s="241"/>
      <c r="G834" s="119"/>
    </row>
    <row r="835" spans="2:7" x14ac:dyDescent="0.25">
      <c r="B835" s="118"/>
      <c r="C835" s="241"/>
      <c r="D835" s="231"/>
      <c r="E835" s="241"/>
      <c r="G835" s="119"/>
    </row>
    <row r="836" spans="2:7" x14ac:dyDescent="0.25">
      <c r="B836" s="118"/>
      <c r="C836" s="241"/>
      <c r="D836" s="231"/>
      <c r="E836" s="241"/>
      <c r="G836" s="119"/>
    </row>
    <row r="837" spans="2:7" x14ac:dyDescent="0.25">
      <c r="B837" s="118"/>
      <c r="C837" s="241"/>
      <c r="D837" s="231"/>
      <c r="E837" s="241"/>
      <c r="G837" s="119"/>
    </row>
    <row r="838" spans="2:7" x14ac:dyDescent="0.25">
      <c r="B838" s="118"/>
      <c r="C838" s="241"/>
      <c r="D838" s="231"/>
      <c r="E838" s="241"/>
      <c r="G838" s="119"/>
    </row>
    <row r="839" spans="2:7" x14ac:dyDescent="0.25">
      <c r="B839" s="118"/>
      <c r="C839" s="241"/>
      <c r="D839" s="231"/>
      <c r="E839" s="241"/>
      <c r="G839" s="119"/>
    </row>
    <row r="840" spans="2:7" x14ac:dyDescent="0.25">
      <c r="B840" s="118"/>
      <c r="C840" s="241"/>
      <c r="D840" s="231"/>
      <c r="E840" s="241"/>
      <c r="G840" s="119"/>
    </row>
    <row r="841" spans="2:7" x14ac:dyDescent="0.25">
      <c r="B841" s="118"/>
      <c r="C841" s="241"/>
      <c r="D841" s="231"/>
      <c r="E841" s="241"/>
      <c r="G841" s="119"/>
    </row>
    <row r="842" spans="2:7" x14ac:dyDescent="0.25">
      <c r="B842" s="118"/>
      <c r="C842" s="241"/>
      <c r="D842" s="231"/>
      <c r="E842" s="241"/>
      <c r="G842" s="119"/>
    </row>
    <row r="843" spans="2:7" x14ac:dyDescent="0.25">
      <c r="B843" s="118"/>
      <c r="C843" s="241"/>
      <c r="D843" s="231"/>
      <c r="E843" s="241"/>
      <c r="G843" s="119"/>
    </row>
    <row r="844" spans="2:7" x14ac:dyDescent="0.25">
      <c r="B844" s="118"/>
      <c r="C844" s="241"/>
      <c r="D844" s="231"/>
      <c r="E844" s="241"/>
      <c r="G844" s="119"/>
    </row>
    <row r="845" spans="2:7" x14ac:dyDescent="0.25">
      <c r="B845" s="118"/>
      <c r="C845" s="241"/>
      <c r="D845" s="231"/>
      <c r="E845" s="241"/>
      <c r="G845" s="119"/>
    </row>
    <row r="846" spans="2:7" x14ac:dyDescent="0.25">
      <c r="B846" s="118"/>
      <c r="C846" s="241"/>
      <c r="D846" s="231"/>
      <c r="E846" s="241"/>
      <c r="G846" s="119"/>
    </row>
    <row r="847" spans="2:7" x14ac:dyDescent="0.25">
      <c r="B847" s="118"/>
      <c r="C847" s="241"/>
      <c r="D847" s="231"/>
      <c r="E847" s="241"/>
      <c r="G847" s="119"/>
    </row>
    <row r="848" spans="2:7" x14ac:dyDescent="0.25">
      <c r="B848" s="118"/>
      <c r="C848" s="241"/>
      <c r="D848" s="231"/>
      <c r="E848" s="241"/>
      <c r="G848" s="119"/>
    </row>
    <row r="849" spans="2:7" x14ac:dyDescent="0.25">
      <c r="B849" s="118"/>
      <c r="C849" s="241"/>
      <c r="D849" s="231"/>
      <c r="E849" s="241"/>
      <c r="G849" s="119"/>
    </row>
    <row r="850" spans="2:7" x14ac:dyDescent="0.25">
      <c r="B850" s="118"/>
      <c r="C850" s="241"/>
      <c r="D850" s="231"/>
      <c r="E850" s="241"/>
      <c r="G850" s="119"/>
    </row>
    <row r="851" spans="2:7" x14ac:dyDescent="0.25">
      <c r="B851" s="118"/>
      <c r="C851" s="241"/>
      <c r="D851" s="231"/>
      <c r="E851" s="241"/>
      <c r="G851" s="119"/>
    </row>
    <row r="852" spans="2:7" x14ac:dyDescent="0.25">
      <c r="B852" s="118"/>
      <c r="C852" s="241"/>
      <c r="D852" s="231"/>
      <c r="E852" s="241"/>
      <c r="G852" s="119"/>
    </row>
    <row r="853" spans="2:7" x14ac:dyDescent="0.25">
      <c r="B853" s="118"/>
      <c r="C853" s="241"/>
      <c r="D853" s="231"/>
      <c r="E853" s="241"/>
      <c r="G853" s="119"/>
    </row>
    <row r="854" spans="2:7" x14ac:dyDescent="0.25">
      <c r="B854" s="118"/>
      <c r="C854" s="241"/>
      <c r="D854" s="231"/>
      <c r="E854" s="241"/>
      <c r="G854" s="119"/>
    </row>
    <row r="855" spans="2:7" x14ac:dyDescent="0.25">
      <c r="B855" s="118"/>
      <c r="C855" s="241"/>
      <c r="D855" s="231"/>
      <c r="E855" s="241"/>
      <c r="G855" s="119"/>
    </row>
    <row r="856" spans="2:7" x14ac:dyDescent="0.25">
      <c r="B856" s="118"/>
      <c r="C856" s="241"/>
      <c r="D856" s="231"/>
      <c r="E856" s="241"/>
      <c r="G856" s="119"/>
    </row>
    <row r="857" spans="2:7" x14ac:dyDescent="0.25">
      <c r="B857" s="118"/>
      <c r="C857" s="241"/>
      <c r="D857" s="231"/>
      <c r="E857" s="241"/>
      <c r="G857" s="119"/>
    </row>
    <row r="858" spans="2:7" x14ac:dyDescent="0.25">
      <c r="B858" s="118"/>
      <c r="C858" s="241"/>
      <c r="D858" s="231"/>
      <c r="E858" s="241"/>
      <c r="G858" s="119"/>
    </row>
    <row r="859" spans="2:7" x14ac:dyDescent="0.25">
      <c r="B859" s="118"/>
      <c r="C859" s="241"/>
      <c r="D859" s="231"/>
      <c r="E859" s="241"/>
      <c r="G859" s="119"/>
    </row>
    <row r="860" spans="2:7" x14ac:dyDescent="0.25">
      <c r="B860" s="118"/>
      <c r="C860" s="241"/>
      <c r="D860" s="231"/>
      <c r="E860" s="241"/>
      <c r="G860" s="119"/>
    </row>
    <row r="861" spans="2:7" x14ac:dyDescent="0.25">
      <c r="B861" s="118"/>
      <c r="C861" s="241"/>
      <c r="D861" s="231"/>
      <c r="E861" s="241"/>
      <c r="G861" s="119"/>
    </row>
    <row r="862" spans="2:7" x14ac:dyDescent="0.25">
      <c r="B862" s="118"/>
      <c r="C862" s="241"/>
      <c r="D862" s="231"/>
      <c r="E862" s="241"/>
      <c r="G862" s="119"/>
    </row>
    <row r="863" spans="2:7" x14ac:dyDescent="0.25">
      <c r="B863" s="118"/>
      <c r="C863" s="241"/>
      <c r="D863" s="231"/>
      <c r="E863" s="241"/>
      <c r="G863" s="119"/>
    </row>
    <row r="864" spans="2:7" x14ac:dyDescent="0.25">
      <c r="B864" s="118"/>
      <c r="C864" s="241"/>
      <c r="D864" s="231"/>
      <c r="E864" s="241"/>
      <c r="G864" s="119"/>
    </row>
    <row r="865" spans="2:7" x14ac:dyDescent="0.25">
      <c r="B865" s="118"/>
      <c r="C865" s="241"/>
      <c r="D865" s="231"/>
      <c r="E865" s="241"/>
      <c r="G865" s="119"/>
    </row>
    <row r="866" spans="2:7" x14ac:dyDescent="0.25">
      <c r="B866" s="118"/>
      <c r="C866" s="241"/>
      <c r="D866" s="231"/>
      <c r="E866" s="241"/>
      <c r="G866" s="119"/>
    </row>
    <row r="867" spans="2:7" x14ac:dyDescent="0.25">
      <c r="B867" s="118"/>
      <c r="C867" s="241"/>
      <c r="D867" s="231"/>
      <c r="E867" s="241"/>
      <c r="G867" s="119"/>
    </row>
    <row r="868" spans="2:7" x14ac:dyDescent="0.25">
      <c r="B868" s="118"/>
      <c r="C868" s="241"/>
      <c r="D868" s="231"/>
      <c r="E868" s="241"/>
      <c r="G868" s="119"/>
    </row>
    <row r="869" spans="2:7" x14ac:dyDescent="0.25">
      <c r="B869" s="118"/>
      <c r="C869" s="241"/>
      <c r="D869" s="231"/>
      <c r="E869" s="241"/>
      <c r="G869" s="119"/>
    </row>
    <row r="870" spans="2:7" x14ac:dyDescent="0.25">
      <c r="B870" s="118"/>
      <c r="C870" s="241"/>
      <c r="D870" s="231"/>
      <c r="E870" s="241"/>
      <c r="G870" s="11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Contents</vt:lpstr>
      <vt:lpstr>Active Users</vt:lpstr>
      <vt:lpstr>Customer Profile</vt:lpstr>
      <vt:lpstr>IS</vt:lpstr>
      <vt:lpstr>P&amp;L</vt:lpstr>
      <vt:lpstr>CFS</vt:lpstr>
      <vt:lpstr>DCF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Мирослав Вучкович</cp:lastModifiedBy>
  <dcterms:modified xsi:type="dcterms:W3CDTF">2025-03-16T20:34:14Z</dcterms:modified>
</cp:coreProperties>
</file>